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hidePivotFieldList="1"/>
  <mc:AlternateContent xmlns:mc="http://schemas.openxmlformats.org/markup-compatibility/2006">
    <mc:Choice Requires="x15">
      <x15ac:absPath xmlns:x15ac="http://schemas.microsoft.com/office/spreadsheetml/2010/11/ac" url="C:\Users\Andsonn\Desktop\M_Regional Dashboards\28th Jan Revisions\"/>
    </mc:Choice>
  </mc:AlternateContent>
  <xr:revisionPtr revIDLastSave="0" documentId="13_ncr:1_{58FC4D58-151B-4FBD-8402-0A71C30F616E}" xr6:coauthVersionLast="44" xr6:coauthVersionMax="44" xr10:uidLastSave="{00000000-0000-0000-0000-000000000000}"/>
  <bookViews>
    <workbookView xWindow="-98" yWindow="-98" windowWidth="19396" windowHeight="10395" firstSheet="6" activeTab="15" xr2:uid="{00000000-000D-0000-FFFF-FFFF00000000}"/>
  </bookViews>
  <sheets>
    <sheet name="Aspiration Chart" sheetId="24" r:id="rId1"/>
    <sheet name="Performance by Goal" sheetId="25" r:id="rId2"/>
    <sheet name="Initial Analysis Table" sheetId="17" r:id="rId3"/>
    <sheet name="Continental Level Dashboard" sheetId="2" r:id="rId4"/>
    <sheet name="Continental Dboard Targets" sheetId="19" r:id="rId5"/>
    <sheet name="Benin" sheetId="29" r:id="rId6"/>
    <sheet name="Burkina Faso" sheetId="30" r:id="rId7"/>
    <sheet name="Ghana" sheetId="34" r:id="rId8"/>
    <sheet name="Guinea" sheetId="35" r:id="rId9"/>
    <sheet name="Senegal" sheetId="38" r:id="rId10"/>
    <sheet name="Mali" sheetId="43" r:id="rId11"/>
    <sheet name="Cotedivoire" sheetId="47" r:id="rId12"/>
    <sheet name="Liberia" sheetId="49" r:id="rId13"/>
    <sheet name="Togo" sheetId="50" r:id="rId14"/>
    <sheet name="Nigeria" sheetId="51" r:id="rId15"/>
    <sheet name="Niger" sheetId="52" r:id="rId1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11" i="43" l="1"/>
  <c r="F102" i="19" l="1"/>
  <c r="F101" i="19"/>
  <c r="F100" i="19"/>
  <c r="F99" i="19"/>
  <c r="F97" i="19"/>
  <c r="F96" i="19"/>
  <c r="F95" i="19"/>
  <c r="F92" i="19"/>
  <c r="F91" i="19"/>
  <c r="F90" i="19"/>
  <c r="F89" i="19"/>
  <c r="F88" i="19"/>
  <c r="F86" i="19"/>
  <c r="F85" i="19"/>
  <c r="F84" i="19"/>
  <c r="F83" i="19"/>
  <c r="F82" i="19"/>
  <c r="F79" i="19"/>
  <c r="F76" i="19"/>
  <c r="F74" i="19"/>
  <c r="F72" i="19"/>
  <c r="F69" i="19"/>
  <c r="F67" i="19"/>
  <c r="F66" i="19"/>
  <c r="F65" i="19"/>
  <c r="F64" i="19"/>
  <c r="F63" i="19"/>
  <c r="F62" i="19"/>
  <c r="F59" i="19"/>
  <c r="F58" i="19"/>
  <c r="F57" i="19"/>
  <c r="F56" i="19"/>
  <c r="F55" i="19"/>
  <c r="F54" i="19"/>
  <c r="F52" i="19"/>
  <c r="F50" i="19"/>
  <c r="F49" i="19"/>
  <c r="F46" i="19"/>
  <c r="F45" i="19"/>
  <c r="F43" i="19"/>
  <c r="F42" i="19"/>
  <c r="F40" i="19"/>
  <c r="F39" i="19"/>
  <c r="F37" i="19"/>
  <c r="F36" i="19"/>
  <c r="F35" i="19"/>
  <c r="F34" i="19"/>
  <c r="F32" i="19"/>
  <c r="F31" i="19"/>
  <c r="F30" i="19"/>
  <c r="F29" i="19"/>
  <c r="F28" i="19"/>
  <c r="F27" i="19"/>
  <c r="F26" i="19"/>
  <c r="F25" i="19"/>
  <c r="F23" i="19"/>
  <c r="F22" i="19"/>
  <c r="F21" i="19"/>
  <c r="F20" i="19"/>
  <c r="F18" i="19"/>
  <c r="F17" i="19"/>
  <c r="F16" i="19"/>
  <c r="F15" i="19"/>
  <c r="F14" i="19"/>
  <c r="F13" i="19"/>
  <c r="F12" i="19"/>
  <c r="G84" i="19"/>
  <c r="G100" i="19"/>
  <c r="G99" i="19"/>
  <c r="G98" i="19"/>
  <c r="G95" i="19"/>
  <c r="G88" i="19"/>
  <c r="G94" i="19"/>
  <c r="G93" i="19"/>
  <c r="G87" i="19"/>
  <c r="G81" i="19"/>
  <c r="G80" i="19"/>
  <c r="G79" i="19"/>
  <c r="G78" i="19"/>
  <c r="G77" i="19"/>
  <c r="G76" i="19"/>
  <c r="G75" i="19"/>
  <c r="G74" i="19"/>
  <c r="G73" i="19"/>
  <c r="G72" i="19"/>
  <c r="G71" i="19"/>
  <c r="G70" i="19"/>
  <c r="G69" i="19"/>
  <c r="G68" i="19"/>
  <c r="G62" i="19"/>
  <c r="G61" i="19"/>
  <c r="G60" i="19"/>
  <c r="G54" i="19"/>
  <c r="G53" i="19"/>
  <c r="G52" i="19"/>
  <c r="G51" i="19"/>
  <c r="G47" i="19"/>
  <c r="G48" i="19"/>
  <c r="G49" i="19"/>
  <c r="G44" i="19"/>
  <c r="G41" i="19"/>
  <c r="G37" i="19"/>
  <c r="G38" i="19"/>
  <c r="G39" i="19"/>
  <c r="G36" i="19"/>
  <c r="G35" i="19"/>
  <c r="G34" i="19"/>
  <c r="G33" i="19"/>
  <c r="G25" i="19"/>
  <c r="G24" i="19"/>
  <c r="G16" i="19"/>
  <c r="G101" i="19"/>
  <c r="G82" i="19"/>
  <c r="G45" i="19"/>
  <c r="G42" i="19"/>
  <c r="G14" i="19"/>
  <c r="G12" i="19"/>
  <c r="G11" i="19"/>
  <c r="G10" i="19"/>
  <c r="G6" i="19"/>
  <c r="E145" i="52"/>
  <c r="E124" i="52"/>
  <c r="M101" i="52"/>
  <c r="L101" i="52"/>
  <c r="K101" i="52"/>
  <c r="J101" i="52"/>
  <c r="M100" i="52"/>
  <c r="L100" i="52"/>
  <c r="K100" i="52"/>
  <c r="J100" i="52"/>
  <c r="M99" i="52"/>
  <c r="L99" i="52"/>
  <c r="K99" i="52"/>
  <c r="J99" i="52"/>
  <c r="M98" i="52"/>
  <c r="K98" i="52"/>
  <c r="L98" i="52" s="1"/>
  <c r="J98" i="52"/>
  <c r="K96" i="52"/>
  <c r="M96" i="52" s="1"/>
  <c r="J96" i="52"/>
  <c r="K95" i="52"/>
  <c r="L95" i="52" s="1"/>
  <c r="J95" i="52"/>
  <c r="M95" i="52" s="1"/>
  <c r="K94" i="52"/>
  <c r="M94" i="52" s="1"/>
  <c r="J94" i="52"/>
  <c r="K91" i="52"/>
  <c r="L91" i="52" s="1"/>
  <c r="M91" i="52" s="1"/>
  <c r="J91" i="52"/>
  <c r="M90" i="52"/>
  <c r="L90" i="52"/>
  <c r="K90" i="52"/>
  <c r="J90" i="52"/>
  <c r="K89" i="52"/>
  <c r="M89" i="52" s="1"/>
  <c r="J89" i="52"/>
  <c r="M88" i="52"/>
  <c r="K88" i="52"/>
  <c r="L88" i="52" s="1"/>
  <c r="J88" i="52"/>
  <c r="L87" i="52"/>
  <c r="K87" i="52"/>
  <c r="J87" i="52"/>
  <c r="M87" i="52" s="1"/>
  <c r="L85" i="52"/>
  <c r="K85" i="52"/>
  <c r="M85" i="52" s="1"/>
  <c r="J85" i="52"/>
  <c r="M84" i="52"/>
  <c r="L84" i="52"/>
  <c r="K84" i="52"/>
  <c r="J84" i="52"/>
  <c r="K83" i="52"/>
  <c r="M83" i="52" s="1"/>
  <c r="J83" i="52"/>
  <c r="M82" i="52"/>
  <c r="L82" i="52"/>
  <c r="K82" i="52"/>
  <c r="J82" i="52"/>
  <c r="M81" i="52"/>
  <c r="K81" i="52"/>
  <c r="L81" i="52" s="1"/>
  <c r="J81" i="52"/>
  <c r="K78" i="52"/>
  <c r="L78" i="52" s="1"/>
  <c r="M78" i="52" s="1"/>
  <c r="J78" i="52"/>
  <c r="M75" i="52"/>
  <c r="K75" i="52"/>
  <c r="L75" i="52" s="1"/>
  <c r="J75" i="52"/>
  <c r="M73" i="52"/>
  <c r="L73" i="52"/>
  <c r="K73" i="52"/>
  <c r="J73" i="52"/>
  <c r="M71" i="52"/>
  <c r="L71" i="52"/>
  <c r="K71" i="52"/>
  <c r="J71" i="52"/>
  <c r="M68" i="52"/>
  <c r="L68" i="52"/>
  <c r="K68" i="52"/>
  <c r="J68" i="52"/>
  <c r="L66" i="52"/>
  <c r="K66" i="52"/>
  <c r="M66" i="52" s="1"/>
  <c r="J66" i="52"/>
  <c r="L65" i="52"/>
  <c r="K65" i="52"/>
  <c r="M65" i="52" s="1"/>
  <c r="J65" i="52"/>
  <c r="M64" i="52"/>
  <c r="L64" i="52"/>
  <c r="K64" i="52"/>
  <c r="J64" i="52"/>
  <c r="M63" i="52"/>
  <c r="L63" i="52"/>
  <c r="K63" i="52"/>
  <c r="J63" i="52"/>
  <c r="M62" i="52"/>
  <c r="K62" i="52"/>
  <c r="L62" i="52" s="1"/>
  <c r="J62" i="52"/>
  <c r="M61" i="52"/>
  <c r="K61" i="52"/>
  <c r="L61" i="52" s="1"/>
  <c r="J61" i="52"/>
  <c r="K58" i="52"/>
  <c r="M58" i="52" s="1"/>
  <c r="J58" i="52"/>
  <c r="M57" i="52"/>
  <c r="L57" i="52"/>
  <c r="K57" i="52"/>
  <c r="J57" i="52"/>
  <c r="K56" i="52"/>
  <c r="M56" i="52" s="1"/>
  <c r="J56" i="52"/>
  <c r="L55" i="52"/>
  <c r="K55" i="52"/>
  <c r="M55" i="52" s="1"/>
  <c r="J55" i="52"/>
  <c r="L54" i="52"/>
  <c r="K54" i="52"/>
  <c r="J54" i="52"/>
  <c r="M54" i="52" s="1"/>
  <c r="K53" i="52"/>
  <c r="M53" i="52" s="1"/>
  <c r="J53" i="52"/>
  <c r="M51" i="52"/>
  <c r="L51" i="52"/>
  <c r="K51" i="52"/>
  <c r="J51" i="52"/>
  <c r="M49" i="52"/>
  <c r="L49" i="52"/>
  <c r="K49" i="52"/>
  <c r="J49" i="52"/>
  <c r="K48" i="52"/>
  <c r="M48" i="52" s="1"/>
  <c r="J48" i="52"/>
  <c r="M45" i="52"/>
  <c r="L45" i="52"/>
  <c r="K45" i="52"/>
  <c r="J45" i="52"/>
  <c r="M44" i="52"/>
  <c r="L44" i="52"/>
  <c r="K44" i="52"/>
  <c r="J44" i="52"/>
  <c r="K42" i="52"/>
  <c r="M42" i="52" s="1"/>
  <c r="J42" i="52"/>
  <c r="L41" i="52"/>
  <c r="K41" i="52"/>
  <c r="M41" i="52" s="1"/>
  <c r="J41" i="52"/>
  <c r="K39" i="52"/>
  <c r="M39" i="52" s="1"/>
  <c r="J39" i="52"/>
  <c r="L38" i="52"/>
  <c r="K38" i="52"/>
  <c r="M38" i="52" s="1"/>
  <c r="J38" i="52"/>
  <c r="L36" i="52"/>
  <c r="K36" i="52"/>
  <c r="M36" i="52" s="1"/>
  <c r="J36" i="52"/>
  <c r="K35" i="52"/>
  <c r="M35" i="52" s="1"/>
  <c r="J35" i="52"/>
  <c r="M34" i="52"/>
  <c r="L34" i="52"/>
  <c r="K34" i="52"/>
  <c r="J34" i="52"/>
  <c r="M33" i="52"/>
  <c r="L33" i="52"/>
  <c r="K33" i="52"/>
  <c r="J33" i="52"/>
  <c r="L31" i="52"/>
  <c r="K31" i="52"/>
  <c r="M31" i="52" s="1"/>
  <c r="J31" i="52"/>
  <c r="L30" i="52"/>
  <c r="K30" i="52"/>
  <c r="J30" i="52"/>
  <c r="M30" i="52" s="1"/>
  <c r="L29" i="52"/>
  <c r="K29" i="52"/>
  <c r="M29" i="52" s="1"/>
  <c r="J29" i="52"/>
  <c r="L28" i="52"/>
  <c r="K28" i="52"/>
  <c r="M28" i="52" s="1"/>
  <c r="J28" i="52"/>
  <c r="L27" i="52"/>
  <c r="K27" i="52"/>
  <c r="J27" i="52"/>
  <c r="M27" i="52" s="1"/>
  <c r="G27" i="52"/>
  <c r="L26" i="52"/>
  <c r="K26" i="52"/>
  <c r="M26" i="52" s="1"/>
  <c r="J26" i="52"/>
  <c r="G26" i="52"/>
  <c r="L25" i="52"/>
  <c r="K25" i="52"/>
  <c r="M25" i="52" s="1"/>
  <c r="J25" i="52"/>
  <c r="G25" i="52"/>
  <c r="L24" i="52"/>
  <c r="K24" i="52"/>
  <c r="M24" i="52" s="1"/>
  <c r="J24" i="52"/>
  <c r="K22" i="52"/>
  <c r="M22" i="52" s="1"/>
  <c r="J22" i="52"/>
  <c r="L21" i="52"/>
  <c r="K21" i="52"/>
  <c r="M21" i="52" s="1"/>
  <c r="J21" i="52"/>
  <c r="L20" i="52"/>
  <c r="K20" i="52"/>
  <c r="J20" i="52"/>
  <c r="M20" i="52" s="1"/>
  <c r="K19" i="52"/>
  <c r="M19" i="52" s="1"/>
  <c r="J19" i="52"/>
  <c r="L17" i="52"/>
  <c r="K17" i="52"/>
  <c r="J17" i="52"/>
  <c r="M17" i="52" s="1"/>
  <c r="L16" i="52"/>
  <c r="K16" i="52"/>
  <c r="J16" i="52"/>
  <c r="M16" i="52" s="1"/>
  <c r="L15" i="52"/>
  <c r="K15" i="52"/>
  <c r="J15" i="52"/>
  <c r="M15" i="52" s="1"/>
  <c r="W14" i="52"/>
  <c r="L14" i="52"/>
  <c r="K14" i="52"/>
  <c r="M14" i="52" s="1"/>
  <c r="J14" i="52"/>
  <c r="Y13" i="52"/>
  <c r="X13" i="52"/>
  <c r="W13" i="52"/>
  <c r="M13" i="52"/>
  <c r="L13" i="52"/>
  <c r="K13" i="52"/>
  <c r="J13" i="52"/>
  <c r="W12" i="52"/>
  <c r="X14" i="52" s="1"/>
  <c r="Y14" i="52" s="1"/>
  <c r="M12" i="52"/>
  <c r="K12" i="52"/>
  <c r="L12" i="52" s="1"/>
  <c r="J12" i="52"/>
  <c r="W11" i="52"/>
  <c r="X12" i="52" s="1"/>
  <c r="K11" i="52"/>
  <c r="M11" i="52" s="1"/>
  <c r="J11" i="52"/>
  <c r="M5" i="52"/>
  <c r="C94" i="52" s="1"/>
  <c r="E145" i="51"/>
  <c r="E124" i="51"/>
  <c r="K101" i="51"/>
  <c r="L101" i="51" s="1"/>
  <c r="J101" i="51"/>
  <c r="M101" i="51" s="1"/>
  <c r="M100" i="51"/>
  <c r="K100" i="51"/>
  <c r="L100" i="51" s="1"/>
  <c r="J100" i="51"/>
  <c r="M99" i="51"/>
  <c r="K99" i="51"/>
  <c r="L99" i="51" s="1"/>
  <c r="J99" i="51"/>
  <c r="M98" i="51"/>
  <c r="L98" i="51"/>
  <c r="K98" i="51"/>
  <c r="J98" i="51"/>
  <c r="C98" i="51"/>
  <c r="E98" i="51" s="1"/>
  <c r="G98" i="51" s="1"/>
  <c r="K96" i="51"/>
  <c r="M96" i="51" s="1"/>
  <c r="J96" i="51"/>
  <c r="K95" i="51"/>
  <c r="L95" i="51" s="1"/>
  <c r="J95" i="51"/>
  <c r="M95" i="51" s="1"/>
  <c r="K94" i="51"/>
  <c r="M94" i="51" s="1"/>
  <c r="J94" i="51"/>
  <c r="M91" i="51"/>
  <c r="K91" i="51"/>
  <c r="L91" i="51" s="1"/>
  <c r="J91" i="51"/>
  <c r="M90" i="51"/>
  <c r="K90" i="51"/>
  <c r="L90" i="51" s="1"/>
  <c r="J90" i="51"/>
  <c r="K89" i="51"/>
  <c r="M89" i="51" s="1"/>
  <c r="J89" i="51"/>
  <c r="M88" i="51"/>
  <c r="K88" i="51"/>
  <c r="L88" i="51" s="1"/>
  <c r="J88" i="51"/>
  <c r="L87" i="51"/>
  <c r="K87" i="51"/>
  <c r="M87" i="51" s="1"/>
  <c r="J87" i="51"/>
  <c r="K85" i="51"/>
  <c r="M85" i="51" s="1"/>
  <c r="J85" i="51"/>
  <c r="M84" i="51"/>
  <c r="L84" i="51"/>
  <c r="K84" i="51"/>
  <c r="J84" i="51"/>
  <c r="M83" i="51"/>
  <c r="K83" i="51"/>
  <c r="L83" i="51" s="1"/>
  <c r="J83" i="51"/>
  <c r="C83" i="51"/>
  <c r="L82" i="51"/>
  <c r="M82" i="51" s="1"/>
  <c r="K82" i="51"/>
  <c r="J82" i="51"/>
  <c r="M81" i="51"/>
  <c r="K81" i="51"/>
  <c r="L81" i="51" s="1"/>
  <c r="J81" i="51"/>
  <c r="C81" i="51"/>
  <c r="E84" i="51" s="1"/>
  <c r="G84" i="51" s="1"/>
  <c r="K78" i="51"/>
  <c r="L78" i="51" s="1"/>
  <c r="M78" i="51" s="1"/>
  <c r="J78" i="51"/>
  <c r="C78" i="51"/>
  <c r="E78" i="51" s="1"/>
  <c r="G78" i="51" s="1"/>
  <c r="M75" i="51"/>
  <c r="K75" i="51"/>
  <c r="L75" i="51" s="1"/>
  <c r="J75" i="51"/>
  <c r="C75" i="51"/>
  <c r="E75" i="51" s="1"/>
  <c r="G75" i="51" s="1"/>
  <c r="M73" i="51"/>
  <c r="L73" i="51"/>
  <c r="K73" i="51"/>
  <c r="J73" i="51"/>
  <c r="M71" i="51"/>
  <c r="K71" i="51"/>
  <c r="L71" i="51" s="1"/>
  <c r="J71" i="51"/>
  <c r="M68" i="51"/>
  <c r="K68" i="51"/>
  <c r="L68" i="51" s="1"/>
  <c r="J68" i="51"/>
  <c r="K66" i="51"/>
  <c r="M66" i="51" s="1"/>
  <c r="J66" i="51"/>
  <c r="L65" i="51"/>
  <c r="K65" i="51"/>
  <c r="M65" i="51" s="1"/>
  <c r="J65" i="51"/>
  <c r="M64" i="51"/>
  <c r="K64" i="51"/>
  <c r="L64" i="51" s="1"/>
  <c r="J64" i="51"/>
  <c r="M63" i="51"/>
  <c r="K63" i="51"/>
  <c r="L63" i="51" s="1"/>
  <c r="J63" i="51"/>
  <c r="M62" i="51"/>
  <c r="K62" i="51"/>
  <c r="L62" i="51" s="1"/>
  <c r="J62" i="51"/>
  <c r="M61" i="51"/>
  <c r="L61" i="51"/>
  <c r="K61" i="51"/>
  <c r="J61" i="51"/>
  <c r="M58" i="51"/>
  <c r="K58" i="51"/>
  <c r="L58" i="51" s="1"/>
  <c r="J58" i="51"/>
  <c r="L57" i="51"/>
  <c r="K57" i="51"/>
  <c r="M57" i="51" s="1"/>
  <c r="J57" i="51"/>
  <c r="M56" i="51"/>
  <c r="L56" i="51"/>
  <c r="K56" i="51"/>
  <c r="J56" i="51"/>
  <c r="L55" i="51"/>
  <c r="K55" i="51"/>
  <c r="M55" i="51" s="1"/>
  <c r="J55" i="51"/>
  <c r="L54" i="51"/>
  <c r="K54" i="51"/>
  <c r="M54" i="51" s="1"/>
  <c r="J54" i="51"/>
  <c r="M53" i="51"/>
  <c r="K53" i="51"/>
  <c r="L53" i="51" s="1"/>
  <c r="J53" i="51"/>
  <c r="C53" i="51"/>
  <c r="E56" i="51" s="1"/>
  <c r="G56" i="51" s="1"/>
  <c r="L51" i="51"/>
  <c r="K51" i="51"/>
  <c r="M51" i="51" s="1"/>
  <c r="J51" i="51"/>
  <c r="L49" i="51"/>
  <c r="K49" i="51"/>
  <c r="M49" i="51" s="1"/>
  <c r="J49" i="51"/>
  <c r="M48" i="51"/>
  <c r="K48" i="51"/>
  <c r="L48" i="51" s="1"/>
  <c r="J48" i="51"/>
  <c r="C48" i="51"/>
  <c r="E49" i="51" s="1"/>
  <c r="G49" i="51" s="1"/>
  <c r="M45" i="51"/>
  <c r="L45" i="51"/>
  <c r="K45" i="51"/>
  <c r="J45" i="51"/>
  <c r="M44" i="51"/>
  <c r="K44" i="51"/>
  <c r="L44" i="51" s="1"/>
  <c r="J44" i="51"/>
  <c r="M42" i="51"/>
  <c r="L42" i="51"/>
  <c r="K42" i="51"/>
  <c r="J42" i="51"/>
  <c r="M41" i="51"/>
  <c r="L41" i="51"/>
  <c r="K41" i="51"/>
  <c r="J41" i="51"/>
  <c r="L39" i="51"/>
  <c r="K39" i="51"/>
  <c r="J39" i="51"/>
  <c r="M39" i="51" s="1"/>
  <c r="K38" i="51"/>
  <c r="M38" i="51" s="1"/>
  <c r="J38" i="51"/>
  <c r="M36" i="51"/>
  <c r="L36" i="51"/>
  <c r="K36" i="51"/>
  <c r="J36" i="51"/>
  <c r="L35" i="51"/>
  <c r="K35" i="51"/>
  <c r="J35" i="51"/>
  <c r="M35" i="51" s="1"/>
  <c r="L34" i="51"/>
  <c r="K34" i="51"/>
  <c r="M34" i="51" s="1"/>
  <c r="J34" i="51"/>
  <c r="L33" i="51"/>
  <c r="K33" i="51"/>
  <c r="M33" i="51" s="1"/>
  <c r="J33" i="51"/>
  <c r="M31" i="51"/>
  <c r="L31" i="51"/>
  <c r="K31" i="51"/>
  <c r="J31" i="51"/>
  <c r="L30" i="51"/>
  <c r="K30" i="51"/>
  <c r="M30" i="51" s="1"/>
  <c r="J30" i="51"/>
  <c r="K29" i="51"/>
  <c r="M29" i="51" s="1"/>
  <c r="J29" i="51"/>
  <c r="M28" i="51"/>
  <c r="L28" i="51"/>
  <c r="K28" i="51"/>
  <c r="J28" i="51"/>
  <c r="L27" i="51"/>
  <c r="K27" i="51"/>
  <c r="M27" i="51" s="1"/>
  <c r="J27" i="51"/>
  <c r="G27" i="51"/>
  <c r="K26" i="51"/>
  <c r="M26" i="51" s="1"/>
  <c r="J26" i="51"/>
  <c r="G26" i="51"/>
  <c r="M25" i="51"/>
  <c r="L25" i="51"/>
  <c r="K25" i="51"/>
  <c r="J25" i="51"/>
  <c r="G25" i="51"/>
  <c r="M24" i="51"/>
  <c r="L24" i="51"/>
  <c r="K24" i="51"/>
  <c r="J24" i="51"/>
  <c r="L22" i="51"/>
  <c r="K22" i="51"/>
  <c r="J22" i="51"/>
  <c r="M22" i="51" s="1"/>
  <c r="M21" i="51"/>
  <c r="L21" i="51"/>
  <c r="K21" i="51"/>
  <c r="J21" i="51"/>
  <c r="L20" i="51"/>
  <c r="K20" i="51"/>
  <c r="M20" i="51" s="1"/>
  <c r="J20" i="51"/>
  <c r="M19" i="51"/>
  <c r="L19" i="51"/>
  <c r="K19" i="51"/>
  <c r="J19" i="51"/>
  <c r="C19" i="51"/>
  <c r="E22" i="51" s="1"/>
  <c r="G22" i="51" s="1"/>
  <c r="M17" i="51"/>
  <c r="L17" i="51"/>
  <c r="K17" i="51"/>
  <c r="J17" i="51"/>
  <c r="L16" i="51"/>
  <c r="K16" i="51"/>
  <c r="M16" i="51" s="1"/>
  <c r="J16" i="51"/>
  <c r="L15" i="51"/>
  <c r="K15" i="51"/>
  <c r="M15" i="51" s="1"/>
  <c r="J15" i="51"/>
  <c r="W14" i="51"/>
  <c r="M14" i="51"/>
  <c r="L14" i="51"/>
  <c r="K14" i="51"/>
  <c r="J14" i="51"/>
  <c r="E14" i="51"/>
  <c r="G14" i="51" s="1"/>
  <c r="X13" i="51"/>
  <c r="W13" i="51"/>
  <c r="L13" i="51"/>
  <c r="K13" i="51"/>
  <c r="J13" i="51"/>
  <c r="M13" i="51" s="1"/>
  <c r="G13" i="51"/>
  <c r="O13" i="51" s="1"/>
  <c r="P13" i="51" s="1"/>
  <c r="E13" i="51"/>
  <c r="C13" i="51"/>
  <c r="M12" i="51"/>
  <c r="K12" i="51"/>
  <c r="L12" i="51" s="1"/>
  <c r="J12" i="51"/>
  <c r="W11" i="51"/>
  <c r="M11" i="51"/>
  <c r="L11" i="51"/>
  <c r="K11" i="51"/>
  <c r="J11" i="51"/>
  <c r="C11" i="51"/>
  <c r="M5" i="51"/>
  <c r="C94" i="51" s="1"/>
  <c r="E145" i="50"/>
  <c r="E124" i="50"/>
  <c r="M101" i="50"/>
  <c r="K101" i="50"/>
  <c r="L101" i="50" s="1"/>
  <c r="J101" i="50"/>
  <c r="M100" i="50"/>
  <c r="K100" i="50"/>
  <c r="L100" i="50" s="1"/>
  <c r="J100" i="50"/>
  <c r="K99" i="50"/>
  <c r="L99" i="50" s="1"/>
  <c r="J99" i="50"/>
  <c r="M98" i="50"/>
  <c r="K98" i="50"/>
  <c r="L98" i="50" s="1"/>
  <c r="J98" i="50"/>
  <c r="C98" i="50"/>
  <c r="E98" i="50" s="1"/>
  <c r="G98" i="50" s="1"/>
  <c r="M96" i="50"/>
  <c r="L96" i="50"/>
  <c r="K96" i="50"/>
  <c r="J96" i="50"/>
  <c r="M95" i="50"/>
  <c r="K95" i="50"/>
  <c r="L95" i="50" s="1"/>
  <c r="J95" i="50"/>
  <c r="L94" i="50"/>
  <c r="K94" i="50"/>
  <c r="M94" i="50" s="1"/>
  <c r="J94" i="50"/>
  <c r="K91" i="50"/>
  <c r="L91" i="50" s="1"/>
  <c r="M91" i="50" s="1"/>
  <c r="J91" i="50"/>
  <c r="M90" i="50"/>
  <c r="K90" i="50"/>
  <c r="L90" i="50" s="1"/>
  <c r="J90" i="50"/>
  <c r="L89" i="50"/>
  <c r="K89" i="50"/>
  <c r="M89" i="50" s="1"/>
  <c r="J89" i="50"/>
  <c r="K88" i="50"/>
  <c r="L88" i="50" s="1"/>
  <c r="J88" i="50"/>
  <c r="L87" i="50"/>
  <c r="K87" i="50"/>
  <c r="M87" i="50" s="1"/>
  <c r="J87" i="50"/>
  <c r="L85" i="50"/>
  <c r="K85" i="50"/>
  <c r="M85" i="50" s="1"/>
  <c r="J85" i="50"/>
  <c r="L84" i="50"/>
  <c r="K84" i="50"/>
  <c r="M84" i="50" s="1"/>
  <c r="J84" i="50"/>
  <c r="M83" i="50"/>
  <c r="K83" i="50"/>
  <c r="L83" i="50" s="1"/>
  <c r="J83" i="50"/>
  <c r="C83" i="50"/>
  <c r="L82" i="50"/>
  <c r="M82" i="50" s="1"/>
  <c r="K82" i="50"/>
  <c r="J82" i="50"/>
  <c r="M81" i="50"/>
  <c r="K81" i="50"/>
  <c r="L81" i="50" s="1"/>
  <c r="J81" i="50"/>
  <c r="C81" i="50"/>
  <c r="E85" i="50" s="1"/>
  <c r="G85" i="50" s="1"/>
  <c r="K78" i="50"/>
  <c r="L78" i="50" s="1"/>
  <c r="M78" i="50" s="1"/>
  <c r="J78" i="50"/>
  <c r="C78" i="50"/>
  <c r="E78" i="50" s="1"/>
  <c r="G78" i="50" s="1"/>
  <c r="M75" i="50"/>
  <c r="K75" i="50"/>
  <c r="L75" i="50" s="1"/>
  <c r="J75" i="50"/>
  <c r="C75" i="50"/>
  <c r="E75" i="50" s="1"/>
  <c r="G75" i="50" s="1"/>
  <c r="L73" i="50"/>
  <c r="K73" i="50"/>
  <c r="M73" i="50" s="1"/>
  <c r="J73" i="50"/>
  <c r="M71" i="50"/>
  <c r="L71" i="50"/>
  <c r="K71" i="50"/>
  <c r="J71" i="50"/>
  <c r="C71" i="50"/>
  <c r="E71" i="50" s="1"/>
  <c r="G71" i="50" s="1"/>
  <c r="M68" i="50"/>
  <c r="L68" i="50"/>
  <c r="K68" i="50"/>
  <c r="J68" i="50"/>
  <c r="C68" i="50"/>
  <c r="E68" i="50" s="1"/>
  <c r="G68" i="50" s="1"/>
  <c r="K66" i="50"/>
  <c r="M66" i="50" s="1"/>
  <c r="J66" i="50"/>
  <c r="L65" i="50"/>
  <c r="K65" i="50"/>
  <c r="M65" i="50" s="1"/>
  <c r="J65" i="50"/>
  <c r="K64" i="50"/>
  <c r="L64" i="50" s="1"/>
  <c r="J64" i="50"/>
  <c r="M63" i="50"/>
  <c r="K63" i="50"/>
  <c r="L63" i="50" s="1"/>
  <c r="J63" i="50"/>
  <c r="M62" i="50"/>
  <c r="L62" i="50"/>
  <c r="K62" i="50"/>
  <c r="J62" i="50"/>
  <c r="M61" i="50"/>
  <c r="L61" i="50"/>
  <c r="K61" i="50"/>
  <c r="J61" i="50"/>
  <c r="M58" i="50"/>
  <c r="K58" i="50"/>
  <c r="L58" i="50" s="1"/>
  <c r="J58" i="50"/>
  <c r="L57" i="50"/>
  <c r="K57" i="50"/>
  <c r="M57" i="50" s="1"/>
  <c r="J57" i="50"/>
  <c r="M56" i="50"/>
  <c r="L56" i="50"/>
  <c r="K56" i="50"/>
  <c r="J56" i="50"/>
  <c r="E56" i="50"/>
  <c r="G56" i="50" s="1"/>
  <c r="L55" i="50"/>
  <c r="K55" i="50"/>
  <c r="M55" i="50" s="1"/>
  <c r="J55" i="50"/>
  <c r="L54" i="50"/>
  <c r="K54" i="50"/>
  <c r="J54" i="50"/>
  <c r="M54" i="50" s="1"/>
  <c r="M53" i="50"/>
  <c r="K53" i="50"/>
  <c r="L53" i="50" s="1"/>
  <c r="J53" i="50"/>
  <c r="C53" i="50"/>
  <c r="E57" i="50" s="1"/>
  <c r="L51" i="50"/>
  <c r="K51" i="50"/>
  <c r="M51" i="50" s="1"/>
  <c r="J51" i="50"/>
  <c r="E51" i="50"/>
  <c r="G51" i="50" s="1"/>
  <c r="C51" i="50"/>
  <c r="L49" i="50"/>
  <c r="K49" i="50"/>
  <c r="J49" i="50"/>
  <c r="M49" i="50" s="1"/>
  <c r="M48" i="50"/>
  <c r="K48" i="50"/>
  <c r="L48" i="50" s="1"/>
  <c r="J48" i="50"/>
  <c r="C48" i="50"/>
  <c r="E49" i="50" s="1"/>
  <c r="G49" i="50" s="1"/>
  <c r="M45" i="50"/>
  <c r="L45" i="50"/>
  <c r="K45" i="50"/>
  <c r="J45" i="50"/>
  <c r="M44" i="50"/>
  <c r="K44" i="50"/>
  <c r="L44" i="50" s="1"/>
  <c r="J44" i="50"/>
  <c r="M42" i="50"/>
  <c r="K42" i="50"/>
  <c r="L42" i="50" s="1"/>
  <c r="J42" i="50"/>
  <c r="L41" i="50"/>
  <c r="K41" i="50"/>
  <c r="M41" i="50" s="1"/>
  <c r="J41" i="50"/>
  <c r="E41" i="50"/>
  <c r="G41" i="50" s="1"/>
  <c r="C41" i="50"/>
  <c r="E42" i="50" s="1"/>
  <c r="G42" i="50" s="1"/>
  <c r="L39" i="50"/>
  <c r="K39" i="50"/>
  <c r="J39" i="50"/>
  <c r="M39" i="50" s="1"/>
  <c r="E39" i="50"/>
  <c r="G39" i="50" s="1"/>
  <c r="K38" i="50"/>
  <c r="M38" i="50" s="1"/>
  <c r="J38" i="50"/>
  <c r="C38" i="50"/>
  <c r="E38" i="50" s="1"/>
  <c r="G38" i="50" s="1"/>
  <c r="L36" i="50"/>
  <c r="K36" i="50"/>
  <c r="M36" i="50" s="1"/>
  <c r="J36" i="50"/>
  <c r="E36" i="50"/>
  <c r="G36" i="50" s="1"/>
  <c r="C36" i="50"/>
  <c r="L35" i="50"/>
  <c r="K35" i="50"/>
  <c r="J35" i="50"/>
  <c r="M35" i="50" s="1"/>
  <c r="E35" i="50"/>
  <c r="G35" i="50" s="1"/>
  <c r="C35" i="50"/>
  <c r="L34" i="50"/>
  <c r="K34" i="50"/>
  <c r="M34" i="50" s="1"/>
  <c r="J34" i="50"/>
  <c r="E34" i="50"/>
  <c r="G34" i="50" s="1"/>
  <c r="C34" i="50"/>
  <c r="L33" i="50"/>
  <c r="K33" i="50"/>
  <c r="J33" i="50"/>
  <c r="M33" i="50" s="1"/>
  <c r="L31" i="50"/>
  <c r="K31" i="50"/>
  <c r="M31" i="50" s="1"/>
  <c r="J31" i="50"/>
  <c r="E31" i="50"/>
  <c r="G31" i="50" s="1"/>
  <c r="L30" i="50"/>
  <c r="K30" i="50"/>
  <c r="J30" i="50"/>
  <c r="M30" i="50" s="1"/>
  <c r="K29" i="50"/>
  <c r="M29" i="50" s="1"/>
  <c r="J29" i="50"/>
  <c r="G29" i="50"/>
  <c r="L28" i="50"/>
  <c r="K28" i="50"/>
  <c r="M28" i="50" s="1"/>
  <c r="J28" i="50"/>
  <c r="E28" i="50"/>
  <c r="G30" i="50" s="1"/>
  <c r="L27" i="50"/>
  <c r="K27" i="50"/>
  <c r="J27" i="50"/>
  <c r="M27" i="50" s="1"/>
  <c r="G27" i="50"/>
  <c r="K26" i="50"/>
  <c r="M26" i="50" s="1"/>
  <c r="J26" i="50"/>
  <c r="G26" i="50"/>
  <c r="L25" i="50"/>
  <c r="K25" i="50"/>
  <c r="M25" i="50" s="1"/>
  <c r="J25" i="50"/>
  <c r="G25" i="50"/>
  <c r="L24" i="50"/>
  <c r="K24" i="50"/>
  <c r="M24" i="50" s="1"/>
  <c r="J24" i="50"/>
  <c r="E24" i="50"/>
  <c r="G24" i="50" s="1"/>
  <c r="C24" i="50"/>
  <c r="L22" i="50"/>
  <c r="K22" i="50"/>
  <c r="J22" i="50"/>
  <c r="M22" i="50" s="1"/>
  <c r="E22" i="50"/>
  <c r="G22" i="50" s="1"/>
  <c r="L21" i="50"/>
  <c r="K21" i="50"/>
  <c r="M21" i="50" s="1"/>
  <c r="J21" i="50"/>
  <c r="L20" i="50"/>
  <c r="K20" i="50"/>
  <c r="J20" i="50"/>
  <c r="M20" i="50" s="1"/>
  <c r="M19" i="50"/>
  <c r="K19" i="50"/>
  <c r="L19" i="50" s="1"/>
  <c r="J19" i="50"/>
  <c r="C19" i="50"/>
  <c r="E20" i="50" s="1"/>
  <c r="G20" i="50" s="1"/>
  <c r="M17" i="50"/>
  <c r="L17" i="50"/>
  <c r="K17" i="50"/>
  <c r="J17" i="50"/>
  <c r="L16" i="50"/>
  <c r="K16" i="50"/>
  <c r="J16" i="50"/>
  <c r="M16" i="50" s="1"/>
  <c r="L15" i="50"/>
  <c r="K15" i="50"/>
  <c r="J15" i="50"/>
  <c r="M15" i="50" s="1"/>
  <c r="W14" i="50"/>
  <c r="Y13" i="50" s="1"/>
  <c r="L14" i="50"/>
  <c r="K14" i="50"/>
  <c r="M14" i="50" s="1"/>
  <c r="J14" i="50"/>
  <c r="E14" i="50"/>
  <c r="G14" i="50" s="1"/>
  <c r="X13" i="50"/>
  <c r="W13" i="50"/>
  <c r="L13" i="50"/>
  <c r="K13" i="50"/>
  <c r="J13" i="50"/>
  <c r="M13" i="50" s="1"/>
  <c r="E13" i="50"/>
  <c r="G13" i="50" s="1"/>
  <c r="C13" i="50"/>
  <c r="K12" i="50"/>
  <c r="J12" i="50"/>
  <c r="W11" i="50"/>
  <c r="X12" i="50" s="1"/>
  <c r="M11" i="50"/>
  <c r="K11" i="50"/>
  <c r="L11" i="50" s="1"/>
  <c r="J11" i="50"/>
  <c r="C11" i="50"/>
  <c r="M5" i="50"/>
  <c r="C94" i="50" s="1"/>
  <c r="E145" i="49"/>
  <c r="E124" i="49"/>
  <c r="M101" i="49"/>
  <c r="K101" i="49"/>
  <c r="L101" i="49" s="1"/>
  <c r="J101" i="49"/>
  <c r="M100" i="49"/>
  <c r="K100" i="49"/>
  <c r="L100" i="49" s="1"/>
  <c r="J100" i="49"/>
  <c r="M99" i="49"/>
  <c r="L99" i="49"/>
  <c r="K99" i="49"/>
  <c r="J99" i="49"/>
  <c r="M98" i="49"/>
  <c r="K98" i="49"/>
  <c r="L98" i="49" s="1"/>
  <c r="J98" i="49"/>
  <c r="C98" i="49"/>
  <c r="E98" i="49" s="1"/>
  <c r="G98" i="49" s="1"/>
  <c r="M96" i="49"/>
  <c r="K96" i="49"/>
  <c r="L96" i="49" s="1"/>
  <c r="J96" i="49"/>
  <c r="K95" i="49"/>
  <c r="M95" i="49" s="1"/>
  <c r="J95" i="49"/>
  <c r="L94" i="49"/>
  <c r="K94" i="49"/>
  <c r="M94" i="49" s="1"/>
  <c r="J94" i="49"/>
  <c r="C94" i="49"/>
  <c r="E96" i="49" s="1"/>
  <c r="G96" i="49" s="1"/>
  <c r="L91" i="49"/>
  <c r="M91" i="49" s="1"/>
  <c r="K91" i="49"/>
  <c r="J91" i="49"/>
  <c r="M90" i="49"/>
  <c r="K90" i="49"/>
  <c r="L90" i="49" s="1"/>
  <c r="J90" i="49"/>
  <c r="L89" i="49"/>
  <c r="K89" i="49"/>
  <c r="M89" i="49" s="1"/>
  <c r="J89" i="49"/>
  <c r="M88" i="49"/>
  <c r="L88" i="49"/>
  <c r="K88" i="49"/>
  <c r="J88" i="49"/>
  <c r="M87" i="49"/>
  <c r="L87" i="49"/>
  <c r="K87" i="49"/>
  <c r="J87" i="49"/>
  <c r="L85" i="49"/>
  <c r="K85" i="49"/>
  <c r="M85" i="49" s="1"/>
  <c r="J85" i="49"/>
  <c r="M84" i="49"/>
  <c r="L84" i="49"/>
  <c r="K84" i="49"/>
  <c r="J84" i="49"/>
  <c r="K83" i="49"/>
  <c r="M83" i="49" s="1"/>
  <c r="J83" i="49"/>
  <c r="C83" i="49"/>
  <c r="M82" i="49"/>
  <c r="L82" i="49"/>
  <c r="K82" i="49"/>
  <c r="J82" i="49"/>
  <c r="M81" i="49"/>
  <c r="K81" i="49"/>
  <c r="L81" i="49" s="1"/>
  <c r="J81" i="49"/>
  <c r="C81" i="49"/>
  <c r="E85" i="49" s="1"/>
  <c r="G85" i="49" s="1"/>
  <c r="K78" i="49"/>
  <c r="L78" i="49" s="1"/>
  <c r="M78" i="49" s="1"/>
  <c r="J78" i="49"/>
  <c r="C78" i="49"/>
  <c r="E78" i="49" s="1"/>
  <c r="G78" i="49" s="1"/>
  <c r="M75" i="49"/>
  <c r="K75" i="49"/>
  <c r="L75" i="49" s="1"/>
  <c r="J75" i="49"/>
  <c r="C75" i="49"/>
  <c r="E75" i="49" s="1"/>
  <c r="G75" i="49" s="1"/>
  <c r="M73" i="49"/>
  <c r="K73" i="49"/>
  <c r="L73" i="49" s="1"/>
  <c r="J73" i="49"/>
  <c r="M71" i="49"/>
  <c r="L71" i="49"/>
  <c r="K71" i="49"/>
  <c r="J71" i="49"/>
  <c r="M68" i="49"/>
  <c r="K68" i="49"/>
  <c r="L68" i="49" s="1"/>
  <c r="J68" i="49"/>
  <c r="K66" i="49"/>
  <c r="M66" i="49" s="1"/>
  <c r="J66" i="49"/>
  <c r="L65" i="49"/>
  <c r="K65" i="49"/>
  <c r="M65" i="49" s="1"/>
  <c r="J65" i="49"/>
  <c r="M64" i="49"/>
  <c r="L64" i="49"/>
  <c r="K64" i="49"/>
  <c r="J64" i="49"/>
  <c r="K63" i="49"/>
  <c r="M63" i="49" s="1"/>
  <c r="J63" i="49"/>
  <c r="M62" i="49"/>
  <c r="K62" i="49"/>
  <c r="L62" i="49" s="1"/>
  <c r="J62" i="49"/>
  <c r="M61" i="49"/>
  <c r="L61" i="49"/>
  <c r="K61" i="49"/>
  <c r="J61" i="49"/>
  <c r="K58" i="49"/>
  <c r="M58" i="49" s="1"/>
  <c r="J58" i="49"/>
  <c r="K57" i="49"/>
  <c r="L57" i="49" s="1"/>
  <c r="J57" i="49"/>
  <c r="M56" i="49"/>
  <c r="L56" i="49"/>
  <c r="K56" i="49"/>
  <c r="J56" i="49"/>
  <c r="L55" i="49"/>
  <c r="K55" i="49"/>
  <c r="M55" i="49" s="1"/>
  <c r="J55" i="49"/>
  <c r="M54" i="49"/>
  <c r="L54" i="49"/>
  <c r="K54" i="49"/>
  <c r="J54" i="49"/>
  <c r="K53" i="49"/>
  <c r="M53" i="49" s="1"/>
  <c r="J53" i="49"/>
  <c r="C53" i="49"/>
  <c r="E56" i="49" s="1"/>
  <c r="G56" i="49" s="1"/>
  <c r="K51" i="49"/>
  <c r="L51" i="49" s="1"/>
  <c r="J51" i="49"/>
  <c r="M49" i="49"/>
  <c r="L49" i="49"/>
  <c r="K49" i="49"/>
  <c r="J49" i="49"/>
  <c r="K48" i="49"/>
  <c r="M48" i="49" s="1"/>
  <c r="J48" i="49"/>
  <c r="C48" i="49"/>
  <c r="E49" i="49" s="1"/>
  <c r="G49" i="49" s="1"/>
  <c r="M45" i="49"/>
  <c r="K45" i="49"/>
  <c r="L45" i="49" s="1"/>
  <c r="J45" i="49"/>
  <c r="M44" i="49"/>
  <c r="L44" i="49"/>
  <c r="K44" i="49"/>
  <c r="J44" i="49"/>
  <c r="K42" i="49"/>
  <c r="M42" i="49" s="1"/>
  <c r="J42" i="49"/>
  <c r="L41" i="49"/>
  <c r="K41" i="49"/>
  <c r="M41" i="49" s="1"/>
  <c r="J41" i="49"/>
  <c r="C41" i="49"/>
  <c r="E41" i="49" s="1"/>
  <c r="G41" i="49" s="1"/>
  <c r="L39" i="49"/>
  <c r="K39" i="49"/>
  <c r="J39" i="49"/>
  <c r="M39" i="49" s="1"/>
  <c r="K38" i="49"/>
  <c r="M38" i="49" s="1"/>
  <c r="J38" i="49"/>
  <c r="C38" i="49"/>
  <c r="E39" i="49" s="1"/>
  <c r="G39" i="49" s="1"/>
  <c r="L36" i="49"/>
  <c r="K36" i="49"/>
  <c r="M36" i="49" s="1"/>
  <c r="J36" i="49"/>
  <c r="C36" i="49"/>
  <c r="E36" i="49" s="1"/>
  <c r="G36" i="49" s="1"/>
  <c r="L35" i="49"/>
  <c r="K35" i="49"/>
  <c r="J35" i="49"/>
  <c r="M35" i="49" s="1"/>
  <c r="K34" i="49"/>
  <c r="L34" i="49" s="1"/>
  <c r="J34" i="49"/>
  <c r="E34" i="49"/>
  <c r="G34" i="49" s="1"/>
  <c r="C34" i="49"/>
  <c r="M33" i="49"/>
  <c r="L33" i="49"/>
  <c r="K33" i="49"/>
  <c r="J33" i="49"/>
  <c r="L31" i="49"/>
  <c r="K31" i="49"/>
  <c r="M31" i="49" s="1"/>
  <c r="J31" i="49"/>
  <c r="M30" i="49"/>
  <c r="L30" i="49"/>
  <c r="K30" i="49"/>
  <c r="J30" i="49"/>
  <c r="K29" i="49"/>
  <c r="M29" i="49" s="1"/>
  <c r="J29" i="49"/>
  <c r="L28" i="49"/>
  <c r="K28" i="49"/>
  <c r="M28" i="49" s="1"/>
  <c r="J28" i="49"/>
  <c r="M27" i="49"/>
  <c r="L27" i="49"/>
  <c r="K27" i="49"/>
  <c r="J27" i="49"/>
  <c r="G27" i="49"/>
  <c r="K26" i="49"/>
  <c r="M26" i="49" s="1"/>
  <c r="J26" i="49"/>
  <c r="G26" i="49"/>
  <c r="L25" i="49"/>
  <c r="K25" i="49"/>
  <c r="M25" i="49" s="1"/>
  <c r="J25" i="49"/>
  <c r="G25" i="49"/>
  <c r="M24" i="49"/>
  <c r="L24" i="49"/>
  <c r="K24" i="49"/>
  <c r="J24" i="49"/>
  <c r="C24" i="49"/>
  <c r="E31" i="49" s="1"/>
  <c r="G31" i="49" s="1"/>
  <c r="M22" i="49"/>
  <c r="L22" i="49"/>
  <c r="K22" i="49"/>
  <c r="J22" i="49"/>
  <c r="L21" i="49"/>
  <c r="K21" i="49"/>
  <c r="M21" i="49" s="1"/>
  <c r="J21" i="49"/>
  <c r="M20" i="49"/>
  <c r="L20" i="49"/>
  <c r="K20" i="49"/>
  <c r="J20" i="49"/>
  <c r="K19" i="49"/>
  <c r="M19" i="49" s="1"/>
  <c r="J19" i="49"/>
  <c r="C19" i="49"/>
  <c r="E22" i="49" s="1"/>
  <c r="G22" i="49" s="1"/>
  <c r="M17" i="49"/>
  <c r="L17" i="49"/>
  <c r="K17" i="49"/>
  <c r="J17" i="49"/>
  <c r="M16" i="49"/>
  <c r="L16" i="49"/>
  <c r="K16" i="49"/>
  <c r="J16" i="49"/>
  <c r="M15" i="49"/>
  <c r="L15" i="49"/>
  <c r="K15" i="49"/>
  <c r="J15" i="49"/>
  <c r="W14" i="49"/>
  <c r="L14" i="49"/>
  <c r="K14" i="49"/>
  <c r="M14" i="49" s="1"/>
  <c r="J14" i="49"/>
  <c r="E14" i="49"/>
  <c r="G14" i="49" s="1"/>
  <c r="Y13" i="49"/>
  <c r="W13" i="49"/>
  <c r="M13" i="49"/>
  <c r="K13" i="49"/>
  <c r="L13" i="49" s="1"/>
  <c r="J13" i="49"/>
  <c r="E13" i="49"/>
  <c r="G13" i="49" s="1"/>
  <c r="C13" i="49"/>
  <c r="M12" i="49"/>
  <c r="L12" i="49"/>
  <c r="K12" i="49"/>
  <c r="J12" i="49"/>
  <c r="W11" i="49"/>
  <c r="X13" i="49" s="1"/>
  <c r="K11" i="49"/>
  <c r="M11" i="49" s="1"/>
  <c r="J11" i="49"/>
  <c r="C11" i="49"/>
  <c r="M5" i="49"/>
  <c r="C71" i="49" s="1"/>
  <c r="E71" i="49" s="1"/>
  <c r="G71" i="49" s="1"/>
  <c r="E145" i="47"/>
  <c r="E124" i="47"/>
  <c r="M101" i="47"/>
  <c r="K101" i="47"/>
  <c r="L101" i="47" s="1"/>
  <c r="J101" i="47"/>
  <c r="M100" i="47"/>
  <c r="K100" i="47"/>
  <c r="L100" i="47" s="1"/>
  <c r="J100" i="47"/>
  <c r="M99" i="47"/>
  <c r="L99" i="47"/>
  <c r="K99" i="47"/>
  <c r="J99" i="47"/>
  <c r="M98" i="47"/>
  <c r="L98" i="47"/>
  <c r="K98" i="47"/>
  <c r="J98" i="47"/>
  <c r="C98" i="47"/>
  <c r="E98" i="47" s="1"/>
  <c r="G98" i="47" s="1"/>
  <c r="K96" i="47"/>
  <c r="M96" i="47" s="1"/>
  <c r="J96" i="47"/>
  <c r="K95" i="47"/>
  <c r="L95" i="47" s="1"/>
  <c r="J95" i="47"/>
  <c r="M95" i="47" s="1"/>
  <c r="K94" i="47"/>
  <c r="M94" i="47" s="1"/>
  <c r="J94" i="47"/>
  <c r="M91" i="47"/>
  <c r="K91" i="47"/>
  <c r="L91" i="47" s="1"/>
  <c r="J91" i="47"/>
  <c r="M90" i="47"/>
  <c r="K90" i="47"/>
  <c r="L90" i="47" s="1"/>
  <c r="J90" i="47"/>
  <c r="K89" i="47"/>
  <c r="M89" i="47" s="1"/>
  <c r="J89" i="47"/>
  <c r="M88" i="47"/>
  <c r="K88" i="47"/>
  <c r="L88" i="47" s="1"/>
  <c r="J88" i="47"/>
  <c r="L87" i="47"/>
  <c r="K87" i="47"/>
  <c r="M87" i="47" s="1"/>
  <c r="J87" i="47"/>
  <c r="K85" i="47"/>
  <c r="M85" i="47" s="1"/>
  <c r="J85" i="47"/>
  <c r="K84" i="47"/>
  <c r="M84" i="47" s="1"/>
  <c r="J84" i="47"/>
  <c r="M83" i="47"/>
  <c r="L83" i="47"/>
  <c r="K83" i="47"/>
  <c r="J83" i="47"/>
  <c r="C83" i="47"/>
  <c r="K82" i="47"/>
  <c r="L82" i="47" s="1"/>
  <c r="M82" i="47" s="1"/>
  <c r="J82" i="47"/>
  <c r="M81" i="47"/>
  <c r="L81" i="47"/>
  <c r="K81" i="47"/>
  <c r="J81" i="47"/>
  <c r="C81" i="47"/>
  <c r="E85" i="47" s="1"/>
  <c r="G85" i="47" s="1"/>
  <c r="K78" i="47"/>
  <c r="L78" i="47" s="1"/>
  <c r="M78" i="47" s="1"/>
  <c r="J78" i="47"/>
  <c r="C78" i="47"/>
  <c r="E78" i="47" s="1"/>
  <c r="G78" i="47" s="1"/>
  <c r="K75" i="47"/>
  <c r="M75" i="47" s="1"/>
  <c r="J75" i="47"/>
  <c r="C75" i="47"/>
  <c r="E75" i="47" s="1"/>
  <c r="G75" i="47" s="1"/>
  <c r="L73" i="47"/>
  <c r="K73" i="47"/>
  <c r="M73" i="47" s="1"/>
  <c r="J73" i="47"/>
  <c r="M71" i="47"/>
  <c r="K71" i="47"/>
  <c r="L71" i="47" s="1"/>
  <c r="J71" i="47"/>
  <c r="M68" i="47"/>
  <c r="K68" i="47"/>
  <c r="L68" i="47" s="1"/>
  <c r="J68" i="47"/>
  <c r="K66" i="47"/>
  <c r="M66" i="47" s="1"/>
  <c r="J66" i="47"/>
  <c r="M65" i="47"/>
  <c r="L65" i="47"/>
  <c r="K65" i="47"/>
  <c r="J65" i="47"/>
  <c r="M64" i="47"/>
  <c r="K64" i="47"/>
  <c r="L64" i="47" s="1"/>
  <c r="J64" i="47"/>
  <c r="M63" i="47"/>
  <c r="K63" i="47"/>
  <c r="L63" i="47" s="1"/>
  <c r="J63" i="47"/>
  <c r="M62" i="47"/>
  <c r="K62" i="47"/>
  <c r="L62" i="47" s="1"/>
  <c r="J62" i="47"/>
  <c r="M61" i="47"/>
  <c r="L61" i="47"/>
  <c r="K61" i="47"/>
  <c r="J61" i="47"/>
  <c r="K58" i="47"/>
  <c r="M58" i="47" s="1"/>
  <c r="J58" i="47"/>
  <c r="L57" i="47"/>
  <c r="K57" i="47"/>
  <c r="M57" i="47" s="1"/>
  <c r="J57" i="47"/>
  <c r="L56" i="47"/>
  <c r="K56" i="47"/>
  <c r="J56" i="47"/>
  <c r="M56" i="47" s="1"/>
  <c r="M55" i="47"/>
  <c r="L55" i="47"/>
  <c r="K55" i="47"/>
  <c r="J55" i="47"/>
  <c r="K54" i="47"/>
  <c r="M54" i="47" s="1"/>
  <c r="J54" i="47"/>
  <c r="K53" i="47"/>
  <c r="M53" i="47" s="1"/>
  <c r="J53" i="47"/>
  <c r="C53" i="47"/>
  <c r="E55" i="47" s="1"/>
  <c r="G55" i="47" s="1"/>
  <c r="L51" i="47"/>
  <c r="K51" i="47"/>
  <c r="M51" i="47" s="1"/>
  <c r="J51" i="47"/>
  <c r="K49" i="47"/>
  <c r="M49" i="47" s="1"/>
  <c r="J49" i="47"/>
  <c r="L48" i="47"/>
  <c r="K48" i="47"/>
  <c r="M48" i="47" s="1"/>
  <c r="J48" i="47"/>
  <c r="C48" i="47"/>
  <c r="E49" i="47" s="1"/>
  <c r="G49" i="47" s="1"/>
  <c r="L45" i="47"/>
  <c r="K45" i="47"/>
  <c r="M45" i="47" s="1"/>
  <c r="J45" i="47"/>
  <c r="M44" i="47"/>
  <c r="K44" i="47"/>
  <c r="L44" i="47" s="1"/>
  <c r="J44" i="47"/>
  <c r="L42" i="47"/>
  <c r="K42" i="47"/>
  <c r="M42" i="47" s="1"/>
  <c r="J42" i="47"/>
  <c r="M41" i="47"/>
  <c r="L41" i="47"/>
  <c r="K41" i="47"/>
  <c r="J41" i="47"/>
  <c r="L39" i="47"/>
  <c r="K39" i="47"/>
  <c r="J39" i="47"/>
  <c r="M39" i="47" s="1"/>
  <c r="K38" i="47"/>
  <c r="M38" i="47" s="1"/>
  <c r="J38" i="47"/>
  <c r="M36" i="47"/>
  <c r="L36" i="47"/>
  <c r="K36" i="47"/>
  <c r="J36" i="47"/>
  <c r="M35" i="47"/>
  <c r="L35" i="47"/>
  <c r="K35" i="47"/>
  <c r="J35" i="47"/>
  <c r="C35" i="47"/>
  <c r="E35" i="47" s="1"/>
  <c r="G35" i="47" s="1"/>
  <c r="L34" i="47"/>
  <c r="K34" i="47"/>
  <c r="M34" i="47" s="1"/>
  <c r="J34" i="47"/>
  <c r="L33" i="47"/>
  <c r="K33" i="47"/>
  <c r="M33" i="47" s="1"/>
  <c r="J33" i="47"/>
  <c r="M31" i="47"/>
  <c r="K31" i="47"/>
  <c r="L31" i="47" s="1"/>
  <c r="J31" i="47"/>
  <c r="K30" i="47"/>
  <c r="M30" i="47" s="1"/>
  <c r="J30" i="47"/>
  <c r="K29" i="47"/>
  <c r="M29" i="47" s="1"/>
  <c r="J29" i="47"/>
  <c r="M28" i="47"/>
  <c r="K28" i="47"/>
  <c r="L28" i="47" s="1"/>
  <c r="J28" i="47"/>
  <c r="M27" i="47"/>
  <c r="K27" i="47"/>
  <c r="L27" i="47" s="1"/>
  <c r="J27" i="47"/>
  <c r="G27" i="47"/>
  <c r="M26" i="47"/>
  <c r="K26" i="47"/>
  <c r="L26" i="47" s="1"/>
  <c r="J26" i="47"/>
  <c r="G26" i="47"/>
  <c r="M25" i="47"/>
  <c r="K25" i="47"/>
  <c r="L25" i="47" s="1"/>
  <c r="J25" i="47"/>
  <c r="G25" i="47"/>
  <c r="M24" i="47"/>
  <c r="K24" i="47"/>
  <c r="L24" i="47" s="1"/>
  <c r="J24" i="47"/>
  <c r="M22" i="47"/>
  <c r="L22" i="47"/>
  <c r="K22" i="47"/>
  <c r="J22" i="47"/>
  <c r="M21" i="47"/>
  <c r="K21" i="47"/>
  <c r="L21" i="47" s="1"/>
  <c r="J21" i="47"/>
  <c r="K20" i="47"/>
  <c r="M20" i="47" s="1"/>
  <c r="J20" i="47"/>
  <c r="L19" i="47"/>
  <c r="K19" i="47"/>
  <c r="M19" i="47" s="1"/>
  <c r="J19" i="47"/>
  <c r="C19" i="47"/>
  <c r="E22" i="47" s="1"/>
  <c r="G22" i="47" s="1"/>
  <c r="M17" i="47"/>
  <c r="L17" i="47"/>
  <c r="K17" i="47"/>
  <c r="J17" i="47"/>
  <c r="K16" i="47"/>
  <c r="M16" i="47" s="1"/>
  <c r="J16" i="47"/>
  <c r="K15" i="47"/>
  <c r="M15" i="47" s="1"/>
  <c r="J15" i="47"/>
  <c r="W14" i="47"/>
  <c r="M14" i="47"/>
  <c r="K14" i="47"/>
  <c r="L14" i="47" s="1"/>
  <c r="J14" i="47"/>
  <c r="E14" i="47"/>
  <c r="G14" i="47" s="1"/>
  <c r="W13" i="47"/>
  <c r="L13" i="47"/>
  <c r="K13" i="47"/>
  <c r="J13" i="47"/>
  <c r="M13" i="47" s="1"/>
  <c r="C13" i="47"/>
  <c r="E13" i="47" s="1"/>
  <c r="G13" i="47" s="1"/>
  <c r="M12" i="47"/>
  <c r="K12" i="47"/>
  <c r="L12" i="47" s="1"/>
  <c r="J12" i="47"/>
  <c r="W11" i="47"/>
  <c r="L11" i="47"/>
  <c r="K11" i="47"/>
  <c r="M11" i="47" s="1"/>
  <c r="J11" i="47"/>
  <c r="C11" i="47"/>
  <c r="M5" i="47"/>
  <c r="C94" i="47" s="1"/>
  <c r="E145" i="43"/>
  <c r="E124" i="43"/>
  <c r="M101" i="43"/>
  <c r="L101" i="43"/>
  <c r="K101" i="43"/>
  <c r="J101" i="43"/>
  <c r="M100" i="43"/>
  <c r="L100" i="43"/>
  <c r="K100" i="43"/>
  <c r="J100" i="43"/>
  <c r="L99" i="43"/>
  <c r="K99" i="43"/>
  <c r="M99" i="43" s="1"/>
  <c r="J99" i="43"/>
  <c r="M98" i="43"/>
  <c r="L98" i="43"/>
  <c r="K98" i="43"/>
  <c r="J98" i="43"/>
  <c r="K96" i="43"/>
  <c r="M96" i="43" s="1"/>
  <c r="J96" i="43"/>
  <c r="M95" i="43"/>
  <c r="K95" i="43"/>
  <c r="L95" i="43" s="1"/>
  <c r="J95" i="43"/>
  <c r="K94" i="43"/>
  <c r="M94" i="43" s="1"/>
  <c r="J94" i="43"/>
  <c r="K91" i="43"/>
  <c r="L91" i="43" s="1"/>
  <c r="M91" i="43" s="1"/>
  <c r="J91" i="43"/>
  <c r="M90" i="43"/>
  <c r="L90" i="43"/>
  <c r="K90" i="43"/>
  <c r="J90" i="43"/>
  <c r="K89" i="43"/>
  <c r="M89" i="43" s="1"/>
  <c r="J89" i="43"/>
  <c r="K88" i="43"/>
  <c r="L88" i="43" s="1"/>
  <c r="J88" i="43"/>
  <c r="M87" i="43"/>
  <c r="L87" i="43"/>
  <c r="K87" i="43"/>
  <c r="J87" i="43"/>
  <c r="K85" i="43"/>
  <c r="M85" i="43" s="1"/>
  <c r="J85" i="43"/>
  <c r="M84" i="43"/>
  <c r="L84" i="43"/>
  <c r="K84" i="43"/>
  <c r="J84" i="43"/>
  <c r="M83" i="43"/>
  <c r="K83" i="43"/>
  <c r="L83" i="43" s="1"/>
  <c r="J83" i="43"/>
  <c r="L82" i="43"/>
  <c r="M82" i="43" s="1"/>
  <c r="K82" i="43"/>
  <c r="J82" i="43"/>
  <c r="M81" i="43"/>
  <c r="K81" i="43"/>
  <c r="L81" i="43" s="1"/>
  <c r="J81" i="43"/>
  <c r="K78" i="43"/>
  <c r="L78" i="43" s="1"/>
  <c r="M78" i="43" s="1"/>
  <c r="J78" i="43"/>
  <c r="M75" i="43"/>
  <c r="K75" i="43"/>
  <c r="L75" i="43" s="1"/>
  <c r="J75" i="43"/>
  <c r="M73" i="43"/>
  <c r="K73" i="43"/>
  <c r="L73" i="43" s="1"/>
  <c r="J73" i="43"/>
  <c r="L71" i="43"/>
  <c r="K71" i="43"/>
  <c r="M71" i="43" s="1"/>
  <c r="J71" i="43"/>
  <c r="M68" i="43"/>
  <c r="L68" i="43"/>
  <c r="K68" i="43"/>
  <c r="J68" i="43"/>
  <c r="L66" i="43"/>
  <c r="K66" i="43"/>
  <c r="J66" i="43"/>
  <c r="M66" i="43" s="1"/>
  <c r="L65" i="43"/>
  <c r="K65" i="43"/>
  <c r="M65" i="43" s="1"/>
  <c r="J65" i="43"/>
  <c r="K64" i="43"/>
  <c r="L64" i="43" s="1"/>
  <c r="J64" i="43"/>
  <c r="M63" i="43"/>
  <c r="L63" i="43"/>
  <c r="K63" i="43"/>
  <c r="J63" i="43"/>
  <c r="M62" i="43"/>
  <c r="K62" i="43"/>
  <c r="L62" i="43" s="1"/>
  <c r="J62" i="43"/>
  <c r="M61" i="43"/>
  <c r="K61" i="43"/>
  <c r="L61" i="43" s="1"/>
  <c r="J61" i="43"/>
  <c r="M58" i="43"/>
  <c r="K58" i="43"/>
  <c r="L58" i="43" s="1"/>
  <c r="J58" i="43"/>
  <c r="M57" i="43"/>
  <c r="K57" i="43"/>
  <c r="L57" i="43" s="1"/>
  <c r="J57" i="43"/>
  <c r="K56" i="43"/>
  <c r="M56" i="43" s="1"/>
  <c r="J56" i="43"/>
  <c r="K55" i="43"/>
  <c r="M55" i="43" s="1"/>
  <c r="J55" i="43"/>
  <c r="M54" i="43"/>
  <c r="L54" i="43"/>
  <c r="K54" i="43"/>
  <c r="J54" i="43"/>
  <c r="M53" i="43"/>
  <c r="K53" i="43"/>
  <c r="L53" i="43" s="1"/>
  <c r="J53" i="43"/>
  <c r="M51" i="43"/>
  <c r="K51" i="43"/>
  <c r="L51" i="43" s="1"/>
  <c r="J51" i="43"/>
  <c r="M49" i="43"/>
  <c r="L49" i="43"/>
  <c r="K49" i="43"/>
  <c r="J49" i="43"/>
  <c r="M48" i="43"/>
  <c r="K48" i="43"/>
  <c r="L48" i="43" s="1"/>
  <c r="J48" i="43"/>
  <c r="M45" i="43"/>
  <c r="K45" i="43"/>
  <c r="L45" i="43" s="1"/>
  <c r="J45" i="43"/>
  <c r="K44" i="43"/>
  <c r="L44" i="43" s="1"/>
  <c r="J44" i="43"/>
  <c r="M44" i="43" s="1"/>
  <c r="M42" i="43"/>
  <c r="K42" i="43"/>
  <c r="L42" i="43" s="1"/>
  <c r="J42" i="43"/>
  <c r="K41" i="43"/>
  <c r="M41" i="43" s="1"/>
  <c r="J41" i="43"/>
  <c r="K39" i="43"/>
  <c r="M39" i="43" s="1"/>
  <c r="J39" i="43"/>
  <c r="L38" i="43"/>
  <c r="K38" i="43"/>
  <c r="M38" i="43" s="1"/>
  <c r="J38" i="43"/>
  <c r="K36" i="43"/>
  <c r="M36" i="43" s="1"/>
  <c r="J36" i="43"/>
  <c r="K35" i="43"/>
  <c r="M35" i="43" s="1"/>
  <c r="J35" i="43"/>
  <c r="M34" i="43"/>
  <c r="K34" i="43"/>
  <c r="L34" i="43" s="1"/>
  <c r="J34" i="43"/>
  <c r="M33" i="43"/>
  <c r="L33" i="43"/>
  <c r="K33" i="43"/>
  <c r="J33" i="43"/>
  <c r="K31" i="43"/>
  <c r="M31" i="43" s="1"/>
  <c r="J31" i="43"/>
  <c r="M30" i="43"/>
  <c r="L30" i="43"/>
  <c r="K30" i="43"/>
  <c r="J30" i="43"/>
  <c r="L29" i="43"/>
  <c r="K29" i="43"/>
  <c r="M29" i="43" s="1"/>
  <c r="J29" i="43"/>
  <c r="K28" i="43"/>
  <c r="M28" i="43" s="1"/>
  <c r="J28" i="43"/>
  <c r="M27" i="43"/>
  <c r="L27" i="43"/>
  <c r="K27" i="43"/>
  <c r="J27" i="43"/>
  <c r="G27" i="43"/>
  <c r="L26" i="43"/>
  <c r="K26" i="43"/>
  <c r="M26" i="43" s="1"/>
  <c r="J26" i="43"/>
  <c r="G26" i="43"/>
  <c r="K25" i="43"/>
  <c r="M25" i="43" s="1"/>
  <c r="J25" i="43"/>
  <c r="G25" i="43"/>
  <c r="K24" i="43"/>
  <c r="M24" i="43" s="1"/>
  <c r="J24" i="43"/>
  <c r="K22" i="43"/>
  <c r="M22" i="43" s="1"/>
  <c r="J22" i="43"/>
  <c r="K21" i="43"/>
  <c r="M21" i="43" s="1"/>
  <c r="J21" i="43"/>
  <c r="M20" i="43"/>
  <c r="L20" i="43"/>
  <c r="K20" i="43"/>
  <c r="J20" i="43"/>
  <c r="M19" i="43"/>
  <c r="K19" i="43"/>
  <c r="L19" i="43" s="1"/>
  <c r="J19" i="43"/>
  <c r="M17" i="43"/>
  <c r="L17" i="43"/>
  <c r="K17" i="43"/>
  <c r="J17" i="43"/>
  <c r="M16" i="43"/>
  <c r="L16" i="43"/>
  <c r="K16" i="43"/>
  <c r="J16" i="43"/>
  <c r="M15" i="43"/>
  <c r="L15" i="43"/>
  <c r="K15" i="43"/>
  <c r="J15" i="43"/>
  <c r="W14" i="43"/>
  <c r="K14" i="43"/>
  <c r="M14" i="43" s="1"/>
  <c r="J14" i="43"/>
  <c r="Y13" i="43"/>
  <c r="X13" i="43"/>
  <c r="W13" i="43"/>
  <c r="M13" i="43"/>
  <c r="K13" i="43"/>
  <c r="L13" i="43" s="1"/>
  <c r="J13" i="43"/>
  <c r="W12" i="43"/>
  <c r="X14" i="43" s="1"/>
  <c r="K12" i="43"/>
  <c r="L12" i="43" s="1"/>
  <c r="J12" i="43"/>
  <c r="W11" i="43"/>
  <c r="X12" i="43" s="1"/>
  <c r="M11" i="43"/>
  <c r="K11" i="43"/>
  <c r="L11" i="43" s="1"/>
  <c r="J11" i="43"/>
  <c r="M5" i="43"/>
  <c r="C94" i="43" s="1"/>
  <c r="E145" i="38"/>
  <c r="E124" i="38"/>
  <c r="M101" i="38"/>
  <c r="K101" i="38"/>
  <c r="L101" i="38" s="1"/>
  <c r="J101" i="38"/>
  <c r="M100" i="38"/>
  <c r="K100" i="38"/>
  <c r="L100" i="38" s="1"/>
  <c r="J100" i="38"/>
  <c r="M99" i="38"/>
  <c r="L99" i="38"/>
  <c r="K99" i="38"/>
  <c r="J99" i="38"/>
  <c r="M98" i="38"/>
  <c r="K98" i="38"/>
  <c r="L98" i="38" s="1"/>
  <c r="J98" i="38"/>
  <c r="C98" i="38"/>
  <c r="E98" i="38" s="1"/>
  <c r="G98" i="38" s="1"/>
  <c r="K96" i="38"/>
  <c r="M96" i="38" s="1"/>
  <c r="J96" i="38"/>
  <c r="K95" i="38"/>
  <c r="L95" i="38" s="1"/>
  <c r="J95" i="38"/>
  <c r="M95" i="38" s="1"/>
  <c r="K94" i="38"/>
  <c r="M94" i="38" s="1"/>
  <c r="J94" i="38"/>
  <c r="K91" i="38"/>
  <c r="L91" i="38" s="1"/>
  <c r="M91" i="38" s="1"/>
  <c r="J91" i="38"/>
  <c r="K90" i="38"/>
  <c r="J90" i="38"/>
  <c r="K89" i="38"/>
  <c r="M89" i="38" s="1"/>
  <c r="J89" i="38"/>
  <c r="M88" i="38"/>
  <c r="K88" i="38"/>
  <c r="L88" i="38" s="1"/>
  <c r="J88" i="38"/>
  <c r="K87" i="38"/>
  <c r="M87" i="38" s="1"/>
  <c r="J87" i="38"/>
  <c r="K85" i="38"/>
  <c r="M85" i="38" s="1"/>
  <c r="J85" i="38"/>
  <c r="K84" i="38"/>
  <c r="M84" i="38" s="1"/>
  <c r="J84" i="38"/>
  <c r="K83" i="38"/>
  <c r="M83" i="38" s="1"/>
  <c r="J83" i="38"/>
  <c r="C83" i="38"/>
  <c r="M82" i="38"/>
  <c r="K82" i="38"/>
  <c r="L82" i="38" s="1"/>
  <c r="J82" i="38"/>
  <c r="M81" i="38"/>
  <c r="K81" i="38"/>
  <c r="L81" i="38" s="1"/>
  <c r="J81" i="38"/>
  <c r="C81" i="38"/>
  <c r="E85" i="38" s="1"/>
  <c r="G85" i="38" s="1"/>
  <c r="K78" i="38"/>
  <c r="L78" i="38" s="1"/>
  <c r="M78" i="38" s="1"/>
  <c r="J78" i="38"/>
  <c r="C78" i="38"/>
  <c r="E78" i="38" s="1"/>
  <c r="G78" i="38" s="1"/>
  <c r="O78" i="38" s="1"/>
  <c r="K75" i="38"/>
  <c r="L75" i="38" s="1"/>
  <c r="J75" i="38"/>
  <c r="M75" i="38" s="1"/>
  <c r="C75" i="38"/>
  <c r="E75" i="38" s="1"/>
  <c r="G75" i="38" s="1"/>
  <c r="N75" i="38" s="1"/>
  <c r="N74" i="38" s="1"/>
  <c r="M73" i="38"/>
  <c r="L73" i="38"/>
  <c r="K73" i="38"/>
  <c r="J73" i="38"/>
  <c r="K71" i="38"/>
  <c r="M71" i="38" s="1"/>
  <c r="J71" i="38"/>
  <c r="M68" i="38"/>
  <c r="K68" i="38"/>
  <c r="L68" i="38" s="1"/>
  <c r="J68" i="38"/>
  <c r="K66" i="38"/>
  <c r="J66" i="38"/>
  <c r="L65" i="38"/>
  <c r="K65" i="38"/>
  <c r="M65" i="38" s="1"/>
  <c r="J65" i="38"/>
  <c r="M64" i="38"/>
  <c r="K64" i="38"/>
  <c r="L64" i="38" s="1"/>
  <c r="J64" i="38"/>
  <c r="M63" i="38"/>
  <c r="K63" i="38"/>
  <c r="L63" i="38" s="1"/>
  <c r="J63" i="38"/>
  <c r="M62" i="38"/>
  <c r="K62" i="38"/>
  <c r="L62" i="38" s="1"/>
  <c r="J62" i="38"/>
  <c r="M61" i="38"/>
  <c r="K61" i="38"/>
  <c r="L61" i="38" s="1"/>
  <c r="J61" i="38"/>
  <c r="K58" i="38"/>
  <c r="M58" i="38" s="1"/>
  <c r="J58" i="38"/>
  <c r="M57" i="38"/>
  <c r="L57" i="38"/>
  <c r="K57" i="38"/>
  <c r="J57" i="38"/>
  <c r="K56" i="38"/>
  <c r="L56" i="38" s="1"/>
  <c r="J56" i="38"/>
  <c r="M55" i="38"/>
  <c r="L55" i="38"/>
  <c r="K55" i="38"/>
  <c r="J55" i="38"/>
  <c r="L54" i="38"/>
  <c r="K54" i="38"/>
  <c r="M54" i="38" s="1"/>
  <c r="J54" i="38"/>
  <c r="K53" i="38"/>
  <c r="M53" i="38" s="1"/>
  <c r="J53" i="38"/>
  <c r="C53" i="38"/>
  <c r="E55" i="38" s="1"/>
  <c r="G55" i="38" s="1"/>
  <c r="M51" i="38"/>
  <c r="L51" i="38"/>
  <c r="K51" i="38"/>
  <c r="J51" i="38"/>
  <c r="L49" i="38"/>
  <c r="K49" i="38"/>
  <c r="M49" i="38" s="1"/>
  <c r="J49" i="38"/>
  <c r="K48" i="38"/>
  <c r="M48" i="38" s="1"/>
  <c r="J48" i="38"/>
  <c r="C48" i="38"/>
  <c r="M45" i="38"/>
  <c r="L45" i="38"/>
  <c r="K45" i="38"/>
  <c r="J45" i="38"/>
  <c r="M44" i="38"/>
  <c r="K44" i="38"/>
  <c r="L44" i="38" s="1"/>
  <c r="J44" i="38"/>
  <c r="K42" i="38"/>
  <c r="M42" i="38" s="1"/>
  <c r="J42" i="38"/>
  <c r="L41" i="38"/>
  <c r="K41" i="38"/>
  <c r="M41" i="38" s="1"/>
  <c r="J41" i="38"/>
  <c r="K39" i="38"/>
  <c r="M39" i="38" s="1"/>
  <c r="J39" i="38"/>
  <c r="K38" i="38"/>
  <c r="J38" i="38"/>
  <c r="L36" i="38"/>
  <c r="K36" i="38"/>
  <c r="M36" i="38" s="1"/>
  <c r="J36" i="38"/>
  <c r="K35" i="38"/>
  <c r="L35" i="38" s="1"/>
  <c r="J35" i="38"/>
  <c r="M35" i="38" s="1"/>
  <c r="M34" i="38"/>
  <c r="L34" i="38"/>
  <c r="K34" i="38"/>
  <c r="J34" i="38"/>
  <c r="L33" i="38"/>
  <c r="K33" i="38"/>
  <c r="M33" i="38" s="1"/>
  <c r="J33" i="38"/>
  <c r="L31" i="38"/>
  <c r="K31" i="38"/>
  <c r="J31" i="38"/>
  <c r="M31" i="38" s="1"/>
  <c r="L30" i="38"/>
  <c r="K30" i="38"/>
  <c r="M30" i="38" s="1"/>
  <c r="J30" i="38"/>
  <c r="K29" i="38"/>
  <c r="J29" i="38"/>
  <c r="L28" i="38"/>
  <c r="K28" i="38"/>
  <c r="M28" i="38" s="1"/>
  <c r="J28" i="38"/>
  <c r="L27" i="38"/>
  <c r="K27" i="38"/>
  <c r="M27" i="38" s="1"/>
  <c r="J27" i="38"/>
  <c r="G27" i="38"/>
  <c r="K26" i="38"/>
  <c r="J26" i="38"/>
  <c r="G26" i="38"/>
  <c r="L25" i="38"/>
  <c r="K25" i="38"/>
  <c r="M25" i="38" s="1"/>
  <c r="J25" i="38"/>
  <c r="G25" i="38"/>
  <c r="L24" i="38"/>
  <c r="K24" i="38"/>
  <c r="M24" i="38" s="1"/>
  <c r="J24" i="38"/>
  <c r="K22" i="38"/>
  <c r="L22" i="38" s="1"/>
  <c r="J22" i="38"/>
  <c r="L21" i="38"/>
  <c r="K21" i="38"/>
  <c r="M21" i="38" s="1"/>
  <c r="J21" i="38"/>
  <c r="E21" i="38"/>
  <c r="G21" i="38" s="1"/>
  <c r="L20" i="38"/>
  <c r="K20" i="38"/>
  <c r="M20" i="38" s="1"/>
  <c r="J20" i="38"/>
  <c r="K19" i="38"/>
  <c r="M19" i="38" s="1"/>
  <c r="J19" i="38"/>
  <c r="C19" i="38"/>
  <c r="K17" i="38"/>
  <c r="M17" i="38" s="1"/>
  <c r="J17" i="38"/>
  <c r="K16" i="38"/>
  <c r="M16" i="38" s="1"/>
  <c r="J16" i="38"/>
  <c r="K15" i="38"/>
  <c r="M15" i="38" s="1"/>
  <c r="J15" i="38"/>
  <c r="W14" i="38"/>
  <c r="L14" i="38"/>
  <c r="K14" i="38"/>
  <c r="M14" i="38" s="1"/>
  <c r="J14" i="38"/>
  <c r="W13" i="38"/>
  <c r="M13" i="38"/>
  <c r="L13" i="38"/>
  <c r="K13" i="38"/>
  <c r="J13" i="38"/>
  <c r="W12" i="38"/>
  <c r="M12" i="38"/>
  <c r="K12" i="38"/>
  <c r="L12" i="38" s="1"/>
  <c r="J12" i="38"/>
  <c r="W11" i="38"/>
  <c r="X14" i="38" s="1"/>
  <c r="Y14" i="38" s="1"/>
  <c r="K11" i="38"/>
  <c r="M11" i="38" s="1"/>
  <c r="J11" i="38"/>
  <c r="C11" i="38"/>
  <c r="M5" i="38"/>
  <c r="C94" i="38" s="1"/>
  <c r="E145" i="35"/>
  <c r="E124" i="35"/>
  <c r="M101" i="35"/>
  <c r="K101" i="35"/>
  <c r="L101" i="35" s="1"/>
  <c r="J101" i="35"/>
  <c r="M100" i="35"/>
  <c r="K100" i="35"/>
  <c r="L100" i="35" s="1"/>
  <c r="J100" i="35"/>
  <c r="M99" i="35"/>
  <c r="K99" i="35"/>
  <c r="L99" i="35" s="1"/>
  <c r="J99" i="35"/>
  <c r="M98" i="35"/>
  <c r="K98" i="35"/>
  <c r="L98" i="35" s="1"/>
  <c r="J98" i="35"/>
  <c r="C98" i="35"/>
  <c r="E98" i="35" s="1"/>
  <c r="G98" i="35" s="1"/>
  <c r="M96" i="35"/>
  <c r="K96" i="35"/>
  <c r="L96" i="35" s="1"/>
  <c r="J96" i="35"/>
  <c r="K95" i="35"/>
  <c r="M95" i="35" s="1"/>
  <c r="J95" i="35"/>
  <c r="L94" i="35"/>
  <c r="K94" i="35"/>
  <c r="M94" i="35" s="1"/>
  <c r="J94" i="35"/>
  <c r="K91" i="35"/>
  <c r="L91" i="35" s="1"/>
  <c r="M91" i="35" s="1"/>
  <c r="J91" i="35"/>
  <c r="M90" i="35"/>
  <c r="K90" i="35"/>
  <c r="L90" i="35" s="1"/>
  <c r="J90" i="35"/>
  <c r="L89" i="35"/>
  <c r="K89" i="35"/>
  <c r="M89" i="35" s="1"/>
  <c r="J89" i="35"/>
  <c r="M88" i="35"/>
  <c r="K88" i="35"/>
  <c r="L88" i="35" s="1"/>
  <c r="J88" i="35"/>
  <c r="M87" i="35"/>
  <c r="L87" i="35"/>
  <c r="K87" i="35"/>
  <c r="J87" i="35"/>
  <c r="L85" i="35"/>
  <c r="K85" i="35"/>
  <c r="M85" i="35" s="1"/>
  <c r="J85" i="35"/>
  <c r="L84" i="35"/>
  <c r="K84" i="35"/>
  <c r="J84" i="35"/>
  <c r="M84" i="35" s="1"/>
  <c r="K83" i="35"/>
  <c r="M83" i="35" s="1"/>
  <c r="J83" i="35"/>
  <c r="C83" i="35"/>
  <c r="L82" i="35"/>
  <c r="M82" i="35" s="1"/>
  <c r="K82" i="35"/>
  <c r="J82" i="35"/>
  <c r="M81" i="35"/>
  <c r="K81" i="35"/>
  <c r="L81" i="35" s="1"/>
  <c r="J81" i="35"/>
  <c r="C81" i="35"/>
  <c r="E84" i="35" s="1"/>
  <c r="G84" i="35" s="1"/>
  <c r="K78" i="35"/>
  <c r="L78" i="35" s="1"/>
  <c r="M78" i="35" s="1"/>
  <c r="J78" i="35"/>
  <c r="C78" i="35"/>
  <c r="E78" i="35" s="1"/>
  <c r="G78" i="35" s="1"/>
  <c r="M75" i="35"/>
  <c r="K75" i="35"/>
  <c r="L75" i="35" s="1"/>
  <c r="J75" i="35"/>
  <c r="C75" i="35"/>
  <c r="E75" i="35" s="1"/>
  <c r="G75" i="35" s="1"/>
  <c r="L73" i="35"/>
  <c r="K73" i="35"/>
  <c r="M73" i="35" s="1"/>
  <c r="J73" i="35"/>
  <c r="M71" i="35"/>
  <c r="L71" i="35"/>
  <c r="K71" i="35"/>
  <c r="J71" i="35"/>
  <c r="C71" i="35"/>
  <c r="E71" i="35" s="1"/>
  <c r="G71" i="35" s="1"/>
  <c r="M68" i="35"/>
  <c r="L68" i="35"/>
  <c r="K68" i="35"/>
  <c r="J68" i="35"/>
  <c r="C68" i="35"/>
  <c r="E68" i="35" s="1"/>
  <c r="G68" i="35" s="1"/>
  <c r="K66" i="35"/>
  <c r="M66" i="35" s="1"/>
  <c r="J66" i="35"/>
  <c r="L65" i="35"/>
  <c r="K65" i="35"/>
  <c r="M65" i="35" s="1"/>
  <c r="J65" i="35"/>
  <c r="M64" i="35"/>
  <c r="K64" i="35"/>
  <c r="L64" i="35" s="1"/>
  <c r="J64" i="35"/>
  <c r="M63" i="35"/>
  <c r="K63" i="35"/>
  <c r="L63" i="35" s="1"/>
  <c r="J63" i="35"/>
  <c r="M62" i="35"/>
  <c r="K62" i="35"/>
  <c r="L62" i="35" s="1"/>
  <c r="J62" i="35"/>
  <c r="M61" i="35"/>
  <c r="L61" i="35"/>
  <c r="K61" i="35"/>
  <c r="J61" i="35"/>
  <c r="K58" i="35"/>
  <c r="M58" i="35" s="1"/>
  <c r="J58" i="35"/>
  <c r="L57" i="35"/>
  <c r="K57" i="35"/>
  <c r="M57" i="35" s="1"/>
  <c r="J57" i="35"/>
  <c r="L56" i="35"/>
  <c r="K56" i="35"/>
  <c r="J56" i="35"/>
  <c r="M56" i="35" s="1"/>
  <c r="L55" i="35"/>
  <c r="K55" i="35"/>
  <c r="M55" i="35" s="1"/>
  <c r="J55" i="35"/>
  <c r="L54" i="35"/>
  <c r="K54" i="35"/>
  <c r="J54" i="35"/>
  <c r="M54" i="35" s="1"/>
  <c r="K53" i="35"/>
  <c r="M53" i="35" s="1"/>
  <c r="J53" i="35"/>
  <c r="C53" i="35"/>
  <c r="E56" i="35" s="1"/>
  <c r="G56" i="35" s="1"/>
  <c r="L51" i="35"/>
  <c r="K51" i="35"/>
  <c r="M51" i="35" s="1"/>
  <c r="J51" i="35"/>
  <c r="E51" i="35"/>
  <c r="G51" i="35" s="1"/>
  <c r="C51" i="35"/>
  <c r="M49" i="35"/>
  <c r="L49" i="35"/>
  <c r="K49" i="35"/>
  <c r="J49" i="35"/>
  <c r="K48" i="35"/>
  <c r="M48" i="35" s="1"/>
  <c r="J48" i="35"/>
  <c r="C48" i="35"/>
  <c r="E49" i="35" s="1"/>
  <c r="G49" i="35" s="1"/>
  <c r="M45" i="35"/>
  <c r="L45" i="35"/>
  <c r="K45" i="35"/>
  <c r="J45" i="35"/>
  <c r="E45" i="35"/>
  <c r="G45" i="35" s="1"/>
  <c r="M44" i="35"/>
  <c r="K44" i="35"/>
  <c r="L44" i="35" s="1"/>
  <c r="J44" i="35"/>
  <c r="G44" i="35"/>
  <c r="E44" i="35"/>
  <c r="C44" i="35"/>
  <c r="K42" i="35"/>
  <c r="M42" i="35" s="1"/>
  <c r="J42" i="35"/>
  <c r="L41" i="35"/>
  <c r="K41" i="35"/>
  <c r="M41" i="35" s="1"/>
  <c r="J41" i="35"/>
  <c r="E41" i="35"/>
  <c r="G41" i="35" s="1"/>
  <c r="C41" i="35"/>
  <c r="E42" i="35" s="1"/>
  <c r="G42" i="35" s="1"/>
  <c r="L39" i="35"/>
  <c r="K39" i="35"/>
  <c r="J39" i="35"/>
  <c r="M39" i="35" s="1"/>
  <c r="K38" i="35"/>
  <c r="M38" i="35" s="1"/>
  <c r="J38" i="35"/>
  <c r="C38" i="35"/>
  <c r="E39" i="35" s="1"/>
  <c r="G39" i="35" s="1"/>
  <c r="L36" i="35"/>
  <c r="K36" i="35"/>
  <c r="M36" i="35" s="1"/>
  <c r="J36" i="35"/>
  <c r="E36" i="35"/>
  <c r="G36" i="35" s="1"/>
  <c r="C36" i="35"/>
  <c r="L35" i="35"/>
  <c r="K35" i="35"/>
  <c r="J35" i="35"/>
  <c r="M35" i="35" s="1"/>
  <c r="L34" i="35"/>
  <c r="K34" i="35"/>
  <c r="M34" i="35" s="1"/>
  <c r="J34" i="35"/>
  <c r="E34" i="35"/>
  <c r="G34" i="35" s="1"/>
  <c r="C34" i="35"/>
  <c r="L33" i="35"/>
  <c r="K33" i="35"/>
  <c r="J33" i="35"/>
  <c r="M33" i="35" s="1"/>
  <c r="L31" i="35"/>
  <c r="K31" i="35"/>
  <c r="M31" i="35" s="1"/>
  <c r="J31" i="35"/>
  <c r="E31" i="35"/>
  <c r="G31" i="35" s="1"/>
  <c r="L30" i="35"/>
  <c r="K30" i="35"/>
  <c r="J30" i="35"/>
  <c r="M30" i="35" s="1"/>
  <c r="M29" i="35"/>
  <c r="K29" i="35"/>
  <c r="L29" i="35" s="1"/>
  <c r="J29" i="35"/>
  <c r="L28" i="35"/>
  <c r="K28" i="35"/>
  <c r="M28" i="35" s="1"/>
  <c r="J28" i="35"/>
  <c r="E28" i="35"/>
  <c r="G29" i="35" s="1"/>
  <c r="L27" i="35"/>
  <c r="K27" i="35"/>
  <c r="J27" i="35"/>
  <c r="M27" i="35" s="1"/>
  <c r="G27" i="35"/>
  <c r="K26" i="35"/>
  <c r="M26" i="35" s="1"/>
  <c r="J26" i="35"/>
  <c r="G26" i="35"/>
  <c r="L25" i="35"/>
  <c r="K25" i="35"/>
  <c r="M25" i="35" s="1"/>
  <c r="J25" i="35"/>
  <c r="G25" i="35"/>
  <c r="L24" i="35"/>
  <c r="K24" i="35"/>
  <c r="M24" i="35" s="1"/>
  <c r="J24" i="35"/>
  <c r="E24" i="35"/>
  <c r="G24" i="35" s="1"/>
  <c r="C24" i="35"/>
  <c r="L22" i="35"/>
  <c r="K22" i="35"/>
  <c r="J22" i="35"/>
  <c r="M22" i="35" s="1"/>
  <c r="L21" i="35"/>
  <c r="K21" i="35"/>
  <c r="M21" i="35" s="1"/>
  <c r="J21" i="35"/>
  <c r="L20" i="35"/>
  <c r="K20" i="35"/>
  <c r="J20" i="35"/>
  <c r="M20" i="35" s="1"/>
  <c r="K19" i="35"/>
  <c r="M19" i="35" s="1"/>
  <c r="J19" i="35"/>
  <c r="C19" i="35"/>
  <c r="E22" i="35" s="1"/>
  <c r="G22" i="35" s="1"/>
  <c r="M17" i="35"/>
  <c r="K17" i="35"/>
  <c r="L17" i="35" s="1"/>
  <c r="J17" i="35"/>
  <c r="L16" i="35"/>
  <c r="K16" i="35"/>
  <c r="J16" i="35"/>
  <c r="M16" i="35" s="1"/>
  <c r="L15" i="35"/>
  <c r="K15" i="35"/>
  <c r="J15" i="35"/>
  <c r="M15" i="35" s="1"/>
  <c r="W14" i="35"/>
  <c r="L14" i="35"/>
  <c r="K14" i="35"/>
  <c r="M14" i="35" s="1"/>
  <c r="J14" i="35"/>
  <c r="E14" i="35"/>
  <c r="G14" i="35" s="1"/>
  <c r="X13" i="35"/>
  <c r="W13" i="35"/>
  <c r="L13" i="35"/>
  <c r="K13" i="35"/>
  <c r="J13" i="35"/>
  <c r="M13" i="35" s="1"/>
  <c r="E13" i="35"/>
  <c r="G13" i="35" s="1"/>
  <c r="C13" i="35"/>
  <c r="M12" i="35"/>
  <c r="K12" i="35"/>
  <c r="L12" i="35" s="1"/>
  <c r="J12" i="35"/>
  <c r="W11" i="35"/>
  <c r="M11" i="35"/>
  <c r="K11" i="35"/>
  <c r="L11" i="35" s="1"/>
  <c r="J11" i="35"/>
  <c r="C11" i="35"/>
  <c r="M5" i="35"/>
  <c r="C94" i="35" s="1"/>
  <c r="E145" i="34"/>
  <c r="E124" i="34"/>
  <c r="M101" i="34"/>
  <c r="L101" i="34"/>
  <c r="K101" i="34"/>
  <c r="J101" i="34"/>
  <c r="M100" i="34"/>
  <c r="L100" i="34"/>
  <c r="K100" i="34"/>
  <c r="J100" i="34"/>
  <c r="L99" i="34"/>
  <c r="K99" i="34"/>
  <c r="M99" i="34" s="1"/>
  <c r="J99" i="34"/>
  <c r="M98" i="34"/>
  <c r="L98" i="34"/>
  <c r="K98" i="34"/>
  <c r="J98" i="34"/>
  <c r="K96" i="34"/>
  <c r="M96" i="34" s="1"/>
  <c r="J96" i="34"/>
  <c r="M95" i="34"/>
  <c r="K95" i="34"/>
  <c r="L95" i="34" s="1"/>
  <c r="J95" i="34"/>
  <c r="K94" i="34"/>
  <c r="M94" i="34" s="1"/>
  <c r="J94" i="34"/>
  <c r="K91" i="34"/>
  <c r="L91" i="34" s="1"/>
  <c r="M91" i="34" s="1"/>
  <c r="J91" i="34"/>
  <c r="M90" i="34"/>
  <c r="L90" i="34"/>
  <c r="K90" i="34"/>
  <c r="J90" i="34"/>
  <c r="K89" i="34"/>
  <c r="M89" i="34" s="1"/>
  <c r="J89" i="34"/>
  <c r="K88" i="34"/>
  <c r="L88" i="34" s="1"/>
  <c r="J88" i="34"/>
  <c r="M87" i="34"/>
  <c r="L87" i="34"/>
  <c r="K87" i="34"/>
  <c r="J87" i="34"/>
  <c r="C87" i="34"/>
  <c r="E91" i="34" s="1"/>
  <c r="G91" i="34" s="1"/>
  <c r="K85" i="34"/>
  <c r="M85" i="34" s="1"/>
  <c r="J85" i="34"/>
  <c r="M84" i="34"/>
  <c r="L84" i="34"/>
  <c r="K84" i="34"/>
  <c r="J84" i="34"/>
  <c r="M83" i="34"/>
  <c r="L83" i="34"/>
  <c r="K83" i="34"/>
  <c r="J83" i="34"/>
  <c r="L82" i="34"/>
  <c r="M82" i="34" s="1"/>
  <c r="K82" i="34"/>
  <c r="J82" i="34"/>
  <c r="M81" i="34"/>
  <c r="L81" i="34"/>
  <c r="K81" i="34"/>
  <c r="J81" i="34"/>
  <c r="M78" i="34"/>
  <c r="L78" i="34"/>
  <c r="K78" i="34"/>
  <c r="J78" i="34"/>
  <c r="M75" i="34"/>
  <c r="L75" i="34"/>
  <c r="K75" i="34"/>
  <c r="J75" i="34"/>
  <c r="M73" i="34"/>
  <c r="K73" i="34"/>
  <c r="L73" i="34" s="1"/>
  <c r="J73" i="34"/>
  <c r="K71" i="34"/>
  <c r="M71" i="34" s="1"/>
  <c r="J71" i="34"/>
  <c r="K68" i="34"/>
  <c r="L68" i="34" s="1"/>
  <c r="J68" i="34"/>
  <c r="M68" i="34" s="1"/>
  <c r="M66" i="34"/>
  <c r="L66" i="34"/>
  <c r="K66" i="34"/>
  <c r="J66" i="34"/>
  <c r="K65" i="34"/>
  <c r="M65" i="34" s="1"/>
  <c r="J65" i="34"/>
  <c r="K64" i="34"/>
  <c r="L64" i="34" s="1"/>
  <c r="J64" i="34"/>
  <c r="M63" i="34"/>
  <c r="L63" i="34"/>
  <c r="K63" i="34"/>
  <c r="J63" i="34"/>
  <c r="K62" i="34"/>
  <c r="L62" i="34" s="1"/>
  <c r="J62" i="34"/>
  <c r="M62" i="34" s="1"/>
  <c r="K61" i="34"/>
  <c r="M61" i="34" s="1"/>
  <c r="J61" i="34"/>
  <c r="M58" i="34"/>
  <c r="L58" i="34"/>
  <c r="K58" i="34"/>
  <c r="J58" i="34"/>
  <c r="M57" i="34"/>
  <c r="K57" i="34"/>
  <c r="L57" i="34" s="1"/>
  <c r="J57" i="34"/>
  <c r="K56" i="34"/>
  <c r="M56" i="34" s="1"/>
  <c r="J56" i="34"/>
  <c r="K55" i="34"/>
  <c r="M55" i="34" s="1"/>
  <c r="J55" i="34"/>
  <c r="M54" i="34"/>
  <c r="L54" i="34"/>
  <c r="K54" i="34"/>
  <c r="J54" i="34"/>
  <c r="M53" i="34"/>
  <c r="L53" i="34"/>
  <c r="K53" i="34"/>
  <c r="J53" i="34"/>
  <c r="M51" i="34"/>
  <c r="K51" i="34"/>
  <c r="L51" i="34" s="1"/>
  <c r="J51" i="34"/>
  <c r="M49" i="34"/>
  <c r="L49" i="34"/>
  <c r="K49" i="34"/>
  <c r="J49" i="34"/>
  <c r="M48" i="34"/>
  <c r="L48" i="34"/>
  <c r="K48" i="34"/>
  <c r="J48" i="34"/>
  <c r="M45" i="34"/>
  <c r="K45" i="34"/>
  <c r="L45" i="34" s="1"/>
  <c r="J45" i="34"/>
  <c r="K44" i="34"/>
  <c r="L44" i="34" s="1"/>
  <c r="J44" i="34"/>
  <c r="M42" i="34"/>
  <c r="L42" i="34"/>
  <c r="K42" i="34"/>
  <c r="J42" i="34"/>
  <c r="K41" i="34"/>
  <c r="M41" i="34" s="1"/>
  <c r="J41" i="34"/>
  <c r="K39" i="34"/>
  <c r="M39" i="34" s="1"/>
  <c r="J39" i="34"/>
  <c r="M38" i="34"/>
  <c r="L38" i="34"/>
  <c r="K38" i="34"/>
  <c r="J38" i="34"/>
  <c r="K36" i="34"/>
  <c r="M36" i="34" s="1"/>
  <c r="J36" i="34"/>
  <c r="K35" i="34"/>
  <c r="M35" i="34" s="1"/>
  <c r="J35" i="34"/>
  <c r="M34" i="34"/>
  <c r="K34" i="34"/>
  <c r="L34" i="34" s="1"/>
  <c r="J34" i="34"/>
  <c r="M33" i="34"/>
  <c r="L33" i="34"/>
  <c r="K33" i="34"/>
  <c r="J33" i="34"/>
  <c r="C33" i="34"/>
  <c r="E33" i="34" s="1"/>
  <c r="G33" i="34" s="1"/>
  <c r="K31" i="34"/>
  <c r="M31" i="34" s="1"/>
  <c r="J31" i="34"/>
  <c r="M30" i="34"/>
  <c r="L30" i="34"/>
  <c r="K30" i="34"/>
  <c r="J30" i="34"/>
  <c r="M29" i="34"/>
  <c r="L29" i="34"/>
  <c r="K29" i="34"/>
  <c r="J29" i="34"/>
  <c r="K28" i="34"/>
  <c r="M28" i="34" s="1"/>
  <c r="J28" i="34"/>
  <c r="M27" i="34"/>
  <c r="L27" i="34"/>
  <c r="K27" i="34"/>
  <c r="J27" i="34"/>
  <c r="G27" i="34"/>
  <c r="M26" i="34"/>
  <c r="L26" i="34"/>
  <c r="K26" i="34"/>
  <c r="J26" i="34"/>
  <c r="G26" i="34"/>
  <c r="K25" i="34"/>
  <c r="M25" i="34" s="1"/>
  <c r="J25" i="34"/>
  <c r="G25" i="34"/>
  <c r="K24" i="34"/>
  <c r="M24" i="34" s="1"/>
  <c r="J24" i="34"/>
  <c r="K22" i="34"/>
  <c r="M22" i="34" s="1"/>
  <c r="J22" i="34"/>
  <c r="K21" i="34"/>
  <c r="M21" i="34" s="1"/>
  <c r="J21" i="34"/>
  <c r="M20" i="34"/>
  <c r="L20" i="34"/>
  <c r="K20" i="34"/>
  <c r="J20" i="34"/>
  <c r="M19" i="34"/>
  <c r="L19" i="34"/>
  <c r="K19" i="34"/>
  <c r="J19" i="34"/>
  <c r="K17" i="34"/>
  <c r="M17" i="34" s="1"/>
  <c r="J17" i="34"/>
  <c r="M16" i="34"/>
  <c r="L16" i="34"/>
  <c r="K16" i="34"/>
  <c r="J16" i="34"/>
  <c r="M15" i="34"/>
  <c r="L15" i="34"/>
  <c r="K15" i="34"/>
  <c r="J15" i="34"/>
  <c r="C15" i="34"/>
  <c r="E15" i="34" s="1"/>
  <c r="W14" i="34"/>
  <c r="K14" i="34"/>
  <c r="M14" i="34" s="1"/>
  <c r="J14" i="34"/>
  <c r="X13" i="34"/>
  <c r="W13" i="34"/>
  <c r="M13" i="34"/>
  <c r="K13" i="34"/>
  <c r="L13" i="34" s="1"/>
  <c r="W12" i="34"/>
  <c r="M12" i="34"/>
  <c r="K12" i="34"/>
  <c r="L12" i="34" s="1"/>
  <c r="J12" i="34"/>
  <c r="W11" i="34"/>
  <c r="X14" i="34" s="1"/>
  <c r="M11" i="34"/>
  <c r="L11" i="34"/>
  <c r="K11" i="34"/>
  <c r="J11" i="34"/>
  <c r="C11" i="34"/>
  <c r="E12" i="34" s="1"/>
  <c r="G12" i="34" s="1"/>
  <c r="M5" i="34"/>
  <c r="C94" i="34" s="1"/>
  <c r="E145" i="30"/>
  <c r="E124" i="30"/>
  <c r="M101" i="30"/>
  <c r="L101" i="30"/>
  <c r="K101" i="30"/>
  <c r="J101" i="30"/>
  <c r="M100" i="30"/>
  <c r="L100" i="30"/>
  <c r="K100" i="30"/>
  <c r="J100" i="30"/>
  <c r="K99" i="30"/>
  <c r="L99" i="30" s="1"/>
  <c r="J99" i="30"/>
  <c r="M98" i="30"/>
  <c r="K98" i="30"/>
  <c r="L98" i="30" s="1"/>
  <c r="J98" i="30"/>
  <c r="M96" i="30"/>
  <c r="L96" i="30"/>
  <c r="K96" i="30"/>
  <c r="J96" i="30"/>
  <c r="K95" i="30"/>
  <c r="M95" i="30" s="1"/>
  <c r="J95" i="30"/>
  <c r="L94" i="30"/>
  <c r="K94" i="30"/>
  <c r="M94" i="30" s="1"/>
  <c r="J94" i="30"/>
  <c r="K91" i="30"/>
  <c r="L91" i="30" s="1"/>
  <c r="M91" i="30" s="1"/>
  <c r="J91" i="30"/>
  <c r="L90" i="30"/>
  <c r="K90" i="30"/>
  <c r="M90" i="30" s="1"/>
  <c r="J90" i="30"/>
  <c r="M89" i="30"/>
  <c r="L89" i="30"/>
  <c r="K89" i="30"/>
  <c r="J89" i="30"/>
  <c r="K88" i="30"/>
  <c r="L88" i="30" s="1"/>
  <c r="J88" i="30"/>
  <c r="L87" i="30"/>
  <c r="K87" i="30"/>
  <c r="J87" i="30"/>
  <c r="M87" i="30" s="1"/>
  <c r="L85" i="30"/>
  <c r="K85" i="30"/>
  <c r="M85" i="30" s="1"/>
  <c r="J85" i="30"/>
  <c r="L84" i="30"/>
  <c r="K84" i="30"/>
  <c r="J84" i="30"/>
  <c r="M84" i="30" s="1"/>
  <c r="K83" i="30"/>
  <c r="M83" i="30" s="1"/>
  <c r="J83" i="30"/>
  <c r="L82" i="30"/>
  <c r="M82" i="30" s="1"/>
  <c r="K82" i="30"/>
  <c r="J82" i="30"/>
  <c r="M81" i="30"/>
  <c r="K81" i="30"/>
  <c r="L81" i="30" s="1"/>
  <c r="J81" i="30"/>
  <c r="K78" i="30"/>
  <c r="L78" i="30" s="1"/>
  <c r="M78" i="30" s="1"/>
  <c r="J78" i="30"/>
  <c r="M75" i="30"/>
  <c r="K75" i="30"/>
  <c r="L75" i="30" s="1"/>
  <c r="J75" i="30"/>
  <c r="M73" i="30"/>
  <c r="L73" i="30"/>
  <c r="K73" i="30"/>
  <c r="J73" i="30"/>
  <c r="L71" i="30"/>
  <c r="K71" i="30"/>
  <c r="J71" i="30"/>
  <c r="M71" i="30" s="1"/>
  <c r="L68" i="30"/>
  <c r="K68" i="30"/>
  <c r="J68" i="30"/>
  <c r="M68" i="30" s="1"/>
  <c r="L66" i="30"/>
  <c r="K66" i="30"/>
  <c r="M66" i="30" s="1"/>
  <c r="J66" i="30"/>
  <c r="L65" i="30"/>
  <c r="K65" i="30"/>
  <c r="M65" i="30" s="1"/>
  <c r="J65" i="30"/>
  <c r="K64" i="30"/>
  <c r="L64" i="30" s="1"/>
  <c r="J64" i="30"/>
  <c r="M63" i="30"/>
  <c r="L63" i="30"/>
  <c r="K63" i="30"/>
  <c r="J63" i="30"/>
  <c r="L62" i="30"/>
  <c r="K62" i="30"/>
  <c r="J62" i="30"/>
  <c r="M62" i="30" s="1"/>
  <c r="K61" i="30"/>
  <c r="L61" i="30" s="1"/>
  <c r="J61" i="30"/>
  <c r="M61" i="30" s="1"/>
  <c r="K58" i="30"/>
  <c r="M58" i="30" s="1"/>
  <c r="J58" i="30"/>
  <c r="M57" i="30"/>
  <c r="L57" i="30"/>
  <c r="K57" i="30"/>
  <c r="J57" i="30"/>
  <c r="K56" i="30"/>
  <c r="M56" i="30" s="1"/>
  <c r="J56" i="30"/>
  <c r="L55" i="30"/>
  <c r="K55" i="30"/>
  <c r="M55" i="30" s="1"/>
  <c r="J55" i="30"/>
  <c r="L54" i="30"/>
  <c r="K54" i="30"/>
  <c r="J54" i="30"/>
  <c r="M54" i="30" s="1"/>
  <c r="K53" i="30"/>
  <c r="M53" i="30" s="1"/>
  <c r="J53" i="30"/>
  <c r="M51" i="30"/>
  <c r="L51" i="30"/>
  <c r="K51" i="30"/>
  <c r="J51" i="30"/>
  <c r="M49" i="30"/>
  <c r="L49" i="30"/>
  <c r="K49" i="30"/>
  <c r="J49" i="30"/>
  <c r="K48" i="30"/>
  <c r="M48" i="30" s="1"/>
  <c r="J48" i="30"/>
  <c r="M45" i="30"/>
  <c r="L45" i="30"/>
  <c r="K45" i="30"/>
  <c r="J45" i="30"/>
  <c r="M44" i="30"/>
  <c r="K44" i="30"/>
  <c r="L44" i="30" s="1"/>
  <c r="J44" i="30"/>
  <c r="K42" i="30"/>
  <c r="M42" i="30" s="1"/>
  <c r="J42" i="30"/>
  <c r="L41" i="30"/>
  <c r="K41" i="30"/>
  <c r="M41" i="30" s="1"/>
  <c r="J41" i="30"/>
  <c r="K39" i="30"/>
  <c r="M39" i="30" s="1"/>
  <c r="J39" i="30"/>
  <c r="L38" i="30"/>
  <c r="K38" i="30"/>
  <c r="M38" i="30" s="1"/>
  <c r="J38" i="30"/>
  <c r="L36" i="30"/>
  <c r="K36" i="30"/>
  <c r="M36" i="30" s="1"/>
  <c r="J36" i="30"/>
  <c r="K35" i="30"/>
  <c r="L35" i="30" s="1"/>
  <c r="J35" i="30"/>
  <c r="M34" i="30"/>
  <c r="L34" i="30"/>
  <c r="K34" i="30"/>
  <c r="J34" i="30"/>
  <c r="L33" i="30"/>
  <c r="K33" i="30"/>
  <c r="J33" i="30"/>
  <c r="M33" i="30" s="1"/>
  <c r="L31" i="30"/>
  <c r="K31" i="30"/>
  <c r="M31" i="30" s="1"/>
  <c r="J31" i="30"/>
  <c r="L30" i="30"/>
  <c r="K30" i="30"/>
  <c r="J30" i="30"/>
  <c r="M30" i="30" s="1"/>
  <c r="L29" i="30"/>
  <c r="K29" i="30"/>
  <c r="M29" i="30" s="1"/>
  <c r="J29" i="30"/>
  <c r="L28" i="30"/>
  <c r="K28" i="30"/>
  <c r="M28" i="30" s="1"/>
  <c r="J28" i="30"/>
  <c r="L27" i="30"/>
  <c r="K27" i="30"/>
  <c r="J27" i="30"/>
  <c r="M27" i="30" s="1"/>
  <c r="G27" i="30"/>
  <c r="L26" i="30"/>
  <c r="K26" i="30"/>
  <c r="M26" i="30" s="1"/>
  <c r="J26" i="30"/>
  <c r="G26" i="30"/>
  <c r="L25" i="30"/>
  <c r="K25" i="30"/>
  <c r="M25" i="30" s="1"/>
  <c r="J25" i="30"/>
  <c r="G25" i="30"/>
  <c r="L24" i="30"/>
  <c r="K24" i="30"/>
  <c r="M24" i="30" s="1"/>
  <c r="J24" i="30"/>
  <c r="K22" i="30"/>
  <c r="M22" i="30" s="1"/>
  <c r="J22" i="30"/>
  <c r="L21" i="30"/>
  <c r="K21" i="30"/>
  <c r="M21" i="30" s="1"/>
  <c r="J21" i="30"/>
  <c r="L20" i="30"/>
  <c r="K20" i="30"/>
  <c r="J20" i="30"/>
  <c r="M20" i="30" s="1"/>
  <c r="K19" i="30"/>
  <c r="M19" i="30" s="1"/>
  <c r="J19" i="30"/>
  <c r="L17" i="30"/>
  <c r="K17" i="30"/>
  <c r="J17" i="30"/>
  <c r="M17" i="30" s="1"/>
  <c r="L16" i="30"/>
  <c r="K16" i="30"/>
  <c r="J16" i="30"/>
  <c r="M16" i="30" s="1"/>
  <c r="L15" i="30"/>
  <c r="K15" i="30"/>
  <c r="J15" i="30"/>
  <c r="M15" i="30" s="1"/>
  <c r="W14" i="30"/>
  <c r="Y13" i="30" s="1"/>
  <c r="L14" i="30"/>
  <c r="K14" i="30"/>
  <c r="M14" i="30" s="1"/>
  <c r="J14" i="30"/>
  <c r="X13" i="30"/>
  <c r="W13" i="30"/>
  <c r="M13" i="30"/>
  <c r="L13" i="30"/>
  <c r="K13" i="30"/>
  <c r="J13" i="30"/>
  <c r="W12" i="30"/>
  <c r="X14" i="30" s="1"/>
  <c r="Y14" i="30" s="1"/>
  <c r="K12" i="30"/>
  <c r="L12" i="30" s="1"/>
  <c r="J12" i="30"/>
  <c r="W11" i="30"/>
  <c r="X12" i="30" s="1"/>
  <c r="M11" i="30"/>
  <c r="K11" i="30"/>
  <c r="L11" i="30" s="1"/>
  <c r="J11" i="30"/>
  <c r="M5" i="30"/>
  <c r="C94" i="30" s="1"/>
  <c r="E145" i="29"/>
  <c r="E124" i="29"/>
  <c r="M101" i="29"/>
  <c r="K101" i="29"/>
  <c r="L101" i="29" s="1"/>
  <c r="J101" i="29"/>
  <c r="M100" i="29"/>
  <c r="K100" i="29"/>
  <c r="L100" i="29" s="1"/>
  <c r="J100" i="29"/>
  <c r="M99" i="29"/>
  <c r="K99" i="29"/>
  <c r="L99" i="29" s="1"/>
  <c r="J99" i="29"/>
  <c r="M98" i="29"/>
  <c r="K98" i="29"/>
  <c r="L98" i="29" s="1"/>
  <c r="J98" i="29"/>
  <c r="C98" i="29"/>
  <c r="E98" i="29" s="1"/>
  <c r="G98" i="29" s="1"/>
  <c r="K96" i="29"/>
  <c r="M96" i="29" s="1"/>
  <c r="J96" i="29"/>
  <c r="M95" i="29"/>
  <c r="K95" i="29"/>
  <c r="L95" i="29" s="1"/>
  <c r="J95" i="29"/>
  <c r="K94" i="29"/>
  <c r="M94" i="29" s="1"/>
  <c r="J94" i="29"/>
  <c r="K91" i="29"/>
  <c r="L91" i="29" s="1"/>
  <c r="M91" i="29" s="1"/>
  <c r="J91" i="29"/>
  <c r="M90" i="29"/>
  <c r="K90" i="29"/>
  <c r="L90" i="29" s="1"/>
  <c r="J90" i="29"/>
  <c r="K89" i="29"/>
  <c r="M89" i="29" s="1"/>
  <c r="J89" i="29"/>
  <c r="M88" i="29"/>
  <c r="K88" i="29"/>
  <c r="L88" i="29" s="1"/>
  <c r="J88" i="29"/>
  <c r="M87" i="29"/>
  <c r="L87" i="29"/>
  <c r="K87" i="29"/>
  <c r="J87" i="29"/>
  <c r="K85" i="29"/>
  <c r="M85" i="29" s="1"/>
  <c r="J85" i="29"/>
  <c r="M84" i="29"/>
  <c r="L84" i="29"/>
  <c r="K84" i="29"/>
  <c r="J84" i="29"/>
  <c r="M83" i="29"/>
  <c r="K83" i="29"/>
  <c r="L83" i="29" s="1"/>
  <c r="J83" i="29"/>
  <c r="C83" i="29"/>
  <c r="L82" i="29"/>
  <c r="M82" i="29" s="1"/>
  <c r="K82" i="29"/>
  <c r="J82" i="29"/>
  <c r="M81" i="29"/>
  <c r="K81" i="29"/>
  <c r="L81" i="29" s="1"/>
  <c r="J81" i="29"/>
  <c r="C81" i="29"/>
  <c r="E84" i="29" s="1"/>
  <c r="G84" i="29" s="1"/>
  <c r="K78" i="29"/>
  <c r="L78" i="29" s="1"/>
  <c r="M78" i="29" s="1"/>
  <c r="J78" i="29"/>
  <c r="C78" i="29"/>
  <c r="E78" i="29" s="1"/>
  <c r="G78" i="29" s="1"/>
  <c r="M75" i="29"/>
  <c r="K75" i="29"/>
  <c r="L75" i="29" s="1"/>
  <c r="J75" i="29"/>
  <c r="C75" i="29"/>
  <c r="E75" i="29" s="1"/>
  <c r="G75" i="29" s="1"/>
  <c r="K73" i="29"/>
  <c r="M73" i="29" s="1"/>
  <c r="J73" i="29"/>
  <c r="M71" i="29"/>
  <c r="K71" i="29"/>
  <c r="L71" i="29" s="1"/>
  <c r="J71" i="29"/>
  <c r="E71" i="29"/>
  <c r="G71" i="29" s="1"/>
  <c r="C71" i="29"/>
  <c r="M68" i="29"/>
  <c r="K68" i="29"/>
  <c r="L68" i="29" s="1"/>
  <c r="J68" i="29"/>
  <c r="E68" i="29"/>
  <c r="G68" i="29" s="1"/>
  <c r="C68" i="29"/>
  <c r="K66" i="29"/>
  <c r="M66" i="29" s="1"/>
  <c r="J66" i="29"/>
  <c r="L65" i="29"/>
  <c r="K65" i="29"/>
  <c r="M65" i="29" s="1"/>
  <c r="J65" i="29"/>
  <c r="M64" i="29"/>
  <c r="L64" i="29"/>
  <c r="K64" i="29"/>
  <c r="J64" i="29"/>
  <c r="K63" i="29"/>
  <c r="L63" i="29" s="1"/>
  <c r="J63" i="29"/>
  <c r="M63" i="29" s="1"/>
  <c r="M62" i="29"/>
  <c r="K62" i="29"/>
  <c r="L62" i="29" s="1"/>
  <c r="J62" i="29"/>
  <c r="M61" i="29"/>
  <c r="L61" i="29"/>
  <c r="K61" i="29"/>
  <c r="J61" i="29"/>
  <c r="M58" i="29"/>
  <c r="K58" i="29"/>
  <c r="L58" i="29" s="1"/>
  <c r="J58" i="29"/>
  <c r="K57" i="29"/>
  <c r="J57" i="29"/>
  <c r="L56" i="29"/>
  <c r="K56" i="29"/>
  <c r="J56" i="29"/>
  <c r="M56" i="29" s="1"/>
  <c r="G56" i="29"/>
  <c r="M55" i="29"/>
  <c r="L55" i="29"/>
  <c r="K55" i="29"/>
  <c r="J55" i="29"/>
  <c r="M54" i="29"/>
  <c r="L54" i="29"/>
  <c r="K54" i="29"/>
  <c r="J54" i="29"/>
  <c r="M53" i="29"/>
  <c r="K53" i="29"/>
  <c r="L53" i="29" s="1"/>
  <c r="J53" i="29"/>
  <c r="C53" i="29"/>
  <c r="E56" i="29" s="1"/>
  <c r="K51" i="29"/>
  <c r="J51" i="29"/>
  <c r="E51" i="29"/>
  <c r="G51" i="29" s="1"/>
  <c r="C51" i="29"/>
  <c r="M49" i="29"/>
  <c r="L49" i="29"/>
  <c r="K49" i="29"/>
  <c r="J49" i="29"/>
  <c r="M48" i="29"/>
  <c r="K48" i="29"/>
  <c r="L48" i="29" s="1"/>
  <c r="J48" i="29"/>
  <c r="C48" i="29"/>
  <c r="K45" i="29"/>
  <c r="M45" i="29" s="1"/>
  <c r="J45" i="29"/>
  <c r="E45" i="29"/>
  <c r="G45" i="29" s="1"/>
  <c r="M44" i="29"/>
  <c r="L44" i="29"/>
  <c r="K44" i="29"/>
  <c r="J44" i="29"/>
  <c r="G44" i="29"/>
  <c r="E44" i="29"/>
  <c r="C44" i="29"/>
  <c r="M42" i="29"/>
  <c r="K42" i="29"/>
  <c r="L42" i="29" s="1"/>
  <c r="J42" i="29"/>
  <c r="L41" i="29"/>
  <c r="K41" i="29"/>
  <c r="M41" i="29" s="1"/>
  <c r="J41" i="29"/>
  <c r="C41" i="29"/>
  <c r="E42" i="29" s="1"/>
  <c r="G42" i="29" s="1"/>
  <c r="M39" i="29"/>
  <c r="L39" i="29"/>
  <c r="K39" i="29"/>
  <c r="J39" i="29"/>
  <c r="G39" i="29"/>
  <c r="E39" i="29"/>
  <c r="K38" i="29"/>
  <c r="J38" i="29"/>
  <c r="C38" i="29"/>
  <c r="E38" i="29" s="1"/>
  <c r="G38" i="29" s="1"/>
  <c r="K36" i="29"/>
  <c r="M36" i="29" s="1"/>
  <c r="J36" i="29"/>
  <c r="E36" i="29"/>
  <c r="G36" i="29" s="1"/>
  <c r="N36" i="29" s="1"/>
  <c r="C36" i="29"/>
  <c r="L35" i="29"/>
  <c r="K35" i="29"/>
  <c r="J35" i="29"/>
  <c r="M35" i="29" s="1"/>
  <c r="K34" i="29"/>
  <c r="M34" i="29" s="1"/>
  <c r="J34" i="29"/>
  <c r="C34" i="29"/>
  <c r="E34" i="29" s="1"/>
  <c r="G34" i="29" s="1"/>
  <c r="M33" i="29"/>
  <c r="L33" i="29"/>
  <c r="K33" i="29"/>
  <c r="J33" i="29"/>
  <c r="K31" i="29"/>
  <c r="M31" i="29" s="1"/>
  <c r="J31" i="29"/>
  <c r="M30" i="29"/>
  <c r="L30" i="29"/>
  <c r="K30" i="29"/>
  <c r="J30" i="29"/>
  <c r="K29" i="29"/>
  <c r="J29" i="29"/>
  <c r="K28" i="29"/>
  <c r="M28" i="29" s="1"/>
  <c r="J28" i="29"/>
  <c r="M27" i="29"/>
  <c r="L27" i="29"/>
  <c r="K27" i="29"/>
  <c r="J27" i="29"/>
  <c r="G27" i="29"/>
  <c r="K26" i="29"/>
  <c r="J26" i="29"/>
  <c r="G26" i="29"/>
  <c r="K25" i="29"/>
  <c r="M25" i="29" s="1"/>
  <c r="J25" i="29"/>
  <c r="G25" i="29"/>
  <c r="K24" i="29"/>
  <c r="M24" i="29" s="1"/>
  <c r="J24" i="29"/>
  <c r="C24" i="29"/>
  <c r="E31" i="29" s="1"/>
  <c r="G31" i="29" s="1"/>
  <c r="L22" i="29"/>
  <c r="K22" i="29"/>
  <c r="J22" i="29"/>
  <c r="M22" i="29" s="1"/>
  <c r="K21" i="29"/>
  <c r="M21" i="29" s="1"/>
  <c r="J21" i="29"/>
  <c r="M20" i="29"/>
  <c r="L20" i="29"/>
  <c r="K20" i="29"/>
  <c r="J20" i="29"/>
  <c r="M19" i="29"/>
  <c r="K19" i="29"/>
  <c r="L19" i="29" s="1"/>
  <c r="J19" i="29"/>
  <c r="C19" i="29"/>
  <c r="L17" i="29"/>
  <c r="K17" i="29"/>
  <c r="M17" i="29" s="1"/>
  <c r="J17" i="29"/>
  <c r="M16" i="29"/>
  <c r="L16" i="29"/>
  <c r="K16" i="29"/>
  <c r="J16" i="29"/>
  <c r="M15" i="29"/>
  <c r="L15" i="29"/>
  <c r="K15" i="29"/>
  <c r="J15" i="29"/>
  <c r="W14" i="29"/>
  <c r="Y13" i="29" s="1"/>
  <c r="K14" i="29"/>
  <c r="M14" i="29" s="1"/>
  <c r="J14" i="29"/>
  <c r="E14" i="29"/>
  <c r="G14" i="29" s="1"/>
  <c r="X13" i="29"/>
  <c r="W13" i="29"/>
  <c r="K13" i="29"/>
  <c r="L13" i="29" s="1"/>
  <c r="J13" i="29"/>
  <c r="C13" i="29"/>
  <c r="E13" i="29" s="1"/>
  <c r="G13" i="29" s="1"/>
  <c r="K12" i="29"/>
  <c r="M12" i="29" s="1"/>
  <c r="J12" i="29"/>
  <c r="W11" i="29"/>
  <c r="X12" i="29" s="1"/>
  <c r="M11" i="29"/>
  <c r="K11" i="29"/>
  <c r="L11" i="29" s="1"/>
  <c r="J11" i="29"/>
  <c r="C11" i="29"/>
  <c r="M5" i="29"/>
  <c r="C94" i="29" s="1"/>
  <c r="E96" i="52" l="1"/>
  <c r="G96" i="52" s="1"/>
  <c r="E95" i="52"/>
  <c r="G95" i="52" s="1"/>
  <c r="E94" i="52"/>
  <c r="G94" i="52" s="1"/>
  <c r="C11" i="52"/>
  <c r="C19" i="52"/>
  <c r="C48" i="52"/>
  <c r="C53" i="52"/>
  <c r="C75" i="52"/>
  <c r="E75" i="52" s="1"/>
  <c r="G75" i="52" s="1"/>
  <c r="C78" i="52"/>
  <c r="E78" i="52" s="1"/>
  <c r="G78" i="52" s="1"/>
  <c r="C81" i="52"/>
  <c r="C83" i="52"/>
  <c r="C98" i="52"/>
  <c r="E98" i="52" s="1"/>
  <c r="G98" i="52" s="1"/>
  <c r="L22" i="52"/>
  <c r="L35" i="52"/>
  <c r="L39" i="52"/>
  <c r="C44" i="52"/>
  <c r="L56" i="52"/>
  <c r="C99" i="52"/>
  <c r="E99" i="52" s="1"/>
  <c r="G99" i="52" s="1"/>
  <c r="C13" i="52"/>
  <c r="C34" i="52"/>
  <c r="E34" i="52" s="1"/>
  <c r="G34" i="52" s="1"/>
  <c r="C51" i="52"/>
  <c r="E51" i="52" s="1"/>
  <c r="G51" i="52" s="1"/>
  <c r="C73" i="52"/>
  <c r="E73" i="52" s="1"/>
  <c r="G73" i="52" s="1"/>
  <c r="L96" i="52"/>
  <c r="C15" i="52"/>
  <c r="E15" i="52" s="1"/>
  <c r="C38" i="52"/>
  <c r="L89" i="52"/>
  <c r="L94" i="52"/>
  <c r="C100" i="52"/>
  <c r="E100" i="52" s="1"/>
  <c r="L11" i="52"/>
  <c r="L19" i="52"/>
  <c r="C35" i="52"/>
  <c r="E35" i="52" s="1"/>
  <c r="G35" i="52" s="1"/>
  <c r="L42" i="52"/>
  <c r="L48" i="52"/>
  <c r="L53" i="52"/>
  <c r="L58" i="52"/>
  <c r="C61" i="52"/>
  <c r="L83" i="52"/>
  <c r="C33" i="52"/>
  <c r="E33" i="52" s="1"/>
  <c r="G33" i="52" s="1"/>
  <c r="C68" i="52"/>
  <c r="E68" i="52" s="1"/>
  <c r="G68" i="52" s="1"/>
  <c r="C71" i="52"/>
  <c r="E71" i="52" s="1"/>
  <c r="G71" i="52" s="1"/>
  <c r="C87" i="52"/>
  <c r="C24" i="52"/>
  <c r="C36" i="52"/>
  <c r="E36" i="52" s="1"/>
  <c r="G36" i="52" s="1"/>
  <c r="C41" i="52"/>
  <c r="N78" i="51"/>
  <c r="N77" i="51" s="1"/>
  <c r="N76" i="51" s="1"/>
  <c r="O78" i="51"/>
  <c r="N98" i="51"/>
  <c r="O98" i="51"/>
  <c r="X14" i="51"/>
  <c r="Y14" i="51" s="1"/>
  <c r="E96" i="51"/>
  <c r="G96" i="51" s="1"/>
  <c r="E94" i="51"/>
  <c r="G94" i="51" s="1"/>
  <c r="E95" i="51"/>
  <c r="G95" i="51" s="1"/>
  <c r="N75" i="51"/>
  <c r="N74" i="51" s="1"/>
  <c r="O75" i="51"/>
  <c r="E85" i="51"/>
  <c r="G85" i="51" s="1"/>
  <c r="E11" i="51"/>
  <c r="W12" i="51"/>
  <c r="C15" i="51"/>
  <c r="E15" i="51" s="1"/>
  <c r="E19" i="51"/>
  <c r="G19" i="51" s="1"/>
  <c r="L26" i="51"/>
  <c r="L29" i="51"/>
  <c r="C33" i="51"/>
  <c r="E33" i="51" s="1"/>
  <c r="G33" i="51" s="1"/>
  <c r="L38" i="51"/>
  <c r="E48" i="51"/>
  <c r="G48" i="51" s="1"/>
  <c r="E53" i="51"/>
  <c r="G53" i="51" s="1"/>
  <c r="L66" i="51"/>
  <c r="E81" i="51"/>
  <c r="G81" i="51" s="1"/>
  <c r="E83" i="51"/>
  <c r="G83" i="51" s="1"/>
  <c r="C87" i="51"/>
  <c r="X12" i="51"/>
  <c r="N13" i="51"/>
  <c r="E20" i="51"/>
  <c r="G20" i="51" s="1"/>
  <c r="C44" i="51"/>
  <c r="E54" i="51"/>
  <c r="G54" i="51" s="1"/>
  <c r="E82" i="51"/>
  <c r="G82" i="51" s="1"/>
  <c r="C99" i="51"/>
  <c r="E99" i="51" s="1"/>
  <c r="G99" i="51" s="1"/>
  <c r="E21" i="51"/>
  <c r="G21" i="51" s="1"/>
  <c r="E12" i="51"/>
  <c r="G12" i="51" s="1"/>
  <c r="C34" i="51"/>
  <c r="E34" i="51" s="1"/>
  <c r="G34" i="51" s="1"/>
  <c r="C51" i="51"/>
  <c r="E51" i="51" s="1"/>
  <c r="G51" i="51" s="1"/>
  <c r="C73" i="51"/>
  <c r="E73" i="51" s="1"/>
  <c r="G73" i="51" s="1"/>
  <c r="L96" i="51"/>
  <c r="E55" i="51"/>
  <c r="G55" i="51" s="1"/>
  <c r="C38" i="51"/>
  <c r="E57" i="51"/>
  <c r="L85" i="51"/>
  <c r="L89" i="51"/>
  <c r="L94" i="51"/>
  <c r="C100" i="51"/>
  <c r="E100" i="51" s="1"/>
  <c r="C35" i="51"/>
  <c r="E35" i="51" s="1"/>
  <c r="G35" i="51" s="1"/>
  <c r="C61" i="51"/>
  <c r="C68" i="51"/>
  <c r="E68" i="51" s="1"/>
  <c r="G68" i="51" s="1"/>
  <c r="C71" i="51"/>
  <c r="E71" i="51" s="1"/>
  <c r="G71" i="51" s="1"/>
  <c r="Y13" i="51"/>
  <c r="C24" i="51"/>
  <c r="C36" i="51"/>
  <c r="E36" i="51" s="1"/>
  <c r="G36" i="51" s="1"/>
  <c r="C41" i="51"/>
  <c r="L12" i="50"/>
  <c r="M12" i="50"/>
  <c r="E96" i="50"/>
  <c r="G96" i="50" s="1"/>
  <c r="E94" i="50"/>
  <c r="G94" i="50" s="1"/>
  <c r="E95" i="50"/>
  <c r="G95" i="50" s="1"/>
  <c r="O36" i="50"/>
  <c r="P36" i="50" s="1"/>
  <c r="N36" i="50"/>
  <c r="O13" i="50"/>
  <c r="P13" i="50" s="1"/>
  <c r="N13" i="50"/>
  <c r="N98" i="50"/>
  <c r="O98" i="50"/>
  <c r="O71" i="50"/>
  <c r="N71" i="50"/>
  <c r="N70" i="50" s="1"/>
  <c r="N75" i="50"/>
  <c r="N74" i="50" s="1"/>
  <c r="O75" i="50"/>
  <c r="O35" i="50"/>
  <c r="P35" i="50" s="1"/>
  <c r="N35" i="50"/>
  <c r="O38" i="50"/>
  <c r="N38" i="50"/>
  <c r="N37" i="50" s="1"/>
  <c r="O41" i="50"/>
  <c r="N41" i="50"/>
  <c r="N40" i="50" s="1"/>
  <c r="O24" i="50"/>
  <c r="O68" i="50"/>
  <c r="N68" i="50"/>
  <c r="N67" i="50" s="1"/>
  <c r="O51" i="50"/>
  <c r="N51" i="50"/>
  <c r="N50" i="50" s="1"/>
  <c r="O34" i="50"/>
  <c r="P34" i="50" s="1"/>
  <c r="N34" i="50"/>
  <c r="G57" i="50"/>
  <c r="G58" i="50"/>
  <c r="N78" i="50"/>
  <c r="N77" i="50" s="1"/>
  <c r="N76" i="50" s="1"/>
  <c r="O78" i="50"/>
  <c r="E21" i="50"/>
  <c r="G21" i="50" s="1"/>
  <c r="M64" i="50"/>
  <c r="E11" i="50"/>
  <c r="W12" i="50"/>
  <c r="X14" i="50" s="1"/>
  <c r="Y14" i="50" s="1"/>
  <c r="C15" i="50"/>
  <c r="E15" i="50" s="1"/>
  <c r="E19" i="50"/>
  <c r="G19" i="50" s="1"/>
  <c r="L26" i="50"/>
  <c r="G28" i="50"/>
  <c r="N24" i="50" s="1"/>
  <c r="N23" i="50" s="1"/>
  <c r="L29" i="50"/>
  <c r="C33" i="50"/>
  <c r="E33" i="50" s="1"/>
  <c r="G33" i="50" s="1"/>
  <c r="L38" i="50"/>
  <c r="E48" i="50"/>
  <c r="G48" i="50" s="1"/>
  <c r="E53" i="50"/>
  <c r="G53" i="50" s="1"/>
  <c r="L66" i="50"/>
  <c r="E81" i="50"/>
  <c r="G81" i="50" s="1"/>
  <c r="E83" i="50"/>
  <c r="G83" i="50" s="1"/>
  <c r="C87" i="50"/>
  <c r="C44" i="50"/>
  <c r="E54" i="50"/>
  <c r="G54" i="50" s="1"/>
  <c r="E82" i="50"/>
  <c r="G82" i="50" s="1"/>
  <c r="E84" i="50"/>
  <c r="G84" i="50" s="1"/>
  <c r="C99" i="50"/>
  <c r="E99" i="50" s="1"/>
  <c r="G99" i="50" s="1"/>
  <c r="E55" i="50"/>
  <c r="G55" i="50" s="1"/>
  <c r="M88" i="50"/>
  <c r="M99" i="50"/>
  <c r="E12" i="50"/>
  <c r="G12" i="50" s="1"/>
  <c r="C73" i="50"/>
  <c r="E73" i="50" s="1"/>
  <c r="G73" i="50" s="1"/>
  <c r="C100" i="50"/>
  <c r="E100" i="50" s="1"/>
  <c r="C61" i="50"/>
  <c r="O71" i="49"/>
  <c r="N71" i="49"/>
  <c r="N70" i="49" s="1"/>
  <c r="N98" i="49"/>
  <c r="O98" i="49"/>
  <c r="N34" i="49"/>
  <c r="O41" i="49"/>
  <c r="N78" i="49"/>
  <c r="N77" i="49" s="1"/>
  <c r="N76" i="49" s="1"/>
  <c r="O78" i="49"/>
  <c r="O13" i="49"/>
  <c r="P13" i="49" s="1"/>
  <c r="N13" i="49"/>
  <c r="N75" i="49"/>
  <c r="N74" i="49" s="1"/>
  <c r="O75" i="49"/>
  <c r="O36" i="49"/>
  <c r="P36" i="49" s="1"/>
  <c r="N36" i="49"/>
  <c r="E21" i="49"/>
  <c r="G21" i="49" s="1"/>
  <c r="E28" i="49"/>
  <c r="E94" i="49"/>
  <c r="G94" i="49" s="1"/>
  <c r="E11" i="49"/>
  <c r="W12" i="49"/>
  <c r="X14" i="49" s="1"/>
  <c r="Y14" i="49" s="1"/>
  <c r="C15" i="49"/>
  <c r="E15" i="49" s="1"/>
  <c r="E19" i="49"/>
  <c r="G19" i="49" s="1"/>
  <c r="L26" i="49"/>
  <c r="L29" i="49"/>
  <c r="C33" i="49"/>
  <c r="E33" i="49" s="1"/>
  <c r="G33" i="49" s="1"/>
  <c r="M34" i="49"/>
  <c r="O34" i="49" s="1"/>
  <c r="P34" i="49" s="1"/>
  <c r="L38" i="49"/>
  <c r="E42" i="49"/>
  <c r="G42" i="49" s="1"/>
  <c r="N41" i="49" s="1"/>
  <c r="N40" i="49" s="1"/>
  <c r="E48" i="49"/>
  <c r="G48" i="49" s="1"/>
  <c r="M51" i="49"/>
  <c r="E53" i="49"/>
  <c r="G53" i="49" s="1"/>
  <c r="M57" i="49"/>
  <c r="L63" i="49"/>
  <c r="L66" i="49"/>
  <c r="E81" i="49"/>
  <c r="G81" i="49" s="1"/>
  <c r="E83" i="49"/>
  <c r="G83" i="49" s="1"/>
  <c r="C87" i="49"/>
  <c r="E95" i="49"/>
  <c r="G95" i="49" s="1"/>
  <c r="E24" i="49"/>
  <c r="G24" i="49" s="1"/>
  <c r="X12" i="49"/>
  <c r="E20" i="49"/>
  <c r="G20" i="49" s="1"/>
  <c r="C44" i="49"/>
  <c r="E54" i="49"/>
  <c r="G54" i="49" s="1"/>
  <c r="E82" i="49"/>
  <c r="G82" i="49" s="1"/>
  <c r="E84" i="49"/>
  <c r="G84" i="49" s="1"/>
  <c r="C99" i="49"/>
  <c r="E99" i="49" s="1"/>
  <c r="G99" i="49" s="1"/>
  <c r="E55" i="49"/>
  <c r="G55" i="49" s="1"/>
  <c r="E12" i="49"/>
  <c r="G12" i="49" s="1"/>
  <c r="C51" i="49"/>
  <c r="E51" i="49" s="1"/>
  <c r="G51" i="49" s="1"/>
  <c r="C73" i="49"/>
  <c r="E73" i="49" s="1"/>
  <c r="G73" i="49" s="1"/>
  <c r="E57" i="49"/>
  <c r="C100" i="49"/>
  <c r="E100" i="49" s="1"/>
  <c r="L11" i="49"/>
  <c r="L19" i="49"/>
  <c r="C35" i="49"/>
  <c r="E35" i="49" s="1"/>
  <c r="G35" i="49" s="1"/>
  <c r="E38" i="49"/>
  <c r="G38" i="49" s="1"/>
  <c r="L42" i="49"/>
  <c r="L48" i="49"/>
  <c r="L53" i="49"/>
  <c r="L58" i="49"/>
  <c r="C61" i="49"/>
  <c r="L83" i="49"/>
  <c r="L95" i="49"/>
  <c r="C68" i="49"/>
  <c r="E68" i="49" s="1"/>
  <c r="G68" i="49" s="1"/>
  <c r="N78" i="47"/>
  <c r="N77" i="47" s="1"/>
  <c r="N76" i="47" s="1"/>
  <c r="O78" i="47"/>
  <c r="O35" i="47"/>
  <c r="P35" i="47" s="1"/>
  <c r="N35" i="47"/>
  <c r="E96" i="47"/>
  <c r="G96" i="47" s="1"/>
  <c r="E94" i="47"/>
  <c r="G94" i="47" s="1"/>
  <c r="E95" i="47"/>
  <c r="G95" i="47" s="1"/>
  <c r="N75" i="47"/>
  <c r="N74" i="47" s="1"/>
  <c r="O75" i="47"/>
  <c r="O13" i="47"/>
  <c r="P13" i="47" s="1"/>
  <c r="N13" i="47"/>
  <c r="N98" i="47"/>
  <c r="O98" i="47"/>
  <c r="E11" i="47"/>
  <c r="W12" i="47"/>
  <c r="X14" i="47" s="1"/>
  <c r="Y14" i="47" s="1"/>
  <c r="C15" i="47"/>
  <c r="E15" i="47" s="1"/>
  <c r="E19" i="47"/>
  <c r="G19" i="47" s="1"/>
  <c r="L29" i="47"/>
  <c r="C33" i="47"/>
  <c r="E33" i="47" s="1"/>
  <c r="G33" i="47" s="1"/>
  <c r="L38" i="47"/>
  <c r="E48" i="47"/>
  <c r="G48" i="47" s="1"/>
  <c r="E53" i="47"/>
  <c r="G53" i="47" s="1"/>
  <c r="L66" i="47"/>
  <c r="E81" i="47"/>
  <c r="G81" i="47" s="1"/>
  <c r="E83" i="47"/>
  <c r="G83" i="47" s="1"/>
  <c r="C87" i="47"/>
  <c r="X12" i="47"/>
  <c r="E20" i="47"/>
  <c r="G20" i="47" s="1"/>
  <c r="C44" i="47"/>
  <c r="E54" i="47"/>
  <c r="G54" i="47" s="1"/>
  <c r="E82" i="47"/>
  <c r="G82" i="47" s="1"/>
  <c r="E84" i="47"/>
  <c r="G84" i="47" s="1"/>
  <c r="C99" i="47"/>
  <c r="E99" i="47" s="1"/>
  <c r="G99" i="47" s="1"/>
  <c r="E12" i="47"/>
  <c r="G12" i="47" s="1"/>
  <c r="C34" i="47"/>
  <c r="E34" i="47" s="1"/>
  <c r="G34" i="47" s="1"/>
  <c r="C51" i="47"/>
  <c r="E51" i="47" s="1"/>
  <c r="G51" i="47" s="1"/>
  <c r="C73" i="47"/>
  <c r="E73" i="47" s="1"/>
  <c r="G73" i="47" s="1"/>
  <c r="L96" i="47"/>
  <c r="C38" i="47"/>
  <c r="E57" i="47"/>
  <c r="L85" i="47"/>
  <c r="L89" i="47"/>
  <c r="L94" i="47"/>
  <c r="C100" i="47"/>
  <c r="E100" i="47" s="1"/>
  <c r="E21" i="47"/>
  <c r="G21" i="47" s="1"/>
  <c r="L53" i="47"/>
  <c r="L58" i="47"/>
  <c r="C61" i="47"/>
  <c r="L75" i="47"/>
  <c r="X13" i="47"/>
  <c r="L15" i="47"/>
  <c r="L16" i="47"/>
  <c r="L20" i="47"/>
  <c r="L30" i="47"/>
  <c r="L49" i="47"/>
  <c r="L54" i="47"/>
  <c r="E56" i="47"/>
  <c r="G56" i="47" s="1"/>
  <c r="C68" i="47"/>
  <c r="E68" i="47" s="1"/>
  <c r="G68" i="47" s="1"/>
  <c r="C71" i="47"/>
  <c r="E71" i="47" s="1"/>
  <c r="G71" i="47" s="1"/>
  <c r="L84" i="47"/>
  <c r="Y13" i="47"/>
  <c r="C24" i="47"/>
  <c r="C36" i="47"/>
  <c r="E36" i="47" s="1"/>
  <c r="G36" i="47" s="1"/>
  <c r="C41" i="47"/>
  <c r="E96" i="43"/>
  <c r="G96" i="43" s="1"/>
  <c r="E95" i="43"/>
  <c r="G95" i="43" s="1"/>
  <c r="E94" i="43"/>
  <c r="G94" i="43" s="1"/>
  <c r="C33" i="43"/>
  <c r="E33" i="43" s="1"/>
  <c r="G33" i="43" s="1"/>
  <c r="C11" i="43"/>
  <c r="M12" i="43"/>
  <c r="Y14" i="43"/>
  <c r="C19" i="43"/>
  <c r="C48" i="43"/>
  <c r="C53" i="43"/>
  <c r="M64" i="43"/>
  <c r="C75" i="43"/>
  <c r="E75" i="43" s="1"/>
  <c r="G75" i="43" s="1"/>
  <c r="C78" i="43"/>
  <c r="E78" i="43" s="1"/>
  <c r="G78" i="43" s="1"/>
  <c r="C81" i="43"/>
  <c r="C83" i="43"/>
  <c r="M88" i="43"/>
  <c r="C98" i="43"/>
  <c r="E98" i="43" s="1"/>
  <c r="G98" i="43" s="1"/>
  <c r="L22" i="43"/>
  <c r="L35" i="43"/>
  <c r="L39" i="43"/>
  <c r="C44" i="43"/>
  <c r="L56" i="43"/>
  <c r="C99" i="43"/>
  <c r="E99" i="43" s="1"/>
  <c r="G99" i="43" s="1"/>
  <c r="C13" i="43"/>
  <c r="C34" i="43"/>
  <c r="E34" i="43" s="1"/>
  <c r="G34" i="43" s="1"/>
  <c r="C51" i="43"/>
  <c r="E51" i="43" s="1"/>
  <c r="G51" i="43" s="1"/>
  <c r="C73" i="43"/>
  <c r="E73" i="43" s="1"/>
  <c r="G73" i="43" s="1"/>
  <c r="L96" i="43"/>
  <c r="L14" i="43"/>
  <c r="L21" i="43"/>
  <c r="L24" i="43"/>
  <c r="L25" i="43"/>
  <c r="L28" i="43"/>
  <c r="L31" i="43"/>
  <c r="L36" i="43"/>
  <c r="C38" i="43"/>
  <c r="L41" i="43"/>
  <c r="L55" i="43"/>
  <c r="L85" i="43"/>
  <c r="L89" i="43"/>
  <c r="L94" i="43"/>
  <c r="C100" i="43"/>
  <c r="E100" i="43" s="1"/>
  <c r="C87" i="43"/>
  <c r="C35" i="43"/>
  <c r="E35" i="43" s="1"/>
  <c r="G35" i="43" s="1"/>
  <c r="C61" i="43"/>
  <c r="C15" i="43"/>
  <c r="E15" i="43" s="1"/>
  <c r="C68" i="43"/>
  <c r="E68" i="43" s="1"/>
  <c r="G68" i="43" s="1"/>
  <c r="C71" i="43"/>
  <c r="E71" i="43" s="1"/>
  <c r="G71" i="43" s="1"/>
  <c r="C24" i="43"/>
  <c r="C36" i="43"/>
  <c r="E36" i="43" s="1"/>
  <c r="G36" i="43" s="1"/>
  <c r="C41" i="43"/>
  <c r="P78" i="38"/>
  <c r="O77" i="38"/>
  <c r="E96" i="38"/>
  <c r="G96" i="38" s="1"/>
  <c r="E95" i="38"/>
  <c r="G95" i="38" s="1"/>
  <c r="E94" i="38"/>
  <c r="G94" i="38" s="1"/>
  <c r="L38" i="38"/>
  <c r="M38" i="38"/>
  <c r="L29" i="38"/>
  <c r="M29" i="38"/>
  <c r="N98" i="38"/>
  <c r="O98" i="38"/>
  <c r="E11" i="38"/>
  <c r="E12" i="38"/>
  <c r="G12" i="38" s="1"/>
  <c r="L66" i="38"/>
  <c r="M66" i="38"/>
  <c r="E84" i="38"/>
  <c r="G84" i="38" s="1"/>
  <c r="E83" i="38"/>
  <c r="G83" i="38" s="1"/>
  <c r="E81" i="38"/>
  <c r="G81" i="38" s="1"/>
  <c r="E82" i="38"/>
  <c r="G82" i="38" s="1"/>
  <c r="E22" i="38"/>
  <c r="G22" i="38" s="1"/>
  <c r="E19" i="38"/>
  <c r="G19" i="38" s="1"/>
  <c r="E20" i="38"/>
  <c r="G20" i="38" s="1"/>
  <c r="L26" i="38"/>
  <c r="M26" i="38"/>
  <c r="O75" i="38"/>
  <c r="L90" i="38"/>
  <c r="M90" i="38"/>
  <c r="E48" i="38"/>
  <c r="G48" i="38" s="1"/>
  <c r="E49" i="38"/>
  <c r="G49" i="38" s="1"/>
  <c r="E56" i="38"/>
  <c r="G56" i="38" s="1"/>
  <c r="E53" i="38"/>
  <c r="G53" i="38" s="1"/>
  <c r="E57" i="38"/>
  <c r="E54" i="38"/>
  <c r="G54" i="38" s="1"/>
  <c r="N78" i="38"/>
  <c r="N77" i="38" s="1"/>
  <c r="N76" i="38" s="1"/>
  <c r="C15" i="38"/>
  <c r="E15" i="38" s="1"/>
  <c r="L39" i="38"/>
  <c r="C13" i="38"/>
  <c r="C102" i="38" s="1"/>
  <c r="L17" i="38"/>
  <c r="M22" i="38"/>
  <c r="C34" i="38"/>
  <c r="E34" i="38" s="1"/>
  <c r="G34" i="38" s="1"/>
  <c r="C51" i="38"/>
  <c r="E51" i="38" s="1"/>
  <c r="G51" i="38" s="1"/>
  <c r="M56" i="38"/>
  <c r="L71" i="38"/>
  <c r="C73" i="38"/>
  <c r="E73" i="38" s="1"/>
  <c r="G73" i="38" s="1"/>
  <c r="L96" i="38"/>
  <c r="C38" i="38"/>
  <c r="L85" i="38"/>
  <c r="L89" i="38"/>
  <c r="L94" i="38"/>
  <c r="C100" i="38"/>
  <c r="E100" i="38" s="1"/>
  <c r="C33" i="38"/>
  <c r="E33" i="38" s="1"/>
  <c r="G33" i="38" s="1"/>
  <c r="C99" i="38"/>
  <c r="E99" i="38" s="1"/>
  <c r="G99" i="38" s="1"/>
  <c r="L11" i="38"/>
  <c r="L19" i="38"/>
  <c r="C35" i="38"/>
  <c r="E35" i="38" s="1"/>
  <c r="G35" i="38" s="1"/>
  <c r="L42" i="38"/>
  <c r="L48" i="38"/>
  <c r="L53" i="38"/>
  <c r="L58" i="38"/>
  <c r="C61" i="38"/>
  <c r="L83" i="38"/>
  <c r="X13" i="38"/>
  <c r="L15" i="38"/>
  <c r="L16" i="38"/>
  <c r="C68" i="38"/>
  <c r="E68" i="38" s="1"/>
  <c r="G68" i="38" s="1"/>
  <c r="C71" i="38"/>
  <c r="E71" i="38" s="1"/>
  <c r="G71" i="38" s="1"/>
  <c r="L84" i="38"/>
  <c r="L87" i="38"/>
  <c r="C87" i="38"/>
  <c r="X12" i="38"/>
  <c r="C44" i="38"/>
  <c r="Y13" i="38"/>
  <c r="C24" i="38"/>
  <c r="C36" i="38"/>
  <c r="E36" i="38" s="1"/>
  <c r="G36" i="38" s="1"/>
  <c r="C41" i="38"/>
  <c r="N98" i="35"/>
  <c r="O98" i="35"/>
  <c r="O13" i="35"/>
  <c r="P13" i="35" s="1"/>
  <c r="N13" i="35"/>
  <c r="O34" i="35"/>
  <c r="P34" i="35" s="1"/>
  <c r="N34" i="35"/>
  <c r="O71" i="35"/>
  <c r="N71" i="35"/>
  <c r="N70" i="35" s="1"/>
  <c r="O36" i="35"/>
  <c r="P36" i="35" s="1"/>
  <c r="N36" i="35"/>
  <c r="N75" i="35"/>
  <c r="N74" i="35" s="1"/>
  <c r="O75" i="35"/>
  <c r="O24" i="35"/>
  <c r="O41" i="35"/>
  <c r="N41" i="35"/>
  <c r="N40" i="35" s="1"/>
  <c r="O44" i="35"/>
  <c r="O68" i="35"/>
  <c r="N68" i="35"/>
  <c r="N67" i="35" s="1"/>
  <c r="E96" i="35"/>
  <c r="G96" i="35" s="1"/>
  <c r="E95" i="35"/>
  <c r="G95" i="35" s="1"/>
  <c r="E94" i="35"/>
  <c r="G94" i="35" s="1"/>
  <c r="O51" i="35"/>
  <c r="N51" i="35"/>
  <c r="N50" i="35" s="1"/>
  <c r="N78" i="35"/>
  <c r="N77" i="35" s="1"/>
  <c r="N76" i="35" s="1"/>
  <c r="O78" i="35"/>
  <c r="E85" i="35"/>
  <c r="G85" i="35" s="1"/>
  <c r="E11" i="35"/>
  <c r="W12" i="35"/>
  <c r="X14" i="35" s="1"/>
  <c r="Y14" i="35" s="1"/>
  <c r="C15" i="35"/>
  <c r="E15" i="35" s="1"/>
  <c r="E19" i="35"/>
  <c r="G19" i="35" s="1"/>
  <c r="L26" i="35"/>
  <c r="G28" i="35"/>
  <c r="N24" i="35" s="1"/>
  <c r="N23" i="35" s="1"/>
  <c r="C33" i="35"/>
  <c r="E33" i="35" s="1"/>
  <c r="G33" i="35" s="1"/>
  <c r="L38" i="35"/>
  <c r="N44" i="35"/>
  <c r="N43" i="35" s="1"/>
  <c r="E48" i="35"/>
  <c r="G48" i="35" s="1"/>
  <c r="E53" i="35"/>
  <c r="G53" i="35" s="1"/>
  <c r="L66" i="35"/>
  <c r="E81" i="35"/>
  <c r="G81" i="35" s="1"/>
  <c r="E83" i="35"/>
  <c r="G83" i="35" s="1"/>
  <c r="C87" i="35"/>
  <c r="E21" i="35"/>
  <c r="G21" i="35" s="1"/>
  <c r="X12" i="35"/>
  <c r="E20" i="35"/>
  <c r="G20" i="35" s="1"/>
  <c r="E54" i="35"/>
  <c r="G54" i="35" s="1"/>
  <c r="E82" i="35"/>
  <c r="G82" i="35" s="1"/>
  <c r="C99" i="35"/>
  <c r="E99" i="35" s="1"/>
  <c r="G99" i="35" s="1"/>
  <c r="E55" i="35"/>
  <c r="G55" i="35" s="1"/>
  <c r="E12" i="35"/>
  <c r="G12" i="35" s="1"/>
  <c r="G30" i="35"/>
  <c r="C73" i="35"/>
  <c r="E73" i="35" s="1"/>
  <c r="G73" i="35" s="1"/>
  <c r="E57" i="35"/>
  <c r="C100" i="35"/>
  <c r="E100" i="35" s="1"/>
  <c r="L19" i="35"/>
  <c r="C35" i="35"/>
  <c r="E35" i="35" s="1"/>
  <c r="G35" i="35" s="1"/>
  <c r="E38" i="35"/>
  <c r="G38" i="35" s="1"/>
  <c r="L42" i="35"/>
  <c r="L48" i="35"/>
  <c r="L53" i="35"/>
  <c r="L58" i="35"/>
  <c r="C61" i="35"/>
  <c r="L83" i="35"/>
  <c r="L95" i="35"/>
  <c r="Y13" i="35"/>
  <c r="E96" i="34"/>
  <c r="G96" i="34" s="1"/>
  <c r="E95" i="34"/>
  <c r="G95" i="34" s="1"/>
  <c r="E94" i="34"/>
  <c r="G94" i="34" s="1"/>
  <c r="G16" i="34"/>
  <c r="G15" i="34"/>
  <c r="G17" i="34"/>
  <c r="O33" i="34"/>
  <c r="N33" i="34"/>
  <c r="Y14" i="34"/>
  <c r="C19" i="34"/>
  <c r="M44" i="34"/>
  <c r="C48" i="34"/>
  <c r="C53" i="34"/>
  <c r="M64" i="34"/>
  <c r="C75" i="34"/>
  <c r="E75" i="34" s="1"/>
  <c r="G75" i="34" s="1"/>
  <c r="C78" i="34"/>
  <c r="E78" i="34" s="1"/>
  <c r="G78" i="34" s="1"/>
  <c r="C81" i="34"/>
  <c r="C83" i="34"/>
  <c r="M88" i="34"/>
  <c r="C98" i="34"/>
  <c r="E98" i="34" s="1"/>
  <c r="G98" i="34" s="1"/>
  <c r="E11" i="34"/>
  <c r="L22" i="34"/>
  <c r="L35" i="34"/>
  <c r="L39" i="34"/>
  <c r="C44" i="34"/>
  <c r="L56" i="34"/>
  <c r="L61" i="34"/>
  <c r="E87" i="34"/>
  <c r="G87" i="34" s="1"/>
  <c r="C99" i="34"/>
  <c r="E99" i="34" s="1"/>
  <c r="G99" i="34" s="1"/>
  <c r="L17" i="34"/>
  <c r="C34" i="34"/>
  <c r="E34" i="34" s="1"/>
  <c r="G34" i="34" s="1"/>
  <c r="C51" i="34"/>
  <c r="E51" i="34" s="1"/>
  <c r="G51" i="34" s="1"/>
  <c r="L71" i="34"/>
  <c r="C73" i="34"/>
  <c r="E73" i="34" s="1"/>
  <c r="G73" i="34" s="1"/>
  <c r="E88" i="34"/>
  <c r="L96" i="34"/>
  <c r="X12" i="34"/>
  <c r="C13" i="34"/>
  <c r="C102" i="34" s="1"/>
  <c r="L14" i="34"/>
  <c r="L21" i="34"/>
  <c r="L24" i="34"/>
  <c r="L25" i="34"/>
  <c r="L28" i="34"/>
  <c r="L31" i="34"/>
  <c r="L36" i="34"/>
  <c r="C38" i="34"/>
  <c r="L41" i="34"/>
  <c r="L55" i="34"/>
  <c r="L65" i="34"/>
  <c r="L85" i="34"/>
  <c r="L89" i="34"/>
  <c r="L94" i="34"/>
  <c r="C100" i="34"/>
  <c r="E100" i="34" s="1"/>
  <c r="C35" i="34"/>
  <c r="E35" i="34" s="1"/>
  <c r="G35" i="34" s="1"/>
  <c r="C61" i="34"/>
  <c r="C68" i="34"/>
  <c r="E68" i="34" s="1"/>
  <c r="G68" i="34" s="1"/>
  <c r="C71" i="34"/>
  <c r="E71" i="34" s="1"/>
  <c r="G71" i="34" s="1"/>
  <c r="Y13" i="34"/>
  <c r="C24" i="34"/>
  <c r="C36" i="34"/>
  <c r="E36" i="34" s="1"/>
  <c r="G36" i="34" s="1"/>
  <c r="C41" i="34"/>
  <c r="M35" i="30"/>
  <c r="E96" i="30"/>
  <c r="G96" i="30" s="1"/>
  <c r="E95" i="30"/>
  <c r="G95" i="30" s="1"/>
  <c r="E94" i="30"/>
  <c r="G94" i="30" s="1"/>
  <c r="C11" i="30"/>
  <c r="M12" i="30"/>
  <c r="C19" i="30"/>
  <c r="C48" i="30"/>
  <c r="C53" i="30"/>
  <c r="M64" i="30"/>
  <c r="C75" i="30"/>
  <c r="E75" i="30" s="1"/>
  <c r="G75" i="30" s="1"/>
  <c r="C78" i="30"/>
  <c r="E78" i="30" s="1"/>
  <c r="G78" i="30" s="1"/>
  <c r="C81" i="30"/>
  <c r="C83" i="30"/>
  <c r="M88" i="30"/>
  <c r="C98" i="30"/>
  <c r="E98" i="30" s="1"/>
  <c r="G98" i="30" s="1"/>
  <c r="M99" i="30"/>
  <c r="C87" i="30"/>
  <c r="L22" i="30"/>
  <c r="L39" i="30"/>
  <c r="C44" i="30"/>
  <c r="L56" i="30"/>
  <c r="C99" i="30"/>
  <c r="E99" i="30" s="1"/>
  <c r="G99" i="30" s="1"/>
  <c r="C15" i="30"/>
  <c r="E15" i="30" s="1"/>
  <c r="C13" i="30"/>
  <c r="C34" i="30"/>
  <c r="E34" i="30" s="1"/>
  <c r="G34" i="30" s="1"/>
  <c r="C51" i="30"/>
  <c r="E51" i="30" s="1"/>
  <c r="G51" i="30" s="1"/>
  <c r="C73" i="30"/>
  <c r="E73" i="30" s="1"/>
  <c r="G73" i="30" s="1"/>
  <c r="C38" i="30"/>
  <c r="C100" i="30"/>
  <c r="E100" i="30" s="1"/>
  <c r="C33" i="30"/>
  <c r="E33" i="30" s="1"/>
  <c r="G33" i="30" s="1"/>
  <c r="L19" i="30"/>
  <c r="C35" i="30"/>
  <c r="E35" i="30" s="1"/>
  <c r="G35" i="30" s="1"/>
  <c r="L42" i="30"/>
  <c r="L48" i="30"/>
  <c r="L53" i="30"/>
  <c r="L58" i="30"/>
  <c r="C61" i="30"/>
  <c r="L83" i="30"/>
  <c r="L95" i="30"/>
  <c r="C68" i="30"/>
  <c r="E68" i="30" s="1"/>
  <c r="G68" i="30" s="1"/>
  <c r="C71" i="30"/>
  <c r="E71" i="30" s="1"/>
  <c r="G71" i="30" s="1"/>
  <c r="C24" i="30"/>
  <c r="C36" i="30"/>
  <c r="E36" i="30" s="1"/>
  <c r="G36" i="30" s="1"/>
  <c r="C41" i="30"/>
  <c r="M57" i="29"/>
  <c r="L57" i="29"/>
  <c r="M13" i="29"/>
  <c r="O34" i="29"/>
  <c r="P34" i="29" s="1"/>
  <c r="N34" i="29"/>
  <c r="M38" i="29"/>
  <c r="N38" i="29" s="1"/>
  <c r="N37" i="29" s="1"/>
  <c r="L38" i="29"/>
  <c r="E41" i="29"/>
  <c r="G41" i="29" s="1"/>
  <c r="N78" i="29"/>
  <c r="N77" i="29" s="1"/>
  <c r="N76" i="29" s="1"/>
  <c r="O78" i="29"/>
  <c r="O13" i="29"/>
  <c r="P13" i="29" s="1"/>
  <c r="N13" i="29"/>
  <c r="E96" i="29"/>
  <c r="G96" i="29" s="1"/>
  <c r="E95" i="29"/>
  <c r="G95" i="29" s="1"/>
  <c r="E94" i="29"/>
  <c r="G94" i="29" s="1"/>
  <c r="O51" i="29"/>
  <c r="E22" i="29"/>
  <c r="G22" i="29" s="1"/>
  <c r="E20" i="29"/>
  <c r="G20" i="29" s="1"/>
  <c r="E19" i="29"/>
  <c r="G19" i="29" s="1"/>
  <c r="L34" i="29"/>
  <c r="M51" i="29"/>
  <c r="N51" i="29" s="1"/>
  <c r="N50" i="29" s="1"/>
  <c r="L51" i="29"/>
  <c r="N75" i="29"/>
  <c r="N74" i="29" s="1"/>
  <c r="O75" i="29"/>
  <c r="O68" i="29"/>
  <c r="N68" i="29"/>
  <c r="N67" i="29" s="1"/>
  <c r="N98" i="29"/>
  <c r="O98" i="29"/>
  <c r="O36" i="29"/>
  <c r="P36" i="29" s="1"/>
  <c r="L12" i="29"/>
  <c r="E21" i="29"/>
  <c r="G21" i="29" s="1"/>
  <c r="E24" i="29"/>
  <c r="G24" i="29" s="1"/>
  <c r="E28" i="29"/>
  <c r="O44" i="29"/>
  <c r="L45" i="29"/>
  <c r="M29" i="29"/>
  <c r="L29" i="29"/>
  <c r="E12" i="29"/>
  <c r="G12" i="29" s="1"/>
  <c r="E11" i="29"/>
  <c r="O71" i="29"/>
  <c r="N71" i="29"/>
  <c r="N70" i="29" s="1"/>
  <c r="M26" i="29"/>
  <c r="L26" i="29"/>
  <c r="E49" i="29"/>
  <c r="G49" i="29" s="1"/>
  <c r="E48" i="29"/>
  <c r="G48" i="29" s="1"/>
  <c r="E55" i="29"/>
  <c r="G55" i="29" s="1"/>
  <c r="L73" i="29"/>
  <c r="E85" i="29"/>
  <c r="G85" i="29" s="1"/>
  <c r="W12" i="29"/>
  <c r="X14" i="29" s="1"/>
  <c r="Y14" i="29" s="1"/>
  <c r="C15" i="29"/>
  <c r="E15" i="29" s="1"/>
  <c r="C33" i="29"/>
  <c r="E33" i="29" s="1"/>
  <c r="G33" i="29" s="1"/>
  <c r="N44" i="29"/>
  <c r="N43" i="29" s="1"/>
  <c r="E53" i="29"/>
  <c r="G53" i="29" s="1"/>
  <c r="L66" i="29"/>
  <c r="E81" i="29"/>
  <c r="G81" i="29" s="1"/>
  <c r="E83" i="29"/>
  <c r="G83" i="29" s="1"/>
  <c r="C87" i="29"/>
  <c r="E54" i="29"/>
  <c r="G54" i="29" s="1"/>
  <c r="E82" i="29"/>
  <c r="G82" i="29" s="1"/>
  <c r="C99" i="29"/>
  <c r="E99" i="29" s="1"/>
  <c r="G99" i="29" s="1"/>
  <c r="C73" i="29"/>
  <c r="E73" i="29" s="1"/>
  <c r="G73" i="29" s="1"/>
  <c r="L96" i="29"/>
  <c r="L21" i="29"/>
  <c r="L24" i="29"/>
  <c r="L25" i="29"/>
  <c r="L28" i="29"/>
  <c r="L31" i="29"/>
  <c r="L85" i="29"/>
  <c r="L89" i="29"/>
  <c r="L94" i="29"/>
  <c r="C100" i="29"/>
  <c r="E100" i="29" s="1"/>
  <c r="L14" i="29"/>
  <c r="L36" i="29"/>
  <c r="E57" i="29"/>
  <c r="C35" i="29"/>
  <c r="E35" i="29" s="1"/>
  <c r="G35" i="29" s="1"/>
  <c r="C61" i="29"/>
  <c r="O71" i="52" l="1"/>
  <c r="N71" i="52"/>
  <c r="N70" i="52" s="1"/>
  <c r="E45" i="52"/>
  <c r="G45" i="52" s="1"/>
  <c r="E44" i="52"/>
  <c r="G44" i="52" s="1"/>
  <c r="O68" i="52"/>
  <c r="N68" i="52"/>
  <c r="N67" i="52" s="1"/>
  <c r="O35" i="52"/>
  <c r="P35" i="52" s="1"/>
  <c r="N35" i="52"/>
  <c r="E53" i="52"/>
  <c r="G53" i="52" s="1"/>
  <c r="E56" i="52"/>
  <c r="G56" i="52" s="1"/>
  <c r="E57" i="52"/>
  <c r="E54" i="52"/>
  <c r="G54" i="52" s="1"/>
  <c r="E55" i="52"/>
  <c r="G55" i="52" s="1"/>
  <c r="O33" i="52"/>
  <c r="N33" i="52"/>
  <c r="O73" i="52"/>
  <c r="N73" i="52"/>
  <c r="N72" i="52" s="1"/>
  <c r="E48" i="52"/>
  <c r="G48" i="52" s="1"/>
  <c r="E49" i="52"/>
  <c r="G49" i="52" s="1"/>
  <c r="O51" i="52"/>
  <c r="N51" i="52"/>
  <c r="N50" i="52" s="1"/>
  <c r="O34" i="52"/>
  <c r="P34" i="52" s="1"/>
  <c r="N34" i="52"/>
  <c r="N98" i="52"/>
  <c r="O98" i="52"/>
  <c r="O36" i="52"/>
  <c r="P36" i="52" s="1"/>
  <c r="N36" i="52"/>
  <c r="E13" i="52"/>
  <c r="G13" i="52" s="1"/>
  <c r="E14" i="52"/>
  <c r="G14" i="52" s="1"/>
  <c r="O94" i="52"/>
  <c r="N94" i="52"/>
  <c r="N93" i="52" s="1"/>
  <c r="G16" i="52"/>
  <c r="G15" i="52"/>
  <c r="G17" i="52"/>
  <c r="E22" i="52"/>
  <c r="G22" i="52" s="1"/>
  <c r="E19" i="52"/>
  <c r="G19" i="52" s="1"/>
  <c r="E20" i="52"/>
  <c r="G20" i="52" s="1"/>
  <c r="E21" i="52"/>
  <c r="G21" i="52" s="1"/>
  <c r="E42" i="52"/>
  <c r="G42" i="52" s="1"/>
  <c r="E41" i="52"/>
  <c r="G41" i="52" s="1"/>
  <c r="E62" i="52"/>
  <c r="G62" i="52" s="1"/>
  <c r="E61" i="52"/>
  <c r="G61" i="52" s="1"/>
  <c r="E63" i="52"/>
  <c r="G63" i="52" s="1"/>
  <c r="E64" i="52"/>
  <c r="G101" i="52"/>
  <c r="G100" i="52"/>
  <c r="E11" i="52"/>
  <c r="C102" i="52"/>
  <c r="E12" i="52"/>
  <c r="G12" i="52" s="1"/>
  <c r="E31" i="52"/>
  <c r="G31" i="52" s="1"/>
  <c r="E28" i="52"/>
  <c r="E24" i="52"/>
  <c r="G24" i="52" s="1"/>
  <c r="N99" i="52"/>
  <c r="O99" i="52"/>
  <c r="P99" i="52" s="1"/>
  <c r="E83" i="52"/>
  <c r="G83" i="52" s="1"/>
  <c r="E81" i="52"/>
  <c r="G81" i="52" s="1"/>
  <c r="E84" i="52"/>
  <c r="G84" i="52" s="1"/>
  <c r="E82" i="52"/>
  <c r="G82" i="52" s="1"/>
  <c r="E85" i="52"/>
  <c r="G85" i="52" s="1"/>
  <c r="N75" i="52"/>
  <c r="N74" i="52" s="1"/>
  <c r="O75" i="52"/>
  <c r="E91" i="52"/>
  <c r="G91" i="52" s="1"/>
  <c r="E88" i="52"/>
  <c r="E87" i="52"/>
  <c r="G87" i="52" s="1"/>
  <c r="E39" i="52"/>
  <c r="G39" i="52" s="1"/>
  <c r="E38" i="52"/>
  <c r="G38" i="52" s="1"/>
  <c r="N78" i="52"/>
  <c r="N77" i="52" s="1"/>
  <c r="N76" i="52" s="1"/>
  <c r="O78" i="52"/>
  <c r="E62" i="51"/>
  <c r="G62" i="51" s="1"/>
  <c r="E61" i="51"/>
  <c r="G61" i="51" s="1"/>
  <c r="E63" i="51"/>
  <c r="G63" i="51" s="1"/>
  <c r="E64" i="51"/>
  <c r="N81" i="51"/>
  <c r="O81" i="51"/>
  <c r="N19" i="51"/>
  <c r="N18" i="51" s="1"/>
  <c r="O19" i="51"/>
  <c r="O35" i="51"/>
  <c r="P35" i="51" s="1"/>
  <c r="N35" i="51"/>
  <c r="G16" i="51"/>
  <c r="G15" i="51"/>
  <c r="G17" i="51"/>
  <c r="O94" i="51"/>
  <c r="N94" i="51"/>
  <c r="N93" i="51" s="1"/>
  <c r="E41" i="51"/>
  <c r="G41" i="51" s="1"/>
  <c r="E42" i="51"/>
  <c r="G42" i="51" s="1"/>
  <c r="G101" i="51"/>
  <c r="G100" i="51"/>
  <c r="O73" i="51"/>
  <c r="N73" i="51"/>
  <c r="N72" i="51" s="1"/>
  <c r="E45" i="51"/>
  <c r="G45" i="51" s="1"/>
  <c r="E44" i="51"/>
  <c r="G44" i="51" s="1"/>
  <c r="G11" i="51"/>
  <c r="N33" i="51"/>
  <c r="O33" i="51"/>
  <c r="O74" i="51"/>
  <c r="P74" i="51" s="1"/>
  <c r="P75" i="51"/>
  <c r="O36" i="51"/>
  <c r="P36" i="51" s="1"/>
  <c r="N36" i="51"/>
  <c r="O51" i="51"/>
  <c r="N51" i="51"/>
  <c r="N50" i="51" s="1"/>
  <c r="N48" i="51"/>
  <c r="N47" i="51" s="1"/>
  <c r="O48" i="51"/>
  <c r="O34" i="51"/>
  <c r="P34" i="51" s="1"/>
  <c r="N34" i="51"/>
  <c r="P98" i="51"/>
  <c r="O71" i="51"/>
  <c r="N71" i="51"/>
  <c r="N70" i="51" s="1"/>
  <c r="G57" i="51"/>
  <c r="O53" i="51" s="1"/>
  <c r="G58" i="51"/>
  <c r="E91" i="51"/>
  <c r="G91" i="51" s="1"/>
  <c r="E88" i="51"/>
  <c r="E87" i="51"/>
  <c r="G87" i="51" s="1"/>
  <c r="O77" i="51"/>
  <c r="P78" i="51"/>
  <c r="E28" i="51"/>
  <c r="E31" i="51"/>
  <c r="G31" i="51" s="1"/>
  <c r="E24" i="51"/>
  <c r="G24" i="51" s="1"/>
  <c r="O68" i="51"/>
  <c r="N68" i="51"/>
  <c r="N67" i="51" s="1"/>
  <c r="E39" i="51"/>
  <c r="G39" i="51" s="1"/>
  <c r="E38" i="51"/>
  <c r="G38" i="51" s="1"/>
  <c r="O99" i="51"/>
  <c r="P99" i="51" s="1"/>
  <c r="N99" i="51"/>
  <c r="N83" i="51"/>
  <c r="O83" i="51"/>
  <c r="P83" i="51" s="1"/>
  <c r="C102" i="51"/>
  <c r="E62" i="50"/>
  <c r="G62" i="50" s="1"/>
  <c r="E61" i="50"/>
  <c r="G61" i="50" s="1"/>
  <c r="E63" i="50"/>
  <c r="G63" i="50" s="1"/>
  <c r="E64" i="50"/>
  <c r="N53" i="50"/>
  <c r="N52" i="50" s="1"/>
  <c r="O53" i="50"/>
  <c r="N48" i="50"/>
  <c r="N47" i="50" s="1"/>
  <c r="O48" i="50"/>
  <c r="P38" i="50"/>
  <c r="O37" i="50"/>
  <c r="P37" i="50" s="1"/>
  <c r="O99" i="50"/>
  <c r="P99" i="50" s="1"/>
  <c r="N99" i="50"/>
  <c r="N19" i="50"/>
  <c r="N18" i="50" s="1"/>
  <c r="O19" i="50"/>
  <c r="O74" i="50"/>
  <c r="P74" i="50" s="1"/>
  <c r="P75" i="50"/>
  <c r="C102" i="50"/>
  <c r="O73" i="50"/>
  <c r="N73" i="50"/>
  <c r="N72" i="50" s="1"/>
  <c r="N69" i="50" s="1"/>
  <c r="G11" i="50"/>
  <c r="O40" i="50"/>
  <c r="P40" i="50" s="1"/>
  <c r="P41" i="50"/>
  <c r="P71" i="50"/>
  <c r="O70" i="50"/>
  <c r="G16" i="50"/>
  <c r="G15" i="50"/>
  <c r="G17" i="50"/>
  <c r="G101" i="50"/>
  <c r="G100" i="50"/>
  <c r="E45" i="50"/>
  <c r="G45" i="50" s="1"/>
  <c r="E44" i="50"/>
  <c r="G44" i="50" s="1"/>
  <c r="N33" i="50"/>
  <c r="N32" i="50" s="1"/>
  <c r="O33" i="50"/>
  <c r="P98" i="50"/>
  <c r="O94" i="50"/>
  <c r="N94" i="50"/>
  <c r="N93" i="50" s="1"/>
  <c r="P51" i="50"/>
  <c r="O50" i="50"/>
  <c r="P50" i="50" s="1"/>
  <c r="N83" i="50"/>
  <c r="O83" i="50"/>
  <c r="P83" i="50" s="1"/>
  <c r="O77" i="50"/>
  <c r="P78" i="50"/>
  <c r="O23" i="50"/>
  <c r="P23" i="50" s="1"/>
  <c r="P24" i="50"/>
  <c r="E91" i="50"/>
  <c r="G91" i="50" s="1"/>
  <c r="E88" i="50"/>
  <c r="E87" i="50"/>
  <c r="G87" i="50" s="1"/>
  <c r="N81" i="50"/>
  <c r="N80" i="50" s="1"/>
  <c r="O81" i="50"/>
  <c r="P68" i="50"/>
  <c r="O67" i="50"/>
  <c r="P67" i="50" s="1"/>
  <c r="O99" i="49"/>
  <c r="P99" i="49" s="1"/>
  <c r="N99" i="49"/>
  <c r="N19" i="49"/>
  <c r="N18" i="49" s="1"/>
  <c r="O19" i="49"/>
  <c r="G101" i="49"/>
  <c r="G100" i="49"/>
  <c r="N83" i="49"/>
  <c r="O83" i="49"/>
  <c r="P83" i="49" s="1"/>
  <c r="O40" i="49"/>
  <c r="P40" i="49" s="1"/>
  <c r="P41" i="49"/>
  <c r="E62" i="49"/>
  <c r="G62" i="49" s="1"/>
  <c r="E61" i="49"/>
  <c r="G61" i="49" s="1"/>
  <c r="E63" i="49"/>
  <c r="G63" i="49" s="1"/>
  <c r="E64" i="49"/>
  <c r="E91" i="49"/>
  <c r="G91" i="49" s="1"/>
  <c r="E88" i="49"/>
  <c r="E87" i="49"/>
  <c r="G87" i="49" s="1"/>
  <c r="G16" i="49"/>
  <c r="G15" i="49"/>
  <c r="G17" i="49"/>
  <c r="N81" i="49"/>
  <c r="N80" i="49" s="1"/>
  <c r="O81" i="49"/>
  <c r="C102" i="49"/>
  <c r="O73" i="49"/>
  <c r="N73" i="49"/>
  <c r="N72" i="49" s="1"/>
  <c r="P98" i="49"/>
  <c r="O51" i="49"/>
  <c r="N51" i="49"/>
  <c r="N50" i="49" s="1"/>
  <c r="O33" i="49"/>
  <c r="N33" i="49"/>
  <c r="G29" i="49"/>
  <c r="N24" i="49" s="1"/>
  <c r="N23" i="49" s="1"/>
  <c r="G30" i="49"/>
  <c r="G28" i="49"/>
  <c r="O24" i="49" s="1"/>
  <c r="O77" i="49"/>
  <c r="P78" i="49"/>
  <c r="O74" i="49"/>
  <c r="P74" i="49" s="1"/>
  <c r="P75" i="49"/>
  <c r="E45" i="49"/>
  <c r="G45" i="49" s="1"/>
  <c r="E44" i="49"/>
  <c r="G44" i="49" s="1"/>
  <c r="O68" i="49"/>
  <c r="N68" i="49"/>
  <c r="N67" i="49" s="1"/>
  <c r="O38" i="49"/>
  <c r="N38" i="49"/>
  <c r="N37" i="49" s="1"/>
  <c r="N69" i="49"/>
  <c r="N48" i="49"/>
  <c r="N47" i="49" s="1"/>
  <c r="N46" i="49" s="1"/>
  <c r="O48" i="49"/>
  <c r="G57" i="49"/>
  <c r="G58" i="49"/>
  <c r="G11" i="49"/>
  <c r="O94" i="49"/>
  <c r="N94" i="49"/>
  <c r="N93" i="49" s="1"/>
  <c r="O35" i="49"/>
  <c r="P35" i="49" s="1"/>
  <c r="N35" i="49"/>
  <c r="N53" i="49"/>
  <c r="N52" i="49" s="1"/>
  <c r="O53" i="49"/>
  <c r="P71" i="49"/>
  <c r="O70" i="49"/>
  <c r="E31" i="47"/>
  <c r="G31" i="47" s="1"/>
  <c r="E28" i="47"/>
  <c r="E24" i="47"/>
  <c r="G24" i="47" s="1"/>
  <c r="N53" i="47"/>
  <c r="N52" i="47" s="1"/>
  <c r="O53" i="47"/>
  <c r="G101" i="47"/>
  <c r="G100" i="47"/>
  <c r="O51" i="47"/>
  <c r="N51" i="47"/>
  <c r="N50" i="47" s="1"/>
  <c r="N48" i="47"/>
  <c r="N47" i="47" s="1"/>
  <c r="O48" i="47"/>
  <c r="O71" i="47"/>
  <c r="N71" i="47"/>
  <c r="N70" i="47" s="1"/>
  <c r="O34" i="47"/>
  <c r="P34" i="47" s="1"/>
  <c r="N34" i="47"/>
  <c r="N33" i="47"/>
  <c r="O33" i="47"/>
  <c r="G11" i="47"/>
  <c r="E45" i="47"/>
  <c r="G45" i="47" s="1"/>
  <c r="E44" i="47"/>
  <c r="G44" i="47" s="1"/>
  <c r="O68" i="47"/>
  <c r="N68" i="47"/>
  <c r="N67" i="47" s="1"/>
  <c r="E91" i="47"/>
  <c r="G91" i="47" s="1"/>
  <c r="E88" i="47"/>
  <c r="E87" i="47"/>
  <c r="G87" i="47" s="1"/>
  <c r="P98" i="47"/>
  <c r="O99" i="47"/>
  <c r="P99" i="47" s="1"/>
  <c r="N99" i="47"/>
  <c r="N83" i="47"/>
  <c r="O83" i="47"/>
  <c r="P83" i="47" s="1"/>
  <c r="N19" i="47"/>
  <c r="N18" i="47" s="1"/>
  <c r="O19" i="47"/>
  <c r="C102" i="47"/>
  <c r="O77" i="47"/>
  <c r="P78" i="47"/>
  <c r="O73" i="47"/>
  <c r="N73" i="47"/>
  <c r="N72" i="47" s="1"/>
  <c r="E41" i="47"/>
  <c r="G41" i="47" s="1"/>
  <c r="E42" i="47"/>
  <c r="G42" i="47" s="1"/>
  <c r="E62" i="47"/>
  <c r="G62" i="47" s="1"/>
  <c r="E61" i="47"/>
  <c r="G61" i="47" s="1"/>
  <c r="E63" i="47"/>
  <c r="G63" i="47" s="1"/>
  <c r="E64" i="47"/>
  <c r="G57" i="47"/>
  <c r="G58" i="47"/>
  <c r="N81" i="47"/>
  <c r="O81" i="47"/>
  <c r="G16" i="47"/>
  <c r="G15" i="47"/>
  <c r="G17" i="47"/>
  <c r="O74" i="47"/>
  <c r="P74" i="47" s="1"/>
  <c r="P75" i="47"/>
  <c r="O94" i="47"/>
  <c r="N94" i="47"/>
  <c r="N93" i="47" s="1"/>
  <c r="O36" i="47"/>
  <c r="P36" i="47" s="1"/>
  <c r="N36" i="47"/>
  <c r="E39" i="47"/>
  <c r="G39" i="47" s="1"/>
  <c r="E38" i="47"/>
  <c r="G38" i="47" s="1"/>
  <c r="O71" i="43"/>
  <c r="N71" i="43"/>
  <c r="N70" i="43" s="1"/>
  <c r="E13" i="43"/>
  <c r="G13" i="43" s="1"/>
  <c r="E14" i="43"/>
  <c r="G14" i="43" s="1"/>
  <c r="E22" i="43"/>
  <c r="G22" i="43" s="1"/>
  <c r="E20" i="43"/>
  <c r="G20" i="43" s="1"/>
  <c r="E21" i="43"/>
  <c r="G21" i="43" s="1"/>
  <c r="E19" i="43"/>
  <c r="G19" i="43" s="1"/>
  <c r="N99" i="43"/>
  <c r="O99" i="43"/>
  <c r="P99" i="43" s="1"/>
  <c r="G16" i="43"/>
  <c r="G15" i="43"/>
  <c r="G17" i="43"/>
  <c r="E81" i="43"/>
  <c r="G81" i="43" s="1"/>
  <c r="E84" i="43"/>
  <c r="G84" i="43" s="1"/>
  <c r="E82" i="43"/>
  <c r="G82" i="43" s="1"/>
  <c r="E83" i="43"/>
  <c r="G83" i="43" s="1"/>
  <c r="E85" i="43"/>
  <c r="G85" i="43" s="1"/>
  <c r="E62" i="43"/>
  <c r="G62" i="43" s="1"/>
  <c r="E61" i="43"/>
  <c r="G61" i="43" s="1"/>
  <c r="E63" i="43"/>
  <c r="G63" i="43" s="1"/>
  <c r="E64" i="43"/>
  <c r="E45" i="43"/>
  <c r="G45" i="43" s="1"/>
  <c r="E44" i="43"/>
  <c r="G44" i="43" s="1"/>
  <c r="N78" i="43"/>
  <c r="N77" i="43" s="1"/>
  <c r="N76" i="43" s="1"/>
  <c r="O78" i="43"/>
  <c r="E11" i="43"/>
  <c r="C102" i="43"/>
  <c r="E12" i="43"/>
  <c r="G12" i="43" s="1"/>
  <c r="O35" i="43"/>
  <c r="P35" i="43" s="1"/>
  <c r="N35" i="43"/>
  <c r="E39" i="43"/>
  <c r="G39" i="43" s="1"/>
  <c r="E38" i="43"/>
  <c r="G38" i="43" s="1"/>
  <c r="N75" i="43"/>
  <c r="N74" i="43" s="1"/>
  <c r="O75" i="43"/>
  <c r="O33" i="43"/>
  <c r="N33" i="43"/>
  <c r="O68" i="43"/>
  <c r="N68" i="43"/>
  <c r="N67" i="43" s="1"/>
  <c r="E42" i="43"/>
  <c r="G42" i="43" s="1"/>
  <c r="E41" i="43"/>
  <c r="G41" i="43" s="1"/>
  <c r="E91" i="43"/>
  <c r="G91" i="43" s="1"/>
  <c r="E88" i="43"/>
  <c r="E87" i="43"/>
  <c r="G87" i="43" s="1"/>
  <c r="O73" i="43"/>
  <c r="N73" i="43"/>
  <c r="N72" i="43" s="1"/>
  <c r="O94" i="43"/>
  <c r="N94" i="43"/>
  <c r="N93" i="43" s="1"/>
  <c r="O36" i="43"/>
  <c r="P36" i="43" s="1"/>
  <c r="N36" i="43"/>
  <c r="G101" i="43"/>
  <c r="G100" i="43"/>
  <c r="O51" i="43"/>
  <c r="N51" i="43"/>
  <c r="N50" i="43" s="1"/>
  <c r="E56" i="43"/>
  <c r="G56" i="43" s="1"/>
  <c r="E53" i="43"/>
  <c r="G53" i="43" s="1"/>
  <c r="E57" i="43"/>
  <c r="E54" i="43"/>
  <c r="G54" i="43" s="1"/>
  <c r="E55" i="43"/>
  <c r="G55" i="43" s="1"/>
  <c r="E31" i="43"/>
  <c r="G31" i="43" s="1"/>
  <c r="E28" i="43"/>
  <c r="E24" i="43"/>
  <c r="G24" i="43" s="1"/>
  <c r="O34" i="43"/>
  <c r="P34" i="43" s="1"/>
  <c r="N34" i="43"/>
  <c r="N98" i="43"/>
  <c r="O98" i="43"/>
  <c r="E49" i="43"/>
  <c r="G49" i="43" s="1"/>
  <c r="E48" i="43"/>
  <c r="G48" i="43" s="1"/>
  <c r="E87" i="38"/>
  <c r="G87" i="38" s="1"/>
  <c r="E91" i="38"/>
  <c r="G91" i="38" s="1"/>
  <c r="E88" i="38"/>
  <c r="E62" i="38"/>
  <c r="G62" i="38" s="1"/>
  <c r="E61" i="38"/>
  <c r="G61" i="38" s="1"/>
  <c r="E63" i="38"/>
  <c r="G63" i="38" s="1"/>
  <c r="E64" i="38"/>
  <c r="O99" i="38"/>
  <c r="P99" i="38" s="1"/>
  <c r="N99" i="38"/>
  <c r="N73" i="38"/>
  <c r="N72" i="38" s="1"/>
  <c r="O73" i="38"/>
  <c r="N48" i="38"/>
  <c r="N47" i="38" s="1"/>
  <c r="O48" i="38"/>
  <c r="O94" i="38"/>
  <c r="N94" i="38"/>
  <c r="N93" i="38" s="1"/>
  <c r="E45" i="38"/>
  <c r="G45" i="38" s="1"/>
  <c r="E44" i="38"/>
  <c r="G44" i="38" s="1"/>
  <c r="E39" i="38"/>
  <c r="G39" i="38" s="1"/>
  <c r="E38" i="38"/>
  <c r="G38" i="38" s="1"/>
  <c r="E13" i="38"/>
  <c r="G13" i="38" s="1"/>
  <c r="E14" i="38"/>
  <c r="G14" i="38" s="1"/>
  <c r="N19" i="38"/>
  <c r="N18" i="38" s="1"/>
  <c r="O19" i="38"/>
  <c r="E42" i="38"/>
  <c r="G42" i="38" s="1"/>
  <c r="E41" i="38"/>
  <c r="G41" i="38" s="1"/>
  <c r="O33" i="38"/>
  <c r="N33" i="38"/>
  <c r="G16" i="38"/>
  <c r="G15" i="38"/>
  <c r="G17" i="38"/>
  <c r="G11" i="38"/>
  <c r="N81" i="38"/>
  <c r="N80" i="38" s="1"/>
  <c r="O81" i="38"/>
  <c r="P98" i="38"/>
  <c r="O71" i="38"/>
  <c r="N71" i="38"/>
  <c r="N70" i="38" s="1"/>
  <c r="N69" i="38" s="1"/>
  <c r="E31" i="38"/>
  <c r="G31" i="38" s="1"/>
  <c r="E28" i="38"/>
  <c r="E24" i="38"/>
  <c r="G24" i="38" s="1"/>
  <c r="O68" i="38"/>
  <c r="N68" i="38"/>
  <c r="N67" i="38" s="1"/>
  <c r="N51" i="38"/>
  <c r="N50" i="38" s="1"/>
  <c r="O51" i="38"/>
  <c r="O74" i="38"/>
  <c r="P74" i="38" s="1"/>
  <c r="P75" i="38"/>
  <c r="N83" i="38"/>
  <c r="O83" i="38"/>
  <c r="P83" i="38" s="1"/>
  <c r="P77" i="38"/>
  <c r="O76" i="38"/>
  <c r="P76" i="38" s="1"/>
  <c r="O35" i="38"/>
  <c r="P35" i="38" s="1"/>
  <c r="N35" i="38"/>
  <c r="O36" i="38"/>
  <c r="P36" i="38" s="1"/>
  <c r="N36" i="38"/>
  <c r="G101" i="38"/>
  <c r="G100" i="38"/>
  <c r="N34" i="38"/>
  <c r="O34" i="38"/>
  <c r="P34" i="38" s="1"/>
  <c r="G58" i="38"/>
  <c r="G57" i="38"/>
  <c r="N53" i="38" s="1"/>
  <c r="N52" i="38" s="1"/>
  <c r="G57" i="35"/>
  <c r="G58" i="35"/>
  <c r="N19" i="35"/>
  <c r="N18" i="35" s="1"/>
  <c r="O19" i="35"/>
  <c r="P41" i="35"/>
  <c r="O40" i="35"/>
  <c r="P40" i="35" s="1"/>
  <c r="E62" i="35"/>
  <c r="G62" i="35" s="1"/>
  <c r="E61" i="35"/>
  <c r="G61" i="35" s="1"/>
  <c r="E63" i="35"/>
  <c r="G63" i="35" s="1"/>
  <c r="E64" i="35"/>
  <c r="G101" i="35"/>
  <c r="G100" i="35"/>
  <c r="N53" i="35"/>
  <c r="N52" i="35" s="1"/>
  <c r="O53" i="35"/>
  <c r="G17" i="35"/>
  <c r="G16" i="35"/>
  <c r="G15" i="35"/>
  <c r="O94" i="35"/>
  <c r="N94" i="35"/>
  <c r="N93" i="35" s="1"/>
  <c r="P71" i="35"/>
  <c r="O70" i="35"/>
  <c r="O23" i="35"/>
  <c r="P23" i="35" s="1"/>
  <c r="P24" i="35"/>
  <c r="O73" i="35"/>
  <c r="N73" i="35"/>
  <c r="N72" i="35" s="1"/>
  <c r="N69" i="35" s="1"/>
  <c r="G11" i="35"/>
  <c r="O74" i="35"/>
  <c r="P74" i="35" s="1"/>
  <c r="P75" i="35"/>
  <c r="E91" i="35"/>
  <c r="G91" i="35" s="1"/>
  <c r="E88" i="35"/>
  <c r="E87" i="35"/>
  <c r="G87" i="35" s="1"/>
  <c r="N33" i="35"/>
  <c r="O33" i="35"/>
  <c r="O77" i="35"/>
  <c r="P78" i="35"/>
  <c r="P68" i="35"/>
  <c r="O67" i="35"/>
  <c r="P67" i="35" s="1"/>
  <c r="N48" i="35"/>
  <c r="N47" i="35" s="1"/>
  <c r="N46" i="35" s="1"/>
  <c r="O48" i="35"/>
  <c r="P44" i="35"/>
  <c r="O43" i="35"/>
  <c r="P43" i="35" s="1"/>
  <c r="O38" i="35"/>
  <c r="N38" i="35"/>
  <c r="N37" i="35" s="1"/>
  <c r="N83" i="35"/>
  <c r="O83" i="35"/>
  <c r="P83" i="35" s="1"/>
  <c r="O35" i="35"/>
  <c r="P35" i="35" s="1"/>
  <c r="N35" i="35"/>
  <c r="O99" i="35"/>
  <c r="P99" i="35" s="1"/>
  <c r="N99" i="35"/>
  <c r="N81" i="35"/>
  <c r="O81" i="35"/>
  <c r="C102" i="35"/>
  <c r="P98" i="35"/>
  <c r="P51" i="35"/>
  <c r="O50" i="35"/>
  <c r="P50" i="35" s="1"/>
  <c r="O35" i="34"/>
  <c r="P35" i="34" s="1"/>
  <c r="N35" i="34"/>
  <c r="E42" i="34"/>
  <c r="G42" i="34" s="1"/>
  <c r="E41" i="34"/>
  <c r="G41" i="34" s="1"/>
  <c r="E62" i="34"/>
  <c r="G62" i="34" s="1"/>
  <c r="E61" i="34"/>
  <c r="G61" i="34" s="1"/>
  <c r="E63" i="34"/>
  <c r="G63" i="34" s="1"/>
  <c r="E64" i="34"/>
  <c r="O51" i="34"/>
  <c r="N51" i="34"/>
  <c r="N50" i="34" s="1"/>
  <c r="N78" i="34"/>
  <c r="N77" i="34" s="1"/>
  <c r="N76" i="34" s="1"/>
  <c r="O78" i="34"/>
  <c r="E39" i="34"/>
  <c r="G39" i="34" s="1"/>
  <c r="E38" i="34"/>
  <c r="G38" i="34" s="1"/>
  <c r="O36" i="34"/>
  <c r="P36" i="34" s="1"/>
  <c r="N36" i="34"/>
  <c r="N99" i="34"/>
  <c r="O99" i="34"/>
  <c r="P99" i="34" s="1"/>
  <c r="G11" i="34"/>
  <c r="E56" i="34"/>
  <c r="G56" i="34" s="1"/>
  <c r="E57" i="34"/>
  <c r="E53" i="34"/>
  <c r="G53" i="34" s="1"/>
  <c r="E54" i="34"/>
  <c r="G54" i="34" s="1"/>
  <c r="E55" i="34"/>
  <c r="G55" i="34" s="1"/>
  <c r="O15" i="34"/>
  <c r="P15" i="34" s="1"/>
  <c r="N15" i="34"/>
  <c r="N75" i="34"/>
  <c r="N74" i="34" s="1"/>
  <c r="O75" i="34"/>
  <c r="N98" i="34"/>
  <c r="O98" i="34"/>
  <c r="E48" i="34"/>
  <c r="G48" i="34" s="1"/>
  <c r="E49" i="34"/>
  <c r="G49" i="34" s="1"/>
  <c r="P33" i="34"/>
  <c r="G90" i="34"/>
  <c r="O87" i="34" s="1"/>
  <c r="G89" i="34"/>
  <c r="G88" i="34"/>
  <c r="N87" i="34" s="1"/>
  <c r="N86" i="34" s="1"/>
  <c r="O94" i="34"/>
  <c r="N94" i="34"/>
  <c r="N93" i="34" s="1"/>
  <c r="E13" i="34"/>
  <c r="G13" i="34" s="1"/>
  <c r="E14" i="34"/>
  <c r="G14" i="34" s="1"/>
  <c r="O71" i="34"/>
  <c r="N71" i="34"/>
  <c r="N70" i="34" s="1"/>
  <c r="N69" i="34" s="1"/>
  <c r="O73" i="34"/>
  <c r="N73" i="34"/>
  <c r="N72" i="34" s="1"/>
  <c r="E22" i="34"/>
  <c r="G22" i="34" s="1"/>
  <c r="E20" i="34"/>
  <c r="G20" i="34" s="1"/>
  <c r="E21" i="34"/>
  <c r="G21" i="34" s="1"/>
  <c r="E19" i="34"/>
  <c r="G19" i="34" s="1"/>
  <c r="O34" i="34"/>
  <c r="P34" i="34" s="1"/>
  <c r="N34" i="34"/>
  <c r="N32" i="34" s="1"/>
  <c r="G101" i="34"/>
  <c r="G100" i="34"/>
  <c r="E31" i="34"/>
  <c r="G31" i="34" s="1"/>
  <c r="E28" i="34"/>
  <c r="E24" i="34"/>
  <c r="G24" i="34" s="1"/>
  <c r="O68" i="34"/>
  <c r="N68" i="34"/>
  <c r="N67" i="34" s="1"/>
  <c r="E45" i="34"/>
  <c r="G45" i="34" s="1"/>
  <c r="E44" i="34"/>
  <c r="G44" i="34" s="1"/>
  <c r="E81" i="34"/>
  <c r="G81" i="34" s="1"/>
  <c r="E83" i="34"/>
  <c r="G83" i="34" s="1"/>
  <c r="E84" i="34"/>
  <c r="G84" i="34" s="1"/>
  <c r="E82" i="34"/>
  <c r="G82" i="34" s="1"/>
  <c r="E85" i="34"/>
  <c r="G85" i="34" s="1"/>
  <c r="G16" i="30"/>
  <c r="G15" i="30"/>
  <c r="G17" i="30"/>
  <c r="O99" i="30"/>
  <c r="P99" i="30" s="1"/>
  <c r="N99" i="30"/>
  <c r="E22" i="30"/>
  <c r="G22" i="30" s="1"/>
  <c r="E19" i="30"/>
  <c r="G19" i="30" s="1"/>
  <c r="E20" i="30"/>
  <c r="G20" i="30" s="1"/>
  <c r="E21" i="30"/>
  <c r="G21" i="30" s="1"/>
  <c r="E62" i="30"/>
  <c r="G62" i="30" s="1"/>
  <c r="E61" i="30"/>
  <c r="G61" i="30" s="1"/>
  <c r="E63" i="30"/>
  <c r="G63" i="30" s="1"/>
  <c r="E64" i="30"/>
  <c r="G101" i="30"/>
  <c r="G100" i="30"/>
  <c r="E13" i="30"/>
  <c r="G13" i="30" s="1"/>
  <c r="E14" i="30"/>
  <c r="G14" i="30" s="1"/>
  <c r="O33" i="30"/>
  <c r="N33" i="30"/>
  <c r="E39" i="30"/>
  <c r="G39" i="30" s="1"/>
  <c r="E38" i="30"/>
  <c r="G38" i="30" s="1"/>
  <c r="O73" i="30"/>
  <c r="N73" i="30"/>
  <c r="N72" i="30" s="1"/>
  <c r="N78" i="30"/>
  <c r="N77" i="30" s="1"/>
  <c r="N76" i="30" s="1"/>
  <c r="O78" i="30"/>
  <c r="O94" i="30"/>
  <c r="N94" i="30"/>
  <c r="N93" i="30" s="1"/>
  <c r="O68" i="30"/>
  <c r="N68" i="30"/>
  <c r="N67" i="30" s="1"/>
  <c r="E56" i="30"/>
  <c r="G56" i="30" s="1"/>
  <c r="E57" i="30"/>
  <c r="E54" i="30"/>
  <c r="G54" i="30" s="1"/>
  <c r="E53" i="30"/>
  <c r="G53" i="30" s="1"/>
  <c r="E55" i="30"/>
  <c r="G55" i="30" s="1"/>
  <c r="N98" i="30"/>
  <c r="O98" i="30"/>
  <c r="E45" i="30"/>
  <c r="G45" i="30" s="1"/>
  <c r="E44" i="30"/>
  <c r="G44" i="30" s="1"/>
  <c r="E84" i="30"/>
  <c r="G84" i="30" s="1"/>
  <c r="E82" i="30"/>
  <c r="G82" i="30" s="1"/>
  <c r="E83" i="30"/>
  <c r="G83" i="30" s="1"/>
  <c r="E81" i="30"/>
  <c r="G81" i="30" s="1"/>
  <c r="E85" i="30"/>
  <c r="G85" i="30" s="1"/>
  <c r="E11" i="30"/>
  <c r="C102" i="30"/>
  <c r="E12" i="30"/>
  <c r="G12" i="30" s="1"/>
  <c r="O36" i="30"/>
  <c r="P36" i="30" s="1"/>
  <c r="N36" i="30"/>
  <c r="E31" i="30"/>
  <c r="G31" i="30" s="1"/>
  <c r="E28" i="30"/>
  <c r="E24" i="30"/>
  <c r="G24" i="30" s="1"/>
  <c r="O51" i="30"/>
  <c r="N51" i="30"/>
  <c r="N50" i="30" s="1"/>
  <c r="N75" i="30"/>
  <c r="N74" i="30" s="1"/>
  <c r="O75" i="30"/>
  <c r="E48" i="30"/>
  <c r="G48" i="30" s="1"/>
  <c r="E49" i="30"/>
  <c r="G49" i="30" s="1"/>
  <c r="E42" i="30"/>
  <c r="G42" i="30" s="1"/>
  <c r="E41" i="30"/>
  <c r="G41" i="30" s="1"/>
  <c r="O71" i="30"/>
  <c r="N71" i="30"/>
  <c r="N70" i="30" s="1"/>
  <c r="O34" i="30"/>
  <c r="P34" i="30" s="1"/>
  <c r="N34" i="30"/>
  <c r="E91" i="30"/>
  <c r="G91" i="30" s="1"/>
  <c r="E88" i="30"/>
  <c r="E87" i="30"/>
  <c r="G87" i="30" s="1"/>
  <c r="O35" i="30"/>
  <c r="P35" i="30" s="1"/>
  <c r="N35" i="30"/>
  <c r="P98" i="29"/>
  <c r="O35" i="29"/>
  <c r="P35" i="29" s="1"/>
  <c r="N35" i="29"/>
  <c r="C102" i="29"/>
  <c r="N83" i="29"/>
  <c r="O83" i="29"/>
  <c r="P83" i="29" s="1"/>
  <c r="P71" i="29"/>
  <c r="O70" i="29"/>
  <c r="N19" i="29"/>
  <c r="N18" i="29" s="1"/>
  <c r="O19" i="29"/>
  <c r="O99" i="29"/>
  <c r="P99" i="29" s="1"/>
  <c r="N99" i="29"/>
  <c r="O33" i="29"/>
  <c r="N33" i="29"/>
  <c r="N32" i="29" s="1"/>
  <c r="P44" i="29"/>
  <c r="O43" i="29"/>
  <c r="P43" i="29" s="1"/>
  <c r="N41" i="29"/>
  <c r="N40" i="29" s="1"/>
  <c r="O41" i="29"/>
  <c r="G57" i="29"/>
  <c r="O53" i="29" s="1"/>
  <c r="G58" i="29"/>
  <c r="G16" i="29"/>
  <c r="G15" i="29"/>
  <c r="G17" i="29"/>
  <c r="O38" i="29"/>
  <c r="P68" i="29"/>
  <c r="O67" i="29"/>
  <c r="P67" i="29" s="1"/>
  <c r="O77" i="29"/>
  <c r="P78" i="29"/>
  <c r="E61" i="29"/>
  <c r="G61" i="29" s="1"/>
  <c r="E63" i="29"/>
  <c r="G63" i="29" s="1"/>
  <c r="E64" i="29"/>
  <c r="E62" i="29"/>
  <c r="G62" i="29" s="1"/>
  <c r="P51" i="29"/>
  <c r="O50" i="29"/>
  <c r="P50" i="29" s="1"/>
  <c r="O94" i="29"/>
  <c r="N94" i="29"/>
  <c r="N93" i="29" s="1"/>
  <c r="E91" i="29"/>
  <c r="G91" i="29" s="1"/>
  <c r="E88" i="29"/>
  <c r="E87" i="29"/>
  <c r="G87" i="29" s="1"/>
  <c r="G101" i="29"/>
  <c r="G100" i="29"/>
  <c r="N81" i="29"/>
  <c r="O81" i="29"/>
  <c r="G29" i="29"/>
  <c r="N24" i="29" s="1"/>
  <c r="N23" i="29" s="1"/>
  <c r="G30" i="29"/>
  <c r="G28" i="29"/>
  <c r="O73" i="29"/>
  <c r="N73" i="29"/>
  <c r="N72" i="29" s="1"/>
  <c r="N69" i="29" s="1"/>
  <c r="O48" i="29"/>
  <c r="N48" i="29"/>
  <c r="N47" i="29" s="1"/>
  <c r="E102" i="29"/>
  <c r="G11" i="29"/>
  <c r="O74" i="29"/>
  <c r="P74" i="29" s="1"/>
  <c r="P75" i="29"/>
  <c r="P73" i="52" l="1"/>
  <c r="O72" i="52"/>
  <c r="P72" i="52" s="1"/>
  <c r="P75" i="52"/>
  <c r="O74" i="52"/>
  <c r="P74" i="52" s="1"/>
  <c r="P68" i="52"/>
  <c r="O67" i="52"/>
  <c r="P67" i="52" s="1"/>
  <c r="P78" i="52"/>
  <c r="O77" i="52"/>
  <c r="G66" i="52"/>
  <c r="G65" i="52"/>
  <c r="O61" i="52" s="1"/>
  <c r="G64" i="52"/>
  <c r="N19" i="52"/>
  <c r="N18" i="52" s="1"/>
  <c r="O19" i="52"/>
  <c r="O13" i="52"/>
  <c r="P13" i="52" s="1"/>
  <c r="N13" i="52"/>
  <c r="O50" i="52"/>
  <c r="P50" i="52" s="1"/>
  <c r="P51" i="52"/>
  <c r="N44" i="52"/>
  <c r="N43" i="52" s="1"/>
  <c r="O44" i="52"/>
  <c r="N81" i="52"/>
  <c r="O81" i="52"/>
  <c r="G29" i="52"/>
  <c r="G30" i="52"/>
  <c r="O24" i="52" s="1"/>
  <c r="G28" i="52"/>
  <c r="N24" i="52" s="1"/>
  <c r="N23" i="52" s="1"/>
  <c r="G57" i="52"/>
  <c r="G58" i="52"/>
  <c r="N53" i="52" s="1"/>
  <c r="N52" i="52" s="1"/>
  <c r="O41" i="52"/>
  <c r="N41" i="52"/>
  <c r="N40" i="52" s="1"/>
  <c r="G90" i="52"/>
  <c r="G88" i="52"/>
  <c r="O87" i="52" s="1"/>
  <c r="G89" i="52"/>
  <c r="O93" i="52"/>
  <c r="P94" i="52"/>
  <c r="O38" i="52"/>
  <c r="N38" i="52"/>
  <c r="N37" i="52" s="1"/>
  <c r="N48" i="52"/>
  <c r="N47" i="52" s="1"/>
  <c r="O48" i="52"/>
  <c r="N69" i="52"/>
  <c r="N83" i="52"/>
  <c r="O83" i="52"/>
  <c r="P83" i="52" s="1"/>
  <c r="E102" i="52"/>
  <c r="G11" i="52"/>
  <c r="N32" i="52"/>
  <c r="O100" i="52"/>
  <c r="P100" i="52" s="1"/>
  <c r="N100" i="52"/>
  <c r="N97" i="52" s="1"/>
  <c r="N92" i="52" s="1"/>
  <c r="O32" i="52"/>
  <c r="P32" i="52" s="1"/>
  <c r="P33" i="52"/>
  <c r="O15" i="52"/>
  <c r="P15" i="52" s="1"/>
  <c r="N15" i="52"/>
  <c r="P98" i="52"/>
  <c r="P71" i="52"/>
  <c r="O70" i="52"/>
  <c r="O52" i="51"/>
  <c r="P52" i="51" s="1"/>
  <c r="P53" i="51"/>
  <c r="O18" i="51"/>
  <c r="P18" i="51" s="1"/>
  <c r="P19" i="51"/>
  <c r="P68" i="51"/>
  <c r="O67" i="51"/>
  <c r="P67" i="51" s="1"/>
  <c r="O44" i="51"/>
  <c r="N44" i="51"/>
  <c r="N43" i="51" s="1"/>
  <c r="G90" i="51"/>
  <c r="G88" i="51"/>
  <c r="G89" i="51"/>
  <c r="O87" i="51" s="1"/>
  <c r="N53" i="51"/>
  <c r="N52" i="51" s="1"/>
  <c r="N46" i="51" s="1"/>
  <c r="O41" i="51"/>
  <c r="N41" i="51"/>
  <c r="N40" i="51" s="1"/>
  <c r="O47" i="51"/>
  <c r="P48" i="51"/>
  <c r="P94" i="51"/>
  <c r="O93" i="51"/>
  <c r="O80" i="51"/>
  <c r="P81" i="51"/>
  <c r="N80" i="51"/>
  <c r="G29" i="51"/>
  <c r="G30" i="51"/>
  <c r="G28" i="51"/>
  <c r="N24" i="51" s="1"/>
  <c r="N23" i="51" s="1"/>
  <c r="N15" i="51"/>
  <c r="O15" i="51"/>
  <c r="P15" i="51" s="1"/>
  <c r="P71" i="51"/>
  <c r="O70" i="51"/>
  <c r="P51" i="51"/>
  <c r="O50" i="51"/>
  <c r="P50" i="51" s="1"/>
  <c r="N11" i="51"/>
  <c r="O11" i="51"/>
  <c r="O100" i="51"/>
  <c r="P100" i="51" s="1"/>
  <c r="N100" i="51"/>
  <c r="N97" i="51" s="1"/>
  <c r="N92" i="51" s="1"/>
  <c r="O32" i="51"/>
  <c r="P32" i="51" s="1"/>
  <c r="P33" i="51"/>
  <c r="N69" i="51"/>
  <c r="N32" i="51"/>
  <c r="G66" i="51"/>
  <c r="G64" i="51"/>
  <c r="O61" i="51" s="1"/>
  <c r="G65" i="51"/>
  <c r="O38" i="51"/>
  <c r="N38" i="51"/>
  <c r="N37" i="51" s="1"/>
  <c r="P77" i="51"/>
  <c r="O76" i="51"/>
  <c r="P76" i="51" s="1"/>
  <c r="E102" i="51"/>
  <c r="N61" i="51"/>
  <c r="N60" i="51" s="1"/>
  <c r="N59" i="51" s="1"/>
  <c r="P73" i="51"/>
  <c r="O72" i="51"/>
  <c r="P72" i="51" s="1"/>
  <c r="N87" i="51"/>
  <c r="N86" i="51" s="1"/>
  <c r="O47" i="50"/>
  <c r="P48" i="50"/>
  <c r="O100" i="50"/>
  <c r="N100" i="50"/>
  <c r="N97" i="50" s="1"/>
  <c r="N92" i="50" s="1"/>
  <c r="N46" i="50"/>
  <c r="O93" i="50"/>
  <c r="P94" i="50"/>
  <c r="N11" i="50"/>
  <c r="G102" i="50"/>
  <c r="O11" i="50"/>
  <c r="O18" i="50"/>
  <c r="P18" i="50" s="1"/>
  <c r="P19" i="50"/>
  <c r="O52" i="50"/>
  <c r="P52" i="50" s="1"/>
  <c r="P53" i="50"/>
  <c r="O80" i="50"/>
  <c r="P81" i="50"/>
  <c r="E102" i="50"/>
  <c r="P77" i="50"/>
  <c r="O76" i="50"/>
  <c r="P76" i="50" s="1"/>
  <c r="N15" i="50"/>
  <c r="O15" i="50"/>
  <c r="P15" i="50" s="1"/>
  <c r="G66" i="50"/>
  <c r="G64" i="50"/>
  <c r="G65" i="50"/>
  <c r="O61" i="50" s="1"/>
  <c r="O32" i="50"/>
  <c r="P32" i="50" s="1"/>
  <c r="P33" i="50"/>
  <c r="P73" i="50"/>
  <c r="O72" i="50"/>
  <c r="P72" i="50" s="1"/>
  <c r="N87" i="50"/>
  <c r="N86" i="50" s="1"/>
  <c r="N79" i="50" s="1"/>
  <c r="P70" i="50"/>
  <c r="O69" i="50"/>
  <c r="P69" i="50" s="1"/>
  <c r="G90" i="50"/>
  <c r="G88" i="50"/>
  <c r="G89" i="50"/>
  <c r="O87" i="50" s="1"/>
  <c r="O44" i="50"/>
  <c r="N44" i="50"/>
  <c r="N43" i="50" s="1"/>
  <c r="O23" i="49"/>
  <c r="P23" i="49" s="1"/>
  <c r="P24" i="49"/>
  <c r="N32" i="49"/>
  <c r="P70" i="49"/>
  <c r="O32" i="49"/>
  <c r="P32" i="49" s="1"/>
  <c r="P33" i="49"/>
  <c r="O80" i="49"/>
  <c r="P81" i="49"/>
  <c r="G66" i="49"/>
  <c r="G64" i="49"/>
  <c r="N61" i="49" s="1"/>
  <c r="N60" i="49" s="1"/>
  <c r="N59" i="49" s="1"/>
  <c r="G65" i="49"/>
  <c r="O61" i="49" s="1"/>
  <c r="O100" i="49"/>
  <c r="N100" i="49"/>
  <c r="N97" i="49" s="1"/>
  <c r="N92" i="49" s="1"/>
  <c r="O52" i="49"/>
  <c r="P52" i="49" s="1"/>
  <c r="P53" i="49"/>
  <c r="N11" i="49"/>
  <c r="O11" i="49"/>
  <c r="P38" i="49"/>
  <c r="O37" i="49"/>
  <c r="P37" i="49" s="1"/>
  <c r="P51" i="49"/>
  <c r="O50" i="49"/>
  <c r="P50" i="49" s="1"/>
  <c r="O18" i="49"/>
  <c r="P18" i="49" s="1"/>
  <c r="P19" i="49"/>
  <c r="P73" i="49"/>
  <c r="O72" i="49"/>
  <c r="P72" i="49" s="1"/>
  <c r="E102" i="49"/>
  <c r="P77" i="49"/>
  <c r="O76" i="49"/>
  <c r="P76" i="49" s="1"/>
  <c r="N15" i="49"/>
  <c r="O15" i="49"/>
  <c r="P15" i="49" s="1"/>
  <c r="P68" i="49"/>
  <c r="O67" i="49"/>
  <c r="P67" i="49" s="1"/>
  <c r="O47" i="49"/>
  <c r="P48" i="49"/>
  <c r="G90" i="49"/>
  <c r="G88" i="49"/>
  <c r="G89" i="49"/>
  <c r="O87" i="49" s="1"/>
  <c r="O93" i="49"/>
  <c r="P94" i="49"/>
  <c r="O44" i="49"/>
  <c r="N44" i="49"/>
  <c r="N43" i="49" s="1"/>
  <c r="N87" i="49"/>
  <c r="N86" i="49" s="1"/>
  <c r="N79" i="49" s="1"/>
  <c r="O52" i="47"/>
  <c r="P52" i="47" s="1"/>
  <c r="P53" i="47"/>
  <c r="P73" i="47"/>
  <c r="O72" i="47"/>
  <c r="P72" i="47" s="1"/>
  <c r="P68" i="47"/>
  <c r="O67" i="47"/>
  <c r="P67" i="47" s="1"/>
  <c r="O100" i="47"/>
  <c r="N100" i="47"/>
  <c r="N97" i="47" s="1"/>
  <c r="N92" i="47" s="1"/>
  <c r="O38" i="47"/>
  <c r="N38" i="47"/>
  <c r="N37" i="47" s="1"/>
  <c r="P77" i="47"/>
  <c r="O76" i="47"/>
  <c r="P76" i="47" s="1"/>
  <c r="P71" i="47"/>
  <c r="O70" i="47"/>
  <c r="P94" i="47"/>
  <c r="O93" i="47"/>
  <c r="P51" i="47"/>
  <c r="O50" i="47"/>
  <c r="P50" i="47" s="1"/>
  <c r="G66" i="47"/>
  <c r="G64" i="47"/>
  <c r="N61" i="47" s="1"/>
  <c r="N60" i="47" s="1"/>
  <c r="N59" i="47" s="1"/>
  <c r="G65" i="47"/>
  <c r="O44" i="47"/>
  <c r="N44" i="47"/>
  <c r="N43" i="47" s="1"/>
  <c r="N69" i="47"/>
  <c r="O61" i="47"/>
  <c r="O18" i="47"/>
  <c r="P18" i="47" s="1"/>
  <c r="P19" i="47"/>
  <c r="E102" i="47"/>
  <c r="N46" i="47"/>
  <c r="O24" i="47"/>
  <c r="N11" i="47"/>
  <c r="O11" i="47"/>
  <c r="O80" i="47"/>
  <c r="P81" i="47"/>
  <c r="G90" i="47"/>
  <c r="G88" i="47"/>
  <c r="N87" i="47" s="1"/>
  <c r="N86" i="47" s="1"/>
  <c r="G89" i="47"/>
  <c r="O32" i="47"/>
  <c r="P32" i="47" s="1"/>
  <c r="P33" i="47"/>
  <c r="G29" i="47"/>
  <c r="G30" i="47"/>
  <c r="G28" i="47"/>
  <c r="N24" i="47" s="1"/>
  <c r="N23" i="47" s="1"/>
  <c r="N15" i="47"/>
  <c r="O15" i="47"/>
  <c r="P15" i="47" s="1"/>
  <c r="O47" i="47"/>
  <c r="P48" i="47"/>
  <c r="N80" i="47"/>
  <c r="O41" i="47"/>
  <c r="N41" i="47"/>
  <c r="N40" i="47" s="1"/>
  <c r="N32" i="47"/>
  <c r="N44" i="43"/>
  <c r="N43" i="43" s="1"/>
  <c r="O44" i="43"/>
  <c r="N19" i="43"/>
  <c r="N18" i="43" s="1"/>
  <c r="O19" i="43"/>
  <c r="P68" i="43"/>
  <c r="O67" i="43"/>
  <c r="P67" i="43" s="1"/>
  <c r="G66" i="43"/>
  <c r="G64" i="43"/>
  <c r="G65" i="43"/>
  <c r="N81" i="43"/>
  <c r="O81" i="43"/>
  <c r="O24" i="43"/>
  <c r="N24" i="43"/>
  <c r="N23" i="43" s="1"/>
  <c r="G28" i="43"/>
  <c r="G29" i="43"/>
  <c r="G30" i="43"/>
  <c r="P51" i="43"/>
  <c r="O50" i="43"/>
  <c r="P50" i="43" s="1"/>
  <c r="O72" i="43"/>
  <c r="P72" i="43" s="1"/>
  <c r="P73" i="43"/>
  <c r="N32" i="43"/>
  <c r="N48" i="43"/>
  <c r="N47" i="43" s="1"/>
  <c r="O48" i="43"/>
  <c r="O100" i="43"/>
  <c r="P100" i="43" s="1"/>
  <c r="N100" i="43"/>
  <c r="O32" i="43"/>
  <c r="P32" i="43" s="1"/>
  <c r="P33" i="43"/>
  <c r="O61" i="43"/>
  <c r="N61" i="43"/>
  <c r="N60" i="43" s="1"/>
  <c r="N59" i="43" s="1"/>
  <c r="O15" i="43"/>
  <c r="P15" i="43" s="1"/>
  <c r="N15" i="43"/>
  <c r="G90" i="43"/>
  <c r="G88" i="43"/>
  <c r="O87" i="43" s="1"/>
  <c r="G89" i="43"/>
  <c r="O74" i="43"/>
  <c r="P74" i="43" s="1"/>
  <c r="P75" i="43"/>
  <c r="E102" i="43"/>
  <c r="G11" i="43"/>
  <c r="O13" i="43"/>
  <c r="P13" i="43" s="1"/>
  <c r="N13" i="43"/>
  <c r="O97" i="43"/>
  <c r="P97" i="43" s="1"/>
  <c r="P98" i="43"/>
  <c r="O77" i="43"/>
  <c r="P78" i="43"/>
  <c r="N69" i="43"/>
  <c r="O93" i="43"/>
  <c r="P94" i="43"/>
  <c r="N97" i="43"/>
  <c r="N92" i="43" s="1"/>
  <c r="G57" i="43"/>
  <c r="N53" i="43" s="1"/>
  <c r="N52" i="43" s="1"/>
  <c r="G58" i="43"/>
  <c r="O41" i="43"/>
  <c r="N41" i="43"/>
  <c r="N40" i="43" s="1"/>
  <c r="O38" i="43"/>
  <c r="N38" i="43"/>
  <c r="N37" i="43" s="1"/>
  <c r="N83" i="43"/>
  <c r="O83" i="43"/>
  <c r="P83" i="43" s="1"/>
  <c r="P71" i="43"/>
  <c r="O70" i="43"/>
  <c r="O13" i="38"/>
  <c r="P13" i="38" s="1"/>
  <c r="N13" i="38"/>
  <c r="O38" i="38"/>
  <c r="N38" i="38"/>
  <c r="N37" i="38" s="1"/>
  <c r="O100" i="38"/>
  <c r="P100" i="38" s="1"/>
  <c r="N100" i="38"/>
  <c r="N97" i="38" s="1"/>
  <c r="N92" i="38" s="1"/>
  <c r="O32" i="38"/>
  <c r="P32" i="38" s="1"/>
  <c r="P33" i="38"/>
  <c r="O15" i="38"/>
  <c r="P15" i="38" s="1"/>
  <c r="N15" i="38"/>
  <c r="P68" i="38"/>
  <c r="O67" i="38"/>
  <c r="P67" i="38" s="1"/>
  <c r="O41" i="38"/>
  <c r="N41" i="38"/>
  <c r="N40" i="38" s="1"/>
  <c r="O53" i="38"/>
  <c r="O72" i="38"/>
  <c r="P72" i="38" s="1"/>
  <c r="P73" i="38"/>
  <c r="G89" i="38"/>
  <c r="G90" i="38"/>
  <c r="G102" i="38" s="1"/>
  <c r="G88" i="38"/>
  <c r="O87" i="38" s="1"/>
  <c r="O50" i="38"/>
  <c r="P50" i="38" s="1"/>
  <c r="P51" i="38"/>
  <c r="N32" i="38"/>
  <c r="O80" i="38"/>
  <c r="P81" i="38"/>
  <c r="G29" i="38"/>
  <c r="G30" i="38"/>
  <c r="G28" i="38"/>
  <c r="O24" i="38" s="1"/>
  <c r="E102" i="38"/>
  <c r="P71" i="38"/>
  <c r="O70" i="38"/>
  <c r="G65" i="38"/>
  <c r="O61" i="38" s="1"/>
  <c r="G66" i="38"/>
  <c r="G64" i="38"/>
  <c r="N61" i="38" s="1"/>
  <c r="N60" i="38" s="1"/>
  <c r="N59" i="38" s="1"/>
  <c r="P94" i="38"/>
  <c r="O93" i="38"/>
  <c r="O47" i="38"/>
  <c r="P48" i="38"/>
  <c r="N46" i="38"/>
  <c r="N11" i="38"/>
  <c r="N10" i="38" s="1"/>
  <c r="O11" i="38"/>
  <c r="O18" i="38"/>
  <c r="P18" i="38" s="1"/>
  <c r="P19" i="38"/>
  <c r="O44" i="38"/>
  <c r="N44" i="38"/>
  <c r="N43" i="38" s="1"/>
  <c r="O52" i="35"/>
  <c r="P52" i="35" s="1"/>
  <c r="P53" i="35"/>
  <c r="O80" i="35"/>
  <c r="P81" i="35"/>
  <c r="P70" i="35"/>
  <c r="N80" i="35"/>
  <c r="P38" i="35"/>
  <c r="O37" i="35"/>
  <c r="P37" i="35" s="1"/>
  <c r="P77" i="35"/>
  <c r="O76" i="35"/>
  <c r="P76" i="35" s="1"/>
  <c r="N11" i="35"/>
  <c r="O11" i="35"/>
  <c r="O100" i="35"/>
  <c r="N100" i="35"/>
  <c r="N97" i="35" s="1"/>
  <c r="N92" i="35" s="1"/>
  <c r="O18" i="35"/>
  <c r="P18" i="35" s="1"/>
  <c r="P19" i="35"/>
  <c r="G90" i="35"/>
  <c r="G88" i="35"/>
  <c r="O87" i="35" s="1"/>
  <c r="G89" i="35"/>
  <c r="O32" i="35"/>
  <c r="P32" i="35" s="1"/>
  <c r="P33" i="35"/>
  <c r="E102" i="35"/>
  <c r="N32" i="35"/>
  <c r="O93" i="35"/>
  <c r="P94" i="35"/>
  <c r="G66" i="35"/>
  <c r="G64" i="35"/>
  <c r="G65" i="35"/>
  <c r="G102" i="35" s="1"/>
  <c r="O61" i="35"/>
  <c r="N61" i="35"/>
  <c r="N60" i="35" s="1"/>
  <c r="N59" i="35" s="1"/>
  <c r="O47" i="35"/>
  <c r="P48" i="35"/>
  <c r="P73" i="35"/>
  <c r="O72" i="35"/>
  <c r="P72" i="35" s="1"/>
  <c r="N15" i="35"/>
  <c r="O15" i="35"/>
  <c r="P15" i="35" s="1"/>
  <c r="O86" i="34"/>
  <c r="P86" i="34" s="1"/>
  <c r="P87" i="34"/>
  <c r="N83" i="34"/>
  <c r="O83" i="34"/>
  <c r="P83" i="34" s="1"/>
  <c r="P98" i="34"/>
  <c r="N81" i="34"/>
  <c r="N80" i="34" s="1"/>
  <c r="N79" i="34" s="1"/>
  <c r="O81" i="34"/>
  <c r="P51" i="34"/>
  <c r="O50" i="34"/>
  <c r="P50" i="34" s="1"/>
  <c r="N44" i="34"/>
  <c r="N43" i="34" s="1"/>
  <c r="O44" i="34"/>
  <c r="P73" i="34"/>
  <c r="O72" i="34"/>
  <c r="P72" i="34" s="1"/>
  <c r="G66" i="34"/>
  <c r="G64" i="34"/>
  <c r="G65" i="34"/>
  <c r="P71" i="34"/>
  <c r="O70" i="34"/>
  <c r="P68" i="34"/>
  <c r="O67" i="34"/>
  <c r="P67" i="34" s="1"/>
  <c r="N19" i="34"/>
  <c r="N18" i="34" s="1"/>
  <c r="O19" i="34"/>
  <c r="O32" i="34"/>
  <c r="P32" i="34" s="1"/>
  <c r="E102" i="34"/>
  <c r="G57" i="34"/>
  <c r="O53" i="34" s="1"/>
  <c r="G58" i="34"/>
  <c r="N53" i="34" s="1"/>
  <c r="N52" i="34" s="1"/>
  <c r="O74" i="34"/>
  <c r="P74" i="34" s="1"/>
  <c r="P75" i="34"/>
  <c r="O61" i="34"/>
  <c r="N61" i="34"/>
  <c r="N60" i="34" s="1"/>
  <c r="N59" i="34" s="1"/>
  <c r="O13" i="34"/>
  <c r="P13" i="34" s="1"/>
  <c r="N13" i="34"/>
  <c r="G102" i="34"/>
  <c r="O11" i="34"/>
  <c r="N11" i="34"/>
  <c r="O77" i="34"/>
  <c r="P78" i="34"/>
  <c r="O41" i="34"/>
  <c r="N41" i="34"/>
  <c r="N40" i="34" s="1"/>
  <c r="O38" i="34"/>
  <c r="N38" i="34"/>
  <c r="N37" i="34" s="1"/>
  <c r="G29" i="34"/>
  <c r="G28" i="34"/>
  <c r="O24" i="34" s="1"/>
  <c r="G30" i="34"/>
  <c r="N48" i="34"/>
  <c r="N47" i="34" s="1"/>
  <c r="O48" i="34"/>
  <c r="O93" i="34"/>
  <c r="P94" i="34"/>
  <c r="O100" i="34"/>
  <c r="P100" i="34" s="1"/>
  <c r="N100" i="34"/>
  <c r="N97" i="34" s="1"/>
  <c r="N92" i="34" s="1"/>
  <c r="N83" i="30"/>
  <c r="O83" i="30"/>
  <c r="P83" i="30" s="1"/>
  <c r="O74" i="30"/>
  <c r="P74" i="30" s="1"/>
  <c r="P75" i="30"/>
  <c r="O100" i="30"/>
  <c r="P100" i="30" s="1"/>
  <c r="N100" i="30"/>
  <c r="O44" i="30"/>
  <c r="N44" i="30"/>
  <c r="N43" i="30" s="1"/>
  <c r="P73" i="30"/>
  <c r="O72" i="30"/>
  <c r="P72" i="30" s="1"/>
  <c r="N81" i="30"/>
  <c r="O81" i="30"/>
  <c r="G90" i="30"/>
  <c r="G88" i="30"/>
  <c r="O87" i="30" s="1"/>
  <c r="G89" i="30"/>
  <c r="O77" i="30"/>
  <c r="P78" i="30"/>
  <c r="N48" i="30"/>
  <c r="N47" i="30" s="1"/>
  <c r="O48" i="30"/>
  <c r="G57" i="30"/>
  <c r="G58" i="30"/>
  <c r="N69" i="30"/>
  <c r="O38" i="30"/>
  <c r="N38" i="30"/>
  <c r="N37" i="30" s="1"/>
  <c r="G66" i="30"/>
  <c r="G64" i="30"/>
  <c r="G65" i="30"/>
  <c r="O32" i="30"/>
  <c r="P32" i="30" s="1"/>
  <c r="P33" i="30"/>
  <c r="N53" i="30"/>
  <c r="N52" i="30" s="1"/>
  <c r="O53" i="30"/>
  <c r="N19" i="30"/>
  <c r="N18" i="30" s="1"/>
  <c r="O19" i="30"/>
  <c r="P71" i="30"/>
  <c r="O70" i="30"/>
  <c r="O50" i="30"/>
  <c r="P50" i="30" s="1"/>
  <c r="P51" i="30"/>
  <c r="E102" i="30"/>
  <c r="G11" i="30"/>
  <c r="O97" i="30"/>
  <c r="P97" i="30" s="1"/>
  <c r="P98" i="30"/>
  <c r="P68" i="30"/>
  <c r="O67" i="30"/>
  <c r="P67" i="30" s="1"/>
  <c r="O93" i="30"/>
  <c r="P94" i="30"/>
  <c r="O13" i="30"/>
  <c r="P13" i="30" s="1"/>
  <c r="N13" i="30"/>
  <c r="O41" i="30"/>
  <c r="N41" i="30"/>
  <c r="N40" i="30" s="1"/>
  <c r="N24" i="30"/>
  <c r="N23" i="30" s="1"/>
  <c r="N97" i="30"/>
  <c r="N92" i="30"/>
  <c r="N32" i="30"/>
  <c r="O61" i="30"/>
  <c r="N61" i="30"/>
  <c r="N60" i="30" s="1"/>
  <c r="N59" i="30" s="1"/>
  <c r="G29" i="30"/>
  <c r="G28" i="30"/>
  <c r="O24" i="30" s="1"/>
  <c r="G30" i="30"/>
  <c r="O15" i="30"/>
  <c r="P15" i="30" s="1"/>
  <c r="N15" i="30"/>
  <c r="O52" i="29"/>
  <c r="P52" i="29" s="1"/>
  <c r="P53" i="29"/>
  <c r="O47" i="29"/>
  <c r="P48" i="29"/>
  <c r="O40" i="29"/>
  <c r="P40" i="29" s="1"/>
  <c r="P41" i="29"/>
  <c r="P19" i="29"/>
  <c r="O18" i="29"/>
  <c r="P18" i="29" s="1"/>
  <c r="P33" i="29"/>
  <c r="O32" i="29"/>
  <c r="P32" i="29" s="1"/>
  <c r="O93" i="29"/>
  <c r="P94" i="29"/>
  <c r="O100" i="29"/>
  <c r="P100" i="29" s="1"/>
  <c r="N100" i="29"/>
  <c r="N97" i="29" s="1"/>
  <c r="N92" i="29" s="1"/>
  <c r="O24" i="29"/>
  <c r="P38" i="29"/>
  <c r="O37" i="29"/>
  <c r="P37" i="29" s="1"/>
  <c r="P77" i="29"/>
  <c r="O76" i="29"/>
  <c r="P76" i="29" s="1"/>
  <c r="N53" i="29"/>
  <c r="N52" i="29" s="1"/>
  <c r="N46" i="29" s="1"/>
  <c r="P73" i="29"/>
  <c r="O72" i="29"/>
  <c r="P72" i="29" s="1"/>
  <c r="O87" i="29"/>
  <c r="N87" i="29"/>
  <c r="N86" i="29" s="1"/>
  <c r="G66" i="29"/>
  <c r="G64" i="29"/>
  <c r="N61" i="29" s="1"/>
  <c r="N60" i="29" s="1"/>
  <c r="N59" i="29" s="1"/>
  <c r="G65" i="29"/>
  <c r="G102" i="29" s="1"/>
  <c r="P70" i="29"/>
  <c r="O80" i="29"/>
  <c r="P81" i="29"/>
  <c r="N80" i="29"/>
  <c r="O11" i="29"/>
  <c r="N11" i="29"/>
  <c r="N10" i="29" s="1"/>
  <c r="N9" i="29" s="1"/>
  <c r="G90" i="29"/>
  <c r="G88" i="29"/>
  <c r="G89" i="29"/>
  <c r="O15" i="29"/>
  <c r="P15" i="29" s="1"/>
  <c r="N15" i="29"/>
  <c r="O23" i="52" l="1"/>
  <c r="P23" i="52" s="1"/>
  <c r="P24" i="52"/>
  <c r="O86" i="52"/>
  <c r="P86" i="52" s="1"/>
  <c r="P87" i="52"/>
  <c r="P61" i="52"/>
  <c r="O60" i="52"/>
  <c r="P38" i="52"/>
  <c r="O37" i="52"/>
  <c r="P37" i="52" s="1"/>
  <c r="P70" i="52"/>
  <c r="O69" i="52"/>
  <c r="P69" i="52" s="1"/>
  <c r="P93" i="52"/>
  <c r="P48" i="52"/>
  <c r="O47" i="52"/>
  <c r="O53" i="52"/>
  <c r="N46" i="52"/>
  <c r="P77" i="52"/>
  <c r="O76" i="52"/>
  <c r="P76" i="52" s="1"/>
  <c r="N61" i="52"/>
  <c r="N60" i="52" s="1"/>
  <c r="N59" i="52" s="1"/>
  <c r="P81" i="52"/>
  <c r="O80" i="52"/>
  <c r="P19" i="52"/>
  <c r="O18" i="52"/>
  <c r="P18" i="52" s="1"/>
  <c r="O97" i="52"/>
  <c r="P97" i="52" s="1"/>
  <c r="N11" i="52"/>
  <c r="N10" i="52" s="1"/>
  <c r="N9" i="52" s="1"/>
  <c r="G102" i="52"/>
  <c r="O11" i="52"/>
  <c r="N80" i="52"/>
  <c r="N87" i="52"/>
  <c r="N86" i="52" s="1"/>
  <c r="O40" i="52"/>
  <c r="P40" i="52" s="1"/>
  <c r="P41" i="52"/>
  <c r="P44" i="52"/>
  <c r="O43" i="52"/>
  <c r="P43" i="52" s="1"/>
  <c r="O86" i="51"/>
  <c r="P86" i="51" s="1"/>
  <c r="P87" i="51"/>
  <c r="P61" i="51"/>
  <c r="O60" i="51"/>
  <c r="O10" i="51"/>
  <c r="P11" i="51"/>
  <c r="O24" i="51"/>
  <c r="P38" i="51"/>
  <c r="O37" i="51"/>
  <c r="P37" i="51" s="1"/>
  <c r="P44" i="51"/>
  <c r="O43" i="51"/>
  <c r="P43" i="51" s="1"/>
  <c r="P70" i="51"/>
  <c r="O69" i="51"/>
  <c r="P69" i="51" s="1"/>
  <c r="P80" i="51"/>
  <c r="O79" i="51"/>
  <c r="P79" i="51" s="1"/>
  <c r="O40" i="51"/>
  <c r="P40" i="51" s="1"/>
  <c r="P41" i="51"/>
  <c r="N10" i="51"/>
  <c r="N9" i="51" s="1"/>
  <c r="N4" i="51" s="1"/>
  <c r="G102" i="51"/>
  <c r="O97" i="51"/>
  <c r="P97" i="51" s="1"/>
  <c r="P47" i="51"/>
  <c r="O46" i="51"/>
  <c r="P46" i="51" s="1"/>
  <c r="P93" i="51"/>
  <c r="O92" i="51"/>
  <c r="P92" i="51" s="1"/>
  <c r="N79" i="51"/>
  <c r="P61" i="50"/>
  <c r="O60" i="50"/>
  <c r="O86" i="50"/>
  <c r="P86" i="50" s="1"/>
  <c r="P87" i="50"/>
  <c r="P44" i="50"/>
  <c r="O43" i="50"/>
  <c r="P43" i="50" s="1"/>
  <c r="P80" i="50"/>
  <c r="O79" i="50"/>
  <c r="P79" i="50" s="1"/>
  <c r="P93" i="50"/>
  <c r="N61" i="50"/>
  <c r="N60" i="50" s="1"/>
  <c r="N59" i="50" s="1"/>
  <c r="P100" i="50"/>
  <c r="O97" i="50"/>
  <c r="P97" i="50" s="1"/>
  <c r="O10" i="50"/>
  <c r="P11" i="50"/>
  <c r="N10" i="50"/>
  <c r="N9" i="50" s="1"/>
  <c r="N4" i="50" s="1"/>
  <c r="P47" i="50"/>
  <c r="O46" i="50"/>
  <c r="P46" i="50" s="1"/>
  <c r="O86" i="49"/>
  <c r="P86" i="49" s="1"/>
  <c r="P87" i="49"/>
  <c r="P61" i="49"/>
  <c r="O60" i="49"/>
  <c r="P100" i="49"/>
  <c r="O97" i="49"/>
  <c r="P97" i="49" s="1"/>
  <c r="P47" i="49"/>
  <c r="O46" i="49"/>
  <c r="P46" i="49" s="1"/>
  <c r="O69" i="49"/>
  <c r="P69" i="49" s="1"/>
  <c r="P93" i="49"/>
  <c r="O10" i="49"/>
  <c r="P11" i="49"/>
  <c r="G102" i="49"/>
  <c r="N10" i="49"/>
  <c r="N9" i="49" s="1"/>
  <c r="N4" i="49" s="1"/>
  <c r="P44" i="49"/>
  <c r="O43" i="49"/>
  <c r="P43" i="49" s="1"/>
  <c r="P80" i="49"/>
  <c r="O79" i="49"/>
  <c r="P79" i="49" s="1"/>
  <c r="O40" i="47"/>
  <c r="P40" i="47" s="1"/>
  <c r="P41" i="47"/>
  <c r="P80" i="47"/>
  <c r="O87" i="47"/>
  <c r="O43" i="47"/>
  <c r="P43" i="47" s="1"/>
  <c r="P44" i="47"/>
  <c r="P70" i="47"/>
  <c r="O69" i="47"/>
  <c r="P69" i="47" s="1"/>
  <c r="P24" i="47"/>
  <c r="O23" i="47"/>
  <c r="P23" i="47" s="1"/>
  <c r="P93" i="47"/>
  <c r="O92" i="47"/>
  <c r="P92" i="47" s="1"/>
  <c r="P100" i="47"/>
  <c r="O97" i="47"/>
  <c r="P97" i="47" s="1"/>
  <c r="N79" i="47"/>
  <c r="O10" i="47"/>
  <c r="P11" i="47"/>
  <c r="N10" i="47"/>
  <c r="N9" i="47" s="1"/>
  <c r="G102" i="47"/>
  <c r="P47" i="47"/>
  <c r="O46" i="47"/>
  <c r="P46" i="47" s="1"/>
  <c r="P61" i="47"/>
  <c r="O60" i="47"/>
  <c r="P38" i="47"/>
  <c r="O37" i="47"/>
  <c r="P37" i="47" s="1"/>
  <c r="O86" i="43"/>
  <c r="P86" i="43" s="1"/>
  <c r="P87" i="43"/>
  <c r="O40" i="43"/>
  <c r="P40" i="43" s="1"/>
  <c r="P41" i="43"/>
  <c r="P77" i="43"/>
  <c r="O76" i="43"/>
  <c r="P76" i="43" s="1"/>
  <c r="O18" i="43"/>
  <c r="P18" i="43" s="1"/>
  <c r="P19" i="43"/>
  <c r="N87" i="43"/>
  <c r="N86" i="43" s="1"/>
  <c r="O80" i="43"/>
  <c r="P81" i="43"/>
  <c r="N80" i="43"/>
  <c r="P44" i="43"/>
  <c r="O43" i="43"/>
  <c r="P43" i="43" s="1"/>
  <c r="O23" i="43"/>
  <c r="P23" i="43" s="1"/>
  <c r="P24" i="43"/>
  <c r="P93" i="43"/>
  <c r="O92" i="43"/>
  <c r="P92" i="43" s="1"/>
  <c r="N10" i="43"/>
  <c r="N9" i="43" s="1"/>
  <c r="G102" i="43"/>
  <c r="O11" i="43"/>
  <c r="P38" i="43"/>
  <c r="O37" i="43"/>
  <c r="P37" i="43" s="1"/>
  <c r="O47" i="43"/>
  <c r="P48" i="43"/>
  <c r="O53" i="43"/>
  <c r="P70" i="43"/>
  <c r="O69" i="43"/>
  <c r="P69" i="43" s="1"/>
  <c r="P61" i="43"/>
  <c r="O60" i="43"/>
  <c r="N46" i="43"/>
  <c r="P61" i="38"/>
  <c r="O60" i="38"/>
  <c r="O23" i="38"/>
  <c r="P23" i="38" s="1"/>
  <c r="P24" i="38"/>
  <c r="O86" i="38"/>
  <c r="P86" i="38" s="1"/>
  <c r="P87" i="38"/>
  <c r="N87" i="38"/>
  <c r="N86" i="38" s="1"/>
  <c r="N79" i="38" s="1"/>
  <c r="P80" i="38"/>
  <c r="P70" i="38"/>
  <c r="O69" i="38"/>
  <c r="P69" i="38" s="1"/>
  <c r="P53" i="38"/>
  <c r="O52" i="38"/>
  <c r="P52" i="38" s="1"/>
  <c r="P44" i="38"/>
  <c r="O43" i="38"/>
  <c r="P43" i="38" s="1"/>
  <c r="P47" i="38"/>
  <c r="O40" i="38"/>
  <c r="P40" i="38" s="1"/>
  <c r="P41" i="38"/>
  <c r="O97" i="38"/>
  <c r="P97" i="38" s="1"/>
  <c r="P93" i="38"/>
  <c r="N24" i="38"/>
  <c r="N23" i="38" s="1"/>
  <c r="N9" i="38" s="1"/>
  <c r="N4" i="38" s="1"/>
  <c r="O37" i="38"/>
  <c r="P37" i="38" s="1"/>
  <c r="P38" i="38"/>
  <c r="O10" i="38"/>
  <c r="P11" i="38"/>
  <c r="O86" i="35"/>
  <c r="P86" i="35" s="1"/>
  <c r="P87" i="35"/>
  <c r="P100" i="35"/>
  <c r="O97" i="35"/>
  <c r="P97" i="35" s="1"/>
  <c r="O10" i="35"/>
  <c r="P11" i="35"/>
  <c r="O69" i="35"/>
  <c r="P69" i="35" s="1"/>
  <c r="N10" i="35"/>
  <c r="N9" i="35" s="1"/>
  <c r="P93" i="35"/>
  <c r="P80" i="35"/>
  <c r="O79" i="35"/>
  <c r="P79" i="35" s="1"/>
  <c r="P61" i="35"/>
  <c r="O60" i="35"/>
  <c r="N87" i="35"/>
  <c r="N86" i="35" s="1"/>
  <c r="N79" i="35" s="1"/>
  <c r="P47" i="35"/>
  <c r="O46" i="35"/>
  <c r="P46" i="35" s="1"/>
  <c r="O52" i="34"/>
  <c r="P52" i="34" s="1"/>
  <c r="P53" i="34"/>
  <c r="O23" i="34"/>
  <c r="P23" i="34" s="1"/>
  <c r="P24" i="34"/>
  <c r="O10" i="34"/>
  <c r="P11" i="34"/>
  <c r="O80" i="34"/>
  <c r="P81" i="34"/>
  <c r="P93" i="34"/>
  <c r="O47" i="34"/>
  <c r="P48" i="34"/>
  <c r="P44" i="34"/>
  <c r="O43" i="34"/>
  <c r="P43" i="34" s="1"/>
  <c r="O97" i="34"/>
  <c r="P97" i="34" s="1"/>
  <c r="N46" i="34"/>
  <c r="P38" i="34"/>
  <c r="O37" i="34"/>
  <c r="P37" i="34" s="1"/>
  <c r="P70" i="34"/>
  <c r="O69" i="34"/>
  <c r="P69" i="34" s="1"/>
  <c r="O40" i="34"/>
  <c r="P40" i="34" s="1"/>
  <c r="P41" i="34"/>
  <c r="N24" i="34"/>
  <c r="N23" i="34" s="1"/>
  <c r="P77" i="34"/>
  <c r="O76" i="34"/>
  <c r="P76" i="34" s="1"/>
  <c r="O18" i="34"/>
  <c r="P18" i="34" s="1"/>
  <c r="P19" i="34"/>
  <c r="N10" i="34"/>
  <c r="P61" i="34"/>
  <c r="O60" i="34"/>
  <c r="O86" i="30"/>
  <c r="P86" i="30" s="1"/>
  <c r="P87" i="30"/>
  <c r="O23" i="30"/>
  <c r="P23" i="30" s="1"/>
  <c r="P24" i="30"/>
  <c r="P61" i="30"/>
  <c r="O60" i="30"/>
  <c r="P38" i="30"/>
  <c r="O37" i="30"/>
  <c r="P37" i="30" s="1"/>
  <c r="P44" i="30"/>
  <c r="O43" i="30"/>
  <c r="P43" i="30" s="1"/>
  <c r="P93" i="30"/>
  <c r="O92" i="30"/>
  <c r="P92" i="30" s="1"/>
  <c r="O80" i="30"/>
  <c r="P81" i="30"/>
  <c r="O47" i="30"/>
  <c r="P48" i="30"/>
  <c r="N80" i="30"/>
  <c r="O52" i="30"/>
  <c r="P52" i="30" s="1"/>
  <c r="P53" i="30"/>
  <c r="N46" i="30"/>
  <c r="N87" i="30"/>
  <c r="N86" i="30" s="1"/>
  <c r="P70" i="30"/>
  <c r="O69" i="30"/>
  <c r="P69" i="30" s="1"/>
  <c r="O18" i="30"/>
  <c r="P18" i="30" s="1"/>
  <c r="P19" i="30"/>
  <c r="P77" i="30"/>
  <c r="O76" i="30"/>
  <c r="P76" i="30" s="1"/>
  <c r="O40" i="30"/>
  <c r="P40" i="30" s="1"/>
  <c r="P41" i="30"/>
  <c r="N11" i="30"/>
  <c r="N10" i="30" s="1"/>
  <c r="N9" i="30" s="1"/>
  <c r="G102" i="30"/>
  <c r="O11" i="30"/>
  <c r="N79" i="29"/>
  <c r="O86" i="29"/>
  <c r="P86" i="29" s="1"/>
  <c r="P87" i="29"/>
  <c r="O61" i="29"/>
  <c r="O46" i="29"/>
  <c r="P46" i="29" s="1"/>
  <c r="P47" i="29"/>
  <c r="P93" i="29"/>
  <c r="O92" i="29"/>
  <c r="P92" i="29" s="1"/>
  <c r="P80" i="29"/>
  <c r="O79" i="29"/>
  <c r="P79" i="29" s="1"/>
  <c r="O97" i="29"/>
  <c r="P97" i="29" s="1"/>
  <c r="P11" i="29"/>
  <c r="O10" i="29"/>
  <c r="O69" i="29"/>
  <c r="P69" i="29" s="1"/>
  <c r="N4" i="29"/>
  <c r="O23" i="29"/>
  <c r="P23" i="29" s="1"/>
  <c r="P24" i="29"/>
  <c r="O52" i="52" l="1"/>
  <c r="P52" i="52" s="1"/>
  <c r="P53" i="52"/>
  <c r="P47" i="52"/>
  <c r="O46" i="52"/>
  <c r="P46" i="52" s="1"/>
  <c r="P60" i="52"/>
  <c r="O59" i="52"/>
  <c r="P59" i="52" s="1"/>
  <c r="N79" i="52"/>
  <c r="N4" i="52" s="1"/>
  <c r="O92" i="52"/>
  <c r="P92" i="52" s="1"/>
  <c r="P80" i="52"/>
  <c r="O79" i="52"/>
  <c r="P79" i="52" s="1"/>
  <c r="P11" i="52"/>
  <c r="O10" i="52"/>
  <c r="P24" i="51"/>
  <c r="O23" i="51"/>
  <c r="P23" i="51" s="1"/>
  <c r="P10" i="51"/>
  <c r="O9" i="51"/>
  <c r="P60" i="51"/>
  <c r="O59" i="51"/>
  <c r="P59" i="51" s="1"/>
  <c r="P10" i="50"/>
  <c r="O9" i="50"/>
  <c r="O92" i="50"/>
  <c r="P92" i="50" s="1"/>
  <c r="P60" i="50"/>
  <c r="O59" i="50"/>
  <c r="P59" i="50" s="1"/>
  <c r="P10" i="49"/>
  <c r="O9" i="49"/>
  <c r="P60" i="49"/>
  <c r="O59" i="49"/>
  <c r="P59" i="49" s="1"/>
  <c r="O92" i="49"/>
  <c r="P92" i="49" s="1"/>
  <c r="P60" i="47"/>
  <c r="O59" i="47"/>
  <c r="P59" i="47" s="1"/>
  <c r="N4" i="47"/>
  <c r="O86" i="47"/>
  <c r="P87" i="47"/>
  <c r="P10" i="47"/>
  <c r="O9" i="47"/>
  <c r="P60" i="43"/>
  <c r="O59" i="43"/>
  <c r="P59" i="43" s="1"/>
  <c r="O10" i="43"/>
  <c r="P11" i="43"/>
  <c r="N79" i="43"/>
  <c r="N4" i="43"/>
  <c r="P47" i="43"/>
  <c r="O46" i="43"/>
  <c r="P46" i="43" s="1"/>
  <c r="O52" i="43"/>
  <c r="P52" i="43" s="1"/>
  <c r="P53" i="43"/>
  <c r="P80" i="43"/>
  <c r="O79" i="43"/>
  <c r="P79" i="43" s="1"/>
  <c r="O92" i="38"/>
  <c r="P92" i="38" s="1"/>
  <c r="P10" i="38"/>
  <c r="O9" i="38"/>
  <c r="O46" i="38"/>
  <c r="P46" i="38" s="1"/>
  <c r="O79" i="38"/>
  <c r="P79" i="38" s="1"/>
  <c r="P60" i="38"/>
  <c r="O59" i="38"/>
  <c r="P59" i="38" s="1"/>
  <c r="P10" i="35"/>
  <c r="O9" i="35"/>
  <c r="O92" i="35"/>
  <c r="P92" i="35" s="1"/>
  <c r="P60" i="35"/>
  <c r="O59" i="35"/>
  <c r="P59" i="35" s="1"/>
  <c r="N4" i="35"/>
  <c r="O9" i="34"/>
  <c r="P10" i="34"/>
  <c r="N9" i="34"/>
  <c r="N4" i="34" s="1"/>
  <c r="P80" i="34"/>
  <c r="O79" i="34"/>
  <c r="P79" i="34" s="1"/>
  <c r="P47" i="34"/>
  <c r="O46" i="34"/>
  <c r="P46" i="34" s="1"/>
  <c r="O92" i="34"/>
  <c r="P92" i="34" s="1"/>
  <c r="P60" i="34"/>
  <c r="O59" i="34"/>
  <c r="P59" i="34" s="1"/>
  <c r="P11" i="30"/>
  <c r="O10" i="30"/>
  <c r="P47" i="30"/>
  <c r="O46" i="30"/>
  <c r="P46" i="30" s="1"/>
  <c r="N4" i="30"/>
  <c r="P60" i="30"/>
  <c r="O59" i="30"/>
  <c r="P59" i="30" s="1"/>
  <c r="P80" i="30"/>
  <c r="O79" i="30"/>
  <c r="P79" i="30" s="1"/>
  <c r="N79" i="30"/>
  <c r="O9" i="29"/>
  <c r="P10" i="29"/>
  <c r="P61" i="29"/>
  <c r="O60" i="29"/>
  <c r="P10" i="52" l="1"/>
  <c r="O9" i="52"/>
  <c r="O4" i="51"/>
  <c r="P4" i="51" s="1"/>
  <c r="P9" i="51"/>
  <c r="O4" i="50"/>
  <c r="P4" i="50" s="1"/>
  <c r="P9" i="50"/>
  <c r="O4" i="49"/>
  <c r="P4" i="49" s="1"/>
  <c r="P9" i="49"/>
  <c r="P9" i="47"/>
  <c r="P86" i="47"/>
  <c r="O79" i="47"/>
  <c r="P79" i="47" s="1"/>
  <c r="P10" i="43"/>
  <c r="O9" i="43"/>
  <c r="O4" i="38"/>
  <c r="P4" i="38" s="1"/>
  <c r="P9" i="38"/>
  <c r="O4" i="35"/>
  <c r="P4" i="35" s="1"/>
  <c r="P9" i="35"/>
  <c r="P9" i="34"/>
  <c r="O4" i="34"/>
  <c r="P4" i="34" s="1"/>
  <c r="P10" i="30"/>
  <c r="O9" i="30"/>
  <c r="P60" i="29"/>
  <c r="O59" i="29"/>
  <c r="P59" i="29" s="1"/>
  <c r="P9" i="29"/>
  <c r="O4" i="29"/>
  <c r="P4" i="29" s="1"/>
  <c r="O4" i="52" l="1"/>
  <c r="P4" i="52" s="1"/>
  <c r="P9" i="52"/>
  <c r="O4" i="47"/>
  <c r="P4" i="47" s="1"/>
  <c r="O4" i="43"/>
  <c r="P4" i="43" s="1"/>
  <c r="P9" i="43"/>
  <c r="O4" i="30"/>
  <c r="P4" i="30" s="1"/>
  <c r="P9" i="30"/>
  <c r="G20" i="19" l="1"/>
  <c r="G19" i="19"/>
  <c r="F101" i="2" l="1"/>
  <c r="F100" i="2"/>
  <c r="F99" i="2"/>
  <c r="F98" i="2"/>
  <c r="E21" i="25" s="1"/>
  <c r="F95" i="2"/>
  <c r="F94" i="2"/>
  <c r="E20" i="25" s="1"/>
  <c r="F93" i="2"/>
  <c r="F84" i="2"/>
  <c r="F82" i="2"/>
  <c r="F81" i="2"/>
  <c r="F79" i="2"/>
  <c r="F78" i="2"/>
  <c r="F77" i="2"/>
  <c r="F76" i="2"/>
  <c r="F74" i="2"/>
  <c r="F73" i="2"/>
  <c r="F72" i="2"/>
  <c r="F71" i="2"/>
  <c r="F69" i="2"/>
  <c r="F68" i="2"/>
  <c r="F62" i="2"/>
  <c r="F61" i="2"/>
  <c r="F60" i="2"/>
  <c r="F54" i="2"/>
  <c r="F53" i="2"/>
  <c r="F49" i="2"/>
  <c r="F48" i="2"/>
  <c r="F45" i="2"/>
  <c r="F44" i="2"/>
  <c r="F42" i="2"/>
  <c r="F41" i="2"/>
  <c r="F39" i="2"/>
  <c r="F36" i="2"/>
  <c r="F37" i="2"/>
  <c r="F38" i="2"/>
  <c r="F35" i="2"/>
  <c r="F34" i="2"/>
  <c r="F33" i="2"/>
  <c r="F25" i="2"/>
  <c r="F24" i="2"/>
  <c r="F20" i="2"/>
  <c r="F19" i="2"/>
  <c r="F16" i="2"/>
  <c r="F14" i="2"/>
  <c r="F12" i="2"/>
  <c r="F11" i="2"/>
  <c r="E3" i="17" s="1"/>
  <c r="E2" i="25" s="1"/>
  <c r="F10" i="2"/>
  <c r="E2" i="17" s="1"/>
  <c r="B4" i="24" s="1"/>
  <c r="F75" i="2" l="1"/>
  <c r="F87" i="2" l="1"/>
  <c r="F88" i="2"/>
  <c r="F80" i="2" l="1"/>
  <c r="K15" i="19" l="1"/>
  <c r="K14" i="19"/>
  <c r="K12" i="19"/>
  <c r="L13" i="19" s="1"/>
  <c r="L14" i="19" l="1"/>
  <c r="M14" i="19"/>
  <c r="K13" i="19"/>
  <c r="L15" i="19" s="1"/>
  <c r="M15" i="19" s="1"/>
  <c r="E20" i="17" l="1"/>
  <c r="E16" i="25" s="1"/>
  <c r="J15" i="2"/>
  <c r="J14" i="2"/>
  <c r="J12" i="2"/>
  <c r="K14" i="2" s="1"/>
  <c r="J13" i="2" l="1"/>
  <c r="K15" i="2" s="1"/>
  <c r="L15" i="2" s="1"/>
  <c r="L14" i="2"/>
  <c r="K13" i="2"/>
  <c r="E11" i="17" l="1"/>
  <c r="E9" i="25" s="1"/>
  <c r="E8" i="17" l="1"/>
  <c r="E7" i="25" s="1"/>
  <c r="F51" i="2" l="1"/>
  <c r="F52" i="2"/>
  <c r="F47" i="2" l="1"/>
  <c r="E6" i="17" l="1"/>
  <c r="E5" i="25" s="1"/>
  <c r="E16" i="17" l="1"/>
  <c r="E13" i="25" s="1"/>
  <c r="E7" i="17"/>
  <c r="E6" i="25" s="1"/>
  <c r="E5" i="17"/>
  <c r="E4" i="25" s="1"/>
  <c r="E4" i="17" l="1"/>
  <c r="E3" i="25" s="1"/>
  <c r="E13" i="17" l="1"/>
  <c r="E11" i="25" s="1"/>
  <c r="E19" i="17" l="1"/>
  <c r="E15" i="25" s="1"/>
  <c r="E27" i="17" l="1"/>
  <c r="E22" i="25" s="1"/>
  <c r="E12" i="17"/>
  <c r="E10" i="25" s="1"/>
  <c r="E10" i="17" l="1"/>
  <c r="B5" i="24" s="1"/>
  <c r="E24" i="17" l="1"/>
  <c r="E18" i="25" s="1"/>
  <c r="E18" i="17" l="1"/>
  <c r="E14" i="25" s="1"/>
  <c r="F70" i="2" l="1"/>
  <c r="E17" i="17" s="1"/>
  <c r="B7" i="24" s="1"/>
  <c r="E14" i="17" l="1"/>
  <c r="B6" i="24" s="1"/>
  <c r="E25" i="17"/>
  <c r="E19" i="25" s="1"/>
  <c r="E23" i="17"/>
  <c r="B9" i="24" s="1"/>
  <c r="E28" i="17"/>
  <c r="E23" i="25" s="1"/>
  <c r="E26" i="17"/>
  <c r="B10" i="24" s="1"/>
  <c r="E15" i="17" l="1"/>
  <c r="E12" i="25" s="1"/>
  <c r="E9" i="17"/>
  <c r="E8" i="25" s="1"/>
  <c r="E22" i="17" l="1"/>
  <c r="E17" i="25" s="1"/>
  <c r="F6" i="2"/>
  <c r="E21" i="17"/>
  <c r="B8" i="24" s="1"/>
</calcChain>
</file>

<file path=xl/sharedStrings.xml><?xml version="1.0" encoding="utf-8"?>
<sst xmlns="http://schemas.openxmlformats.org/spreadsheetml/2006/main" count="5118" uniqueCount="855">
  <si>
    <t>ASPIRATION 1:  A PROSPEROUS AFRICA BASED ON INCLUSIVE GROWTH AND SUSTAINABLE DEVELOPMENT</t>
  </si>
  <si>
    <t>Goal 1: A High Standard of Living, Quality of Life and Well Being for All</t>
  </si>
  <si>
    <t>Priority Area</t>
  </si>
  <si>
    <t>Agenda 2063 Target</t>
  </si>
  <si>
    <t>1. Incomes, Jobs and decent work</t>
  </si>
  <si>
    <t>GNI per capita</t>
  </si>
  <si>
    <t>2. Poverty, Inequality and Hunger</t>
  </si>
  <si>
    <t>b) Prevalence of underweight among children under 5</t>
  </si>
  <si>
    <t>% of population with access to safe drinking water</t>
  </si>
  <si>
    <t>3. Modern and Liveable Habitats and Basic Quality Services</t>
  </si>
  <si>
    <t>c)% of population with access to internet</t>
  </si>
  <si>
    <t>Goal 2: Well Educated Citizens and Skills revolution underpinned by Science, Technology and Innovation</t>
  </si>
  <si>
    <t xml:space="preserve">1. Education and STI driven Skills Revolution   </t>
  </si>
  <si>
    <t>Goal 3: Healthy and Well-Nourished Citizens</t>
  </si>
  <si>
    <t>1. Health and Nutrition</t>
  </si>
  <si>
    <t xml:space="preserve">a) Maternal mortality ratio                                                                                 </t>
  </si>
  <si>
    <t>b) Neo-natal mortality rate</t>
  </si>
  <si>
    <t xml:space="preserve">c) Under five mortality rate  </t>
  </si>
  <si>
    <t>Goal 4: Transformed Economies and Job Creation</t>
  </si>
  <si>
    <t xml:space="preserve">1. Sustainable inclusive economic growth </t>
  </si>
  <si>
    <t>2. STI driven Manufacturing / Industrialization and Value Addition</t>
  </si>
  <si>
    <t xml:space="preserve">Manufacturing value added as % of GDP </t>
  </si>
  <si>
    <t>3. Economic diversification and resilience</t>
  </si>
  <si>
    <t>Research and development expenditure as a proportion of GDP</t>
  </si>
  <si>
    <t xml:space="preserve">4. Hospitality / Tourism </t>
  </si>
  <si>
    <t>Tourism value added as a proportion of GDP</t>
  </si>
  <si>
    <t>Goal 5: Modern Agriculture for increased productivity and production</t>
  </si>
  <si>
    <t>1. Agricultural  productivity and production</t>
  </si>
  <si>
    <t>Goal 6: Blue/ ocean economy for accelerated economic growth</t>
  </si>
  <si>
    <t>1. Marine resources  and Energy</t>
  </si>
  <si>
    <t>Fishery Sector value added ( as share of GDP)</t>
  </si>
  <si>
    <t>Marine biotechnology value added as a % of GDP</t>
  </si>
  <si>
    <t>Goal 7: Environmentally sustainable climate resilient economies and communities</t>
  </si>
  <si>
    <t>1. Bio-diversity, conservation and sustainable natural resource management.</t>
  </si>
  <si>
    <t>% of agricultural land placed under sustainable land management practice.</t>
  </si>
  <si>
    <t xml:space="preserve">a) % of terrestrial and inland water areas preserved.                                                         </t>
  </si>
  <si>
    <t>ASPIRATION 2:  AN INTEGRATED CONTINENT, POLITICALLY UNITED AND BASED ON THE IDEALS OF PAN-AFRICANISM AND A VISION OF AFRICAN RENAISSANCE</t>
  </si>
  <si>
    <t>Goal 8:  United Africa (Federal or Confederate)</t>
  </si>
  <si>
    <t>1. Political and economic integration</t>
  </si>
  <si>
    <t>Goal 9: Key Continental Financial and Monetary Institutions established and functional</t>
  </si>
  <si>
    <t>Goal 10: World Class Infrastructure criss-crosses Africa</t>
  </si>
  <si>
    <t>% of the progress made on the implementation of Trans-African Highway Missing link</t>
  </si>
  <si>
    <t xml:space="preserve">%  of the progress made on the implementation the African High Speed Rail Network </t>
  </si>
  <si>
    <t>No. of protocols on African open skies Implemented</t>
  </si>
  <si>
    <t>No. of Mega Watts added into the national grid</t>
  </si>
  <si>
    <t xml:space="preserve"> Proportion of population using mobile phones</t>
  </si>
  <si>
    <t>% of ICT contribution to GDP</t>
  </si>
  <si>
    <t>ASPIRATION 3: AN AFRICA OF GOOD GOVERNANCE, DEMOCRACY, RESPECT FOR HUMAN RIGHTS, JUSTICE AND THE RULE OF LAW</t>
  </si>
  <si>
    <t>Goal 11:  Democratic values, practices, universal principles of human rights, justice and the rule of law entrenched</t>
  </si>
  <si>
    <t>1. Democratic Values and Practices are the Norm</t>
  </si>
  <si>
    <t>% of people who believe that there are effective mechanisms and oversight institutions to hold their leaders accountable</t>
  </si>
  <si>
    <t xml:space="preserve">% of people who believe that the elections are free, fair and transparent.                     </t>
  </si>
  <si>
    <t>- Signed</t>
  </si>
  <si>
    <t>- Ratified</t>
  </si>
  <si>
    <t xml:space="preserve">- Integrated the African Charter on democracy </t>
  </si>
  <si>
    <t>Goal 12: Capable institutions and transformed leadership in place at all levels</t>
  </si>
  <si>
    <t>1. Institutions and Leadership</t>
  </si>
  <si>
    <t>Proportion of persons who had at least one contact with  a public official and who paid a bribe to a public official or were asked for a bribe by these public officials during the previous twelve months</t>
  </si>
  <si>
    <t>ASPIRATION 4.  A PEACEFUL AND SECURE AFRICA</t>
  </si>
  <si>
    <t>Goal 13: Peace, Security and Stability are preserved</t>
  </si>
  <si>
    <t>Maintenance and Restoration of Peace and Security</t>
  </si>
  <si>
    <t xml:space="preserve">Conflict related deaths per 100,000 population </t>
  </si>
  <si>
    <t xml:space="preserve">1. Institutional Structure for AU Instruments on Peace and Security </t>
  </si>
  <si>
    <t xml:space="preserve">Number of armed conflicts </t>
  </si>
  <si>
    <t>Goal 15: A Fully Functional and Operational African Peace and Security Architecture</t>
  </si>
  <si>
    <t>1. Operationalization of APSA Pillars</t>
  </si>
  <si>
    <t>Existence of a national peace council.</t>
  </si>
  <si>
    <t>ASPIRATION 5:   AFRICA WITH A STRONG CULTURAL IDENTITY, COMMON HERITAGE, VALUES AND ETHICS</t>
  </si>
  <si>
    <t>Goal 16: African Cultural Renaissance is pre-eminent</t>
  </si>
  <si>
    <t>1. Values and  Ideals of Pan Africanism</t>
  </si>
  <si>
    <t>Proportion of the content of the curricula on indigenous African culture, values and language in primary and secondary schools</t>
  </si>
  <si>
    <t>ASPIRATION 6. AN AFRICA WHOSE DEVELOPMENT IS PEOPLE DRIVEN, RELYING ON THE POTENTIAL OF THE AFRICAN PEOPLE</t>
  </si>
  <si>
    <t>Goal 17:  Full Gender Equality in All Spheres of Life</t>
  </si>
  <si>
    <t>1. Women Empowerment</t>
  </si>
  <si>
    <t>Proportion of seats held by women in national parliaments, regional and local bodies</t>
  </si>
  <si>
    <t>Goal 18: Engaged and Empowered Youth and Children</t>
  </si>
  <si>
    <t>1. Youth Empowerment and Children’s Rights</t>
  </si>
  <si>
    <t>% of children engaged in  child labour</t>
  </si>
  <si>
    <t>% of children engaged in child marriage</t>
  </si>
  <si>
    <t xml:space="preserve">%  of children who are victims of human trafficking </t>
  </si>
  <si>
    <t xml:space="preserve"> Level of implementation of the provisions of the African Charter on the Rights of the Youth by Member States</t>
  </si>
  <si>
    <t>ASPIRATION 7:   AFRICA AS A STRONG AND INFLUENTIAL GLOBAL PARTNER</t>
  </si>
  <si>
    <t>Goal 19: Africa as a major partner in global affairs and peaceful co-existence</t>
  </si>
  <si>
    <t>1. Africa’s place in global affairs</t>
  </si>
  <si>
    <t>Existence of formal institutional arrangements for the coordination of the compilation of official statistics</t>
  </si>
  <si>
    <t>Goal 20: Africa takes full responsibility for financing her development</t>
  </si>
  <si>
    <t>1. Capital Markets</t>
  </si>
  <si>
    <t xml:space="preserve">2. Fiscal system and Public Sector Revenues </t>
  </si>
  <si>
    <t>3. Development Assistance</t>
  </si>
  <si>
    <t>Total ODA as a percentage of the national budget</t>
  </si>
  <si>
    <t>Resources raised through innovative financing mechanisms as a % of national budget</t>
  </si>
  <si>
    <t xml:space="preserve">Indicator Performance (IP) </t>
  </si>
  <si>
    <t>P- Weight</t>
  </si>
  <si>
    <t>Corresponding SDG Indicator</t>
  </si>
  <si>
    <t>T1 - Weight</t>
  </si>
  <si>
    <t>NIL</t>
  </si>
  <si>
    <t>I1 - Weight</t>
  </si>
  <si>
    <t>8.1.1 Annual growth rate of real GDP per capita</t>
  </si>
  <si>
    <t>8.5.2 Unemployment rate, by sex, age group and persons with disabilities</t>
  </si>
  <si>
    <t>10.2.1 Proportion of people living below 50 per cent of median income, by age, sex and persons with disabilities</t>
  </si>
  <si>
    <t>6.1.1 Percentage of population using safely managed drinking water services</t>
  </si>
  <si>
    <t>7.1.1 Proportion of population with access to electricity</t>
  </si>
  <si>
    <t>A63 Indicators</t>
  </si>
  <si>
    <t>Remarks</t>
  </si>
  <si>
    <t>Expected Performance by 2019</t>
  </si>
  <si>
    <t>Performance Rating</t>
  </si>
  <si>
    <t>Priority Area Dashboard</t>
  </si>
  <si>
    <t>Expected Increase / Reduction by 2019</t>
  </si>
  <si>
    <t>1. Communications and Infrastructure Connectivity</t>
  </si>
  <si>
    <t>Baseline</t>
  </si>
  <si>
    <t>Data Sources</t>
  </si>
  <si>
    <t>1.1.1 Increase 2013 per capita income by at least 30%</t>
  </si>
  <si>
    <t>1.1.2 Reduce 2013 unemployment rate by at least  25%</t>
  </si>
  <si>
    <t>1.3.1 Increase access and use of electricity and internet by at least 50% of the 2013 levels</t>
  </si>
  <si>
    <t>2.1.1 Enrolment rate for early childhood education is at least 300% of the 2013 rate</t>
  </si>
  <si>
    <t xml:space="preserve">3.1.1 Increase 2013 levels of access to sexual and reproductive health services to women by at least 30% </t>
  </si>
  <si>
    <t>3.1.3 Reduce the  2013 incidence  of HIV/AIDs, Malaria and TB by at least 80%</t>
  </si>
  <si>
    <t>3.1.4 Access to Anti-Retroviral (ARV) drugs  is 100%</t>
  </si>
  <si>
    <t>4.2.1 Real value of manufacturing in GDP is 50% more than the 2013 level.</t>
  </si>
  <si>
    <t>4.3.1 At least 1% of GDP is allocated to science, technology and innovation research and STI driven entrepreneurship development.</t>
  </si>
  <si>
    <t>5.1.1 Double  agricultural total factor productivity</t>
  </si>
  <si>
    <t>6.1.1 At least 50% increase in value addition in the fishery sector  in real term is attained by 2023</t>
  </si>
  <si>
    <t>6.1.2 Marine bio-technology contribution to GDP is increased in real terms by at least 50% from the 2013 levels</t>
  </si>
  <si>
    <t>7.1.1 At least 30% of agricultural land is placed under sustainable land management practice</t>
  </si>
  <si>
    <t>7.1.2 At least 17%  of terrestrial and inland water and 10%  of coastal and marine areas are preserved</t>
  </si>
  <si>
    <t>8.1.1 Active member of the African Free Trade Area</t>
  </si>
  <si>
    <t>8.1.2 Volume of intra-African trade is at least three times the 2013 level</t>
  </si>
  <si>
    <t>10.1.1 At least national readiness for implementation of the trans African Highway Missing link is achieved</t>
  </si>
  <si>
    <t>10.1.2 At least national readiness for in country connectivity to the African High Speed Rail Network is achieved by 2019</t>
  </si>
  <si>
    <t xml:space="preserve">10.1.3 Skies fully opened to African airlines </t>
  </si>
  <si>
    <t xml:space="preserve">10.1.4 Increase electricity generation and distribution by at least 50% by 2020  </t>
  </si>
  <si>
    <t>10.1.5 Double ICT penetration and contribution to GDP</t>
  </si>
  <si>
    <t xml:space="preserve">
16.5.1 Proportion of persons who had at least one contact with a public official and who paid a bribe to a public official, or were asked for a bribe by those public officials, during the previous 12 months</t>
  </si>
  <si>
    <t>11.1.1 At least 70% of the people believe that they are empowered and are holding their leaders accountable</t>
  </si>
  <si>
    <t>11.1.2 At least 70% of  the people perceive that the press / information is free and freedom of expression  pertains</t>
  </si>
  <si>
    <t>11.1.3 At least 70% of the public perceive elections are free, fair and transparent</t>
  </si>
  <si>
    <t>11.1.4 African Charter on Democracy is signed, ratified and domesticated by 2020</t>
  </si>
  <si>
    <t>12.1.1 At least 70% of the public acknowledge  the public service to be professional, efficient, responsive, accountable, impartial  and corruption free</t>
  </si>
  <si>
    <t xml:space="preserve">13.1.1 Level of conflict emanating from ethnicity, all forms of exclusion, religious and political differences is at most 50% of 2013 levels. </t>
  </si>
  <si>
    <t>14.1.1 Silence All Guns by 2020</t>
  </si>
  <si>
    <t>15.1.1 National Peace Council is established by 2016</t>
  </si>
  <si>
    <t>16.1.1 At least 60% of content in educational curriculum is on indigenous African culture, values and language targeting primary and secondary schools</t>
  </si>
  <si>
    <t>2. Violence &amp; Discrimination
against Women and Girls</t>
  </si>
  <si>
    <t>Proportion of women and girls subjected to sexual and physical violence</t>
  </si>
  <si>
    <t>Proportion of children whose births are registered in the first year</t>
  </si>
  <si>
    <t>17.2.1 Reduce 2013 levels of violence against women and Girls by at least 20%</t>
  </si>
  <si>
    <t>17.2.2 Reduce by 50% all harmful social norms and customary practices against women and girls and those that promote violence and discrimination against women and girls</t>
  </si>
  <si>
    <t>17.2.3 Eliminate all barriers to quality education, health and social services for Women and Girls by 2020</t>
  </si>
  <si>
    <t>Number of New HIV infections per 1000 population</t>
  </si>
  <si>
    <t>TB incedence per 1000 persons per year</t>
  </si>
  <si>
    <t>Malaria incidence per 1000 per year</t>
  </si>
  <si>
    <t>Calculating expected values for  2% annual decrease</t>
  </si>
  <si>
    <t xml:space="preserve">2.1.2 Enrolment rate for basic education is 100% </t>
  </si>
  <si>
    <t>2.1.3 Increase the number of qualified teachers by at least 30% with focus on STEM</t>
  </si>
  <si>
    <t xml:space="preserve">2.1.4 Universal secondary school (including technical high schools) with enrolment rate of 100% </t>
  </si>
  <si>
    <t xml:space="preserve">Proportion of teachers qualified in Science or Technology or Engineering or Mathematics by Sex and Level (Primary and Secondary)  </t>
  </si>
  <si>
    <t>Secondary school net enrolment rate by Sex</t>
  </si>
  <si>
    <t>5.1.2 At least 10% of small-scale farmers graduate into small-scale commercial farming and those graduating at least 30% should be women.</t>
  </si>
  <si>
    <t>3.1.2 Reduce 2013 maternal mortality rates by at least 50%</t>
  </si>
  <si>
    <t xml:space="preserve">18.1.1 Reduce 2013 rate of youth unemployment by at least 25%; in particular female youth </t>
  </si>
  <si>
    <t>18.1.2 End all forms of violence, child labour exploitation, child marriage and human trafficking</t>
  </si>
  <si>
    <t>18.1.3 Full implementation of the provision of African Charter on the Rights of the Youth is attained</t>
  </si>
  <si>
    <t>17.8.1 Proportion of individuals using the Internet</t>
  </si>
  <si>
    <t>4.2.2 Participation rate in organized learning (one year before the official primary entry age), by sex</t>
  </si>
  <si>
    <t>4.1.1 Proportion of children: (b) at the end of primary; and achieving at least a minimum proficiency level in (i) reading and (ii) mathematics, by sex</t>
  </si>
  <si>
    <t>4.c.1 Proportion of teachers in: (a) pre-primary; (b) primary; (c) lower secondary; and (d) upper secondary education who have received at least the minimum organized teacher training (e.g. pedagogical training) pre-service or in-service required for teaching at the relevant level in a given country</t>
  </si>
  <si>
    <t>3.7.1 Proportion of women of reproductive age (aged 15–49 years) who have their need for family planning satisfied with modern methods</t>
  </si>
  <si>
    <t>3.1.1 Maternal mortality ratio</t>
  </si>
  <si>
    <t>3.2.2 Neonatal mortality rate</t>
  </si>
  <si>
    <t>3.2.1 Under‑5 mortality rate</t>
  </si>
  <si>
    <t>3.3.1 Number of new HIV infections per 1,000 uninfected population, by sex, age and key populations</t>
  </si>
  <si>
    <t>3.3.2 Tuberculosis incidence per 100,000 population</t>
  </si>
  <si>
    <t>3.3.3 Malaria incidence per 1,000 population</t>
  </si>
  <si>
    <t>9.2.1 Manufacturing value added as a proportion of GDP and per capita</t>
  </si>
  <si>
    <t>9.5.1 Research and development expenditure as a proportion of GDP</t>
  </si>
  <si>
    <t>8.9.1 Tourism direct GDP as a proportion of total GDP and in growth rate</t>
  </si>
  <si>
    <t>2.3.1 Volume of production per labour unit by classes of farming/pastoral/forestry enterprise size</t>
  </si>
  <si>
    <t>14.7.1 Sustainable fisheries as a proportion of GDP in small island developing States, least developed countries and all countries</t>
  </si>
  <si>
    <t>2.4.1 Proportion of agricultural area under productive and sustainable agriculture</t>
  </si>
  <si>
    <t>15.1.2 Proportion of important sites for terrestrial and freshwater biodiversity that are covered by protected areas, by ecosystem type</t>
  </si>
  <si>
    <t>5.b.1 Proportion of individuals who own a mobile telephone, by sex</t>
  </si>
  <si>
    <t>16.7.2 Proportion of population who believe decision-making is inclusive and responsive, by sex, age, disability and population group</t>
  </si>
  <si>
    <t>16.10.1 Number of verified cases of killing, kidnapping, enforced disappearance, arbitrary detention and torture of journalists, associated media personnel, trade unionists and human rights advocates in the previous 12 months</t>
  </si>
  <si>
    <t>16.1.2 Conflict-related deaths per 100,000 population, by sex, age and cause</t>
  </si>
  <si>
    <t>5.2.1 Proportion of ever-partnered women and girls aged 15 years and older subjected to physical, sexual or psychological violence by a current or former intimate partner in the previous 12 months, by form of violence and by age</t>
  </si>
  <si>
    <t>5.3.2 Proportion of girls and women aged 15–49 years who have undergone female genital mutilation/cutting, by age</t>
  </si>
  <si>
    <t>8.5.2 Unemployment rate, by sex, age and persons with disabilities</t>
  </si>
  <si>
    <t>8.7.1 Proportion and number of children aged 5–17 years engaged in child labour, by sex and age</t>
  </si>
  <si>
    <t>5.3.1 Proportion of women aged 20–24 years who were married or in a union before age 15 and before age 18</t>
  </si>
  <si>
    <t>16.2.2 Number of victims of human trafficking per 100,000 population, by sex, age and form of exploitation</t>
  </si>
  <si>
    <t>17.18.2 Number of countries that have national statistical legislation that complies with the Fundamental Principles of Official Statistics</t>
  </si>
  <si>
    <t>17.18.3 Number of countries with a national statistical plan that is fully funded and under implementation, by source of funding</t>
  </si>
  <si>
    <t>17.1.2 Proportion of domestic budget funded by domestic taxes</t>
  </si>
  <si>
    <t>17.3.1 Foreign direct investment (FDI), official development assistance and South-South cooperation as a proportion of total domestic budget</t>
  </si>
  <si>
    <t>Total</t>
  </si>
  <si>
    <t>Member State</t>
  </si>
  <si>
    <t>Member States</t>
  </si>
  <si>
    <t>Algeria</t>
  </si>
  <si>
    <t>Burkina Faso</t>
  </si>
  <si>
    <t>Cameroon</t>
  </si>
  <si>
    <t>Central Africa Republic</t>
  </si>
  <si>
    <t>Chad</t>
  </si>
  <si>
    <t>Congo (Republic of the)</t>
  </si>
  <si>
    <t>Cote D'Ivoire</t>
  </si>
  <si>
    <t>Eswatini</t>
  </si>
  <si>
    <t>Ghana</t>
  </si>
  <si>
    <t>Lesotho</t>
  </si>
  <si>
    <t>Mauritania</t>
  </si>
  <si>
    <t>Mauritius</t>
  </si>
  <si>
    <t>Rwanda</t>
  </si>
  <si>
    <t>Sierra Leone</t>
  </si>
  <si>
    <t>South Africa</t>
  </si>
  <si>
    <t>Tunisia</t>
  </si>
  <si>
    <t>Egypt</t>
  </si>
  <si>
    <t>19.1.1 National statistical system fully functional</t>
  </si>
  <si>
    <t xml:space="preserve">20.1.1 National capital market finances  at least 10% of development expenditure </t>
  </si>
  <si>
    <t>20.1.2 Tax and non-tax revenue of all levels of government should cover at least 75% of current and development expenditure</t>
  </si>
  <si>
    <t>20.1.3 Proportion of aid in the national budget is at most  25% of 2013 level</t>
  </si>
  <si>
    <t>Current Indicator Value</t>
  </si>
  <si>
    <t>Base value (2013)</t>
  </si>
  <si>
    <t>b) % of households using electricity</t>
  </si>
  <si>
    <t>a)% of households with access to electricity</t>
  </si>
  <si>
    <t>% of children of pre-school age attending pre school</t>
  </si>
  <si>
    <t>% of eligible population with HIV having access to Anti-Retroviral Treatment</t>
  </si>
  <si>
    <t>Agricultural total factor productivity</t>
  </si>
  <si>
    <t xml:space="preserve">% of small-scale farmers graduating into small-scale commercial farming by Sex </t>
  </si>
  <si>
    <t>1. Financial and Monetary Institutions</t>
  </si>
  <si>
    <t>Angola</t>
  </si>
  <si>
    <t>Benin</t>
  </si>
  <si>
    <t>Botswana</t>
  </si>
  <si>
    <t>Burundi</t>
  </si>
  <si>
    <t>Cabo Verde</t>
  </si>
  <si>
    <t>Comoros</t>
  </si>
  <si>
    <t>Democratic Republic of Congo</t>
  </si>
  <si>
    <t>Djibouti</t>
  </si>
  <si>
    <t>Equatorial Guinea</t>
  </si>
  <si>
    <t>Ethiopia</t>
  </si>
  <si>
    <t>Gabon</t>
  </si>
  <si>
    <t>Gambia</t>
  </si>
  <si>
    <t>Guinea</t>
  </si>
  <si>
    <t>Guinea Bissau</t>
  </si>
  <si>
    <t>Kenya</t>
  </si>
  <si>
    <t>Liberia</t>
  </si>
  <si>
    <t>Libya</t>
  </si>
  <si>
    <t>Madagascar</t>
  </si>
  <si>
    <t>Malawi</t>
  </si>
  <si>
    <t>Mali</t>
  </si>
  <si>
    <t>Morocco</t>
  </si>
  <si>
    <t>Mozambique</t>
  </si>
  <si>
    <t>Namibia</t>
  </si>
  <si>
    <t>Niger</t>
  </si>
  <si>
    <t>Nigeria</t>
  </si>
  <si>
    <t>Sao Tome and Principe</t>
  </si>
  <si>
    <t>Senegal</t>
  </si>
  <si>
    <t>Seychelles</t>
  </si>
  <si>
    <t>Somalia</t>
  </si>
  <si>
    <t>South Sudan</t>
  </si>
  <si>
    <t>Sudan</t>
  </si>
  <si>
    <t>Togo</t>
  </si>
  <si>
    <t>Uganda</t>
  </si>
  <si>
    <t>Tanzania</t>
  </si>
  <si>
    <t>Zambia</t>
  </si>
  <si>
    <t>Zimbabwe</t>
  </si>
  <si>
    <t>Eritrea</t>
  </si>
  <si>
    <t>Sahrawi Arab Democratic Republic</t>
  </si>
  <si>
    <t>Net enrolment rate by sex  and age in primary school</t>
  </si>
  <si>
    <t>Existence of a Continental Free Trade Area  that is ratified by all Member States</t>
  </si>
  <si>
    <t>17.1.1 Equal economic rights for women, including the rights to own and inherit property, sign a contract, save, register and manage a business and own and operate a bank account by 2026</t>
  </si>
  <si>
    <t>17.1.2 At least 30% of all elected officials at local, regional and national levels are Women as well as in judicial institutions</t>
  </si>
  <si>
    <t>Adoption of statistical legislation that complies with fundamental principles of official statistics</t>
  </si>
  <si>
    <t>Proportion of national budget for the implementation of functional statistical system</t>
  </si>
  <si>
    <t>Total tax revenue as a % of GDP</t>
  </si>
  <si>
    <t>9.1.1 Fast Track realization of the Continental Free Trade Area</t>
  </si>
  <si>
    <t>1.2.1 Reduce stunting in children to 10% and underweight to 5%.</t>
  </si>
  <si>
    <t>1.2.2 Reduce 2013 level of proportion of the population without access to safe drinking water by 95%.</t>
  </si>
  <si>
    <t>4.4.1 Contribution of tourism to GDP in real terms is increased by at least 100%.</t>
  </si>
  <si>
    <t xml:space="preserve">% of people who perceive that there is freedom of the press. </t>
  </si>
  <si>
    <r>
      <t>Goal 14:  A Stable and Peaceful Africa</t>
    </r>
    <r>
      <rPr>
        <sz val="9"/>
        <rFont val="Arial"/>
        <family val="2"/>
      </rPr>
      <t xml:space="preserve"> </t>
    </r>
  </si>
  <si>
    <t xml:space="preserve">Proportion of women in total agricultural population with ownership or secure rights over agricultural land             </t>
  </si>
  <si>
    <t>5.a.1 (a) Proportion of total agricultural population with ownership or secure rights over agricultural land by sex and (b) share of women among owners or rights-bearers of agricultural land, by type of tenure</t>
  </si>
  <si>
    <t>% of women aged 15-49 who have access to sexual and reproductive health service in the last 12 months</t>
  </si>
  <si>
    <t>Unemployment rate by age group, by sex</t>
  </si>
  <si>
    <t xml:space="preserve">5.5.1 Proportion of seats held by women in: (a) National Parliements  and (b) Local Governments </t>
  </si>
  <si>
    <t>Proportion of girls and women aged 15-49 years who have undergone female genital mutilation/ cutting by age</t>
  </si>
  <si>
    <t>16.9.1 Proportion of children under 5 years of age whose births have been registered with a civil authority, by age</t>
  </si>
  <si>
    <t>Unemployment rate of youth, by sex</t>
  </si>
  <si>
    <t>Agenda 2063 First Ten Year Implementation Plan (FTYIP) Progress Reporting Template</t>
  </si>
  <si>
    <t>4.1.1 Annual GDP growth rate of  at least 7%</t>
  </si>
  <si>
    <t>Real GDP</t>
  </si>
  <si>
    <t xml:space="preserve">No. of Non-tariff barriers (NTBs) eliminated </t>
  </si>
  <si>
    <t>Change in value of intra-African trade per annum (in US $)</t>
  </si>
  <si>
    <t xml:space="preserve">Proportion of public sector budget funded by national capital markets </t>
  </si>
  <si>
    <t>INSAE</t>
  </si>
  <si>
    <t>INSAE (ETVA 2015, EMICOV 2011 )</t>
  </si>
  <si>
    <t>INSAE EDS-2018, EDS-2012)</t>
  </si>
  <si>
    <t>INSAE, TBS (valeur de 2018, https://leconomistebenin.com/approvisionnement-en-eau-des-defis-majeurs-malgre-des-efforts-consequents)</t>
  </si>
  <si>
    <t xml:space="preserve"> Taux de desserte en eau potable en milieu rural (%) =100 × Nombre EPE fonctionnels x Norme de desserte /Population à desservir</t>
  </si>
  <si>
    <t>Revue des indicateurs des cibles prioritaires des ODD, DPP/ME, DGCS-ODD, 2018</t>
  </si>
  <si>
    <t>Proxi: Taux d'électrification. Valeur actuelle celle de 2017</t>
  </si>
  <si>
    <t>INSAE, EDS 2018 pour valeur actuel, EDS 2011-2012 pour valeur de base</t>
  </si>
  <si>
    <t>Proxi: Pourcentage de menage ayant l'ectricite dans le logement</t>
  </si>
  <si>
    <t>Proxi:Pourcentage de ménages possédant</t>
  </si>
  <si>
    <t>ANUAIRE STATISTIQUE ENSEIGNEMENT PRIMAIRE, Valeur actuelle 2018 a confirmer</t>
  </si>
  <si>
    <t>Proxi:Taux Brut de Préscolarisation</t>
  </si>
  <si>
    <t>INSAE, EDS 2018 pour valeur actuel, EDS 2011-2012 pour valeur de base Tableau 7.1</t>
  </si>
  <si>
    <t>Proxi: Pourcentage de demande satisfaite en matière de planification familiale des femmes actuellement en union(besoins satisfaits divisés par la demande totale).</t>
  </si>
  <si>
    <t xml:space="preserve">INSAE, EDS 2018 pour valeur actuel (Tableau 15.5), EDS 2011-2012 pour valeur de base </t>
  </si>
  <si>
    <t>INSAE, EDS 2018 pour valeur actuel (Tableau 12.1), MICS 2014 pour valeur de base</t>
  </si>
  <si>
    <t>Quotients de mortalité néonatale sur la periode de 5 ans ayant précédé l’enquête</t>
  </si>
  <si>
    <t>Quotients de mortalité infanto-juvénile des enfants de moins de 5 ans pour la période des 5 années ayant précédé l’enquête (Probabilité de décéder entre la naissance et le cinquième anniversaire)</t>
  </si>
  <si>
    <t>ANNUAIRE MS Valeur actuelle 2017 (Tableau 94), valeur de base 2014</t>
  </si>
  <si>
    <t>Prevalence VIH/SIDA</t>
  </si>
  <si>
    <t>ANNUAIRE MS Valeur actuelle 2017 (Tableau 94), valeur de base 2012</t>
  </si>
  <si>
    <t>Proxi: Taux Notification (pour 100 000 habitants)-TB Ttes formes divise par 100</t>
  </si>
  <si>
    <t>ANNUAIRE MS Valeur actuelle 2017 (Tableau 86), valeur de base TBS 2013 INSAE</t>
  </si>
  <si>
    <t>Revue des indicateurs des cibles prioritaires des ODD, PSLS/MS, DGCS-ODD, 2018
Valeur actuelle 2017, Valeur de base 2015</t>
  </si>
  <si>
    <t>Proxi: Taux de couverture en ARV des PVVIH</t>
  </si>
  <si>
    <t>INSAE 2019</t>
  </si>
  <si>
    <t>Valeur actuelle estimation 2018, valeur de base: valeur retropolee de 2013 des comptes nationaux</t>
  </si>
  <si>
    <t>Proxi: Poids du secteur manufacturier  (Industries Agro-alimentaires+Autres Industries manufacturières) dans le PIB - nouvelle serie des comptes nationaux annee de base 2015</t>
  </si>
  <si>
    <t>INSAE, 2019</t>
  </si>
  <si>
    <t>Nouvelle serie des comptes nationaux annee de base 2015 (Proxi: Hébergement et restauration)</t>
  </si>
  <si>
    <t>INSAE, Estimation provisoire 2019</t>
  </si>
  <si>
    <t>0.7*(Valeur courantes de la production de la branche agriculture/Effectifs employés dans la branche agriculture)+0.3*(Valeur courantes de la production de la branche agriculture/Excedent brut d'exploitation dans la branche agriculture)</t>
  </si>
  <si>
    <t>INSAE, EMICoV, Valeur actuelle Emicov 2015, valeur de reference Emicov 2011</t>
  </si>
  <si>
    <t xml:space="preserve">Proxi: Pourcentage des population agricoles pour compte propre </t>
  </si>
  <si>
    <t>Nouvelle serie des comptes nationaux annee de base 2015 (Proxi: poids de la valeur ajoutee de la branche "Pêche, Sylviculture et exploitation forestière")</t>
  </si>
  <si>
    <t>Assemblee nationale</t>
  </si>
  <si>
    <t>Signe mais non encore ratifier</t>
  </si>
  <si>
    <t xml:space="preserve">INSAE, EDS 2018 pour valeur actuel, EDS 2011-2012 pour valeur de base </t>
  </si>
  <si>
    <t>Proportion de population ayant acces a l'electricite</t>
  </si>
  <si>
    <t>INSAE, EDS 2018 pour valeur actuel (Tableau 2.5), EDS 2011-2012 pour valeur de base (Tableau 2.4)</t>
  </si>
  <si>
    <t>Pourcentage de ménages possédant de Téléphone portable</t>
  </si>
  <si>
    <t>INSAE (ETVA 2015 et EMICoV 2011)</t>
  </si>
  <si>
    <t>Taux d'ecces au téléphone mobile. Valeur actuelle ETVA 2015, valeur de base, Emicov 2011)</t>
  </si>
  <si>
    <t>INSAE, EMICOV, Valeur actuelle: emicov 2015, valeur de base : emicov 2011</t>
  </si>
  <si>
    <t>Pourcentage de la population qui pense que l'administration fonction bien</t>
  </si>
  <si>
    <t>Pourcentage de la population qui pense que la liberté expression est respectée</t>
  </si>
  <si>
    <t>Pourcentage de la population qui pense que la classe politique reflete préoccupations de la population</t>
  </si>
  <si>
    <t>INSAE, Valeur actuelle: EMICoV 2015
Valeur de base: EMICoV 2011</t>
  </si>
  <si>
    <t>Pourcentage de la population personnellement victime de corruption</t>
  </si>
  <si>
    <t>DGPR</t>
  </si>
  <si>
    <t>Aucun conflit arme n'est enregistre</t>
  </si>
  <si>
    <t>INSAE, EDS et EMICOV</t>
  </si>
  <si>
    <t>INSAE, EDS 2018 pour valeur actuel (Tableau 3.8), EDS 2011-2012 pour valeur de base (Tableau 3.7)</t>
  </si>
  <si>
    <t>Proxi: Proportion des femmes de 15-49 ans employeur pour travail agricol pour  propre compte</t>
  </si>
  <si>
    <t xml:space="preserve">Rapport ODD 2018, </t>
  </si>
  <si>
    <t>Proportion de sièges occupés par des femmes dans le parlement national</t>
  </si>
  <si>
    <t>INSAE, EDS 2018 pour valeur actuel (Tableau 34), EDS 2011-2012 pour valeur de base (Tableau 18.3)</t>
  </si>
  <si>
    <t>Pourcentage d’enfants filles de 1-14 ans qui ont subi des Châtiment corporel très violents</t>
  </si>
  <si>
    <t>INSAE, EDS (valeur actuelle 2017-2018,valeur de base 2011-2012)</t>
  </si>
  <si>
    <t>Proportion d’enfants de moins de 5 ans dont la naissance a été enregistrée</t>
  </si>
  <si>
    <t>INSAE, EMICOV 2015 pour la valeur actuelle, ETVA 2012 pour la valeur de base</t>
  </si>
  <si>
    <t>2015- Taux de chômage élargi des 15-29 ans
2012- Taux de chômage des jeunes (définition stricte)</t>
  </si>
  <si>
    <t>INSAE, EDS 2018 (Tableau 18.5) et EDS 2012, Valeur de base MICS 2014 (Rapport de résultats clés)</t>
  </si>
  <si>
    <t>EDS 2018- Pourcentage d'enfant 5-14 impliques dans le travail economique
EDS 2012 Travail des enfant 5-14 ans</t>
  </si>
  <si>
    <t>CSPEF, TOFE</t>
  </si>
  <si>
    <t>Pourcentage d'investissement Financé sur ressources intérieures</t>
  </si>
  <si>
    <t>INSAE et CSPEF (TOFE)</t>
  </si>
  <si>
    <t>DGB (Loi des Finances) et , CSPEF (TOFE). Valeur actuelle annee 2018 (Ressources du budget de l'Etat issu du Rapport CNPE 1er semerte 2019), valeur de base annee 2013 (Ressources du Budget de l'Etat 2013 issues du LF2014 )</t>
  </si>
  <si>
    <t>Proxi: Part du Financement extérieur dans les ressources du budget de l'Etat</t>
  </si>
  <si>
    <t>Interim estimate 2018 current value (GDP per current head, 1USD = 555.7 in 2018 and 494.0 in 2013)</t>
  </si>
  <si>
    <t>Strictly speaking unemployment rate, 2015 value as present value, 2011 value as base value</t>
  </si>
  <si>
    <t>Current value EDS 2018, basic value EDS 2011-2012</t>
  </si>
  <si>
    <t>Overall Rating</t>
  </si>
  <si>
    <t>Ministère de l'économie, des finances et du développement/Direction générale de l'économie et de la planification/instrument automatisé de prévision 2019</t>
  </si>
  <si>
    <t>donnes en FCFA</t>
  </si>
  <si>
    <t>annuaires statistiques du Ministère de la sante 2013 et 2018  http://cns.bf/IMG/pdf/annuaire_ms_2018.pdf</t>
  </si>
  <si>
    <t>Base de données de l'inventaire national des ouvrages d'assainissement;       https://www.eauburkina.org/index.php/resultats-ino#r%C3%A9sultats-de-la-mise-%EF%BF%BD-jour-de-la-base-de-donn%C3%A9es-d-l-iventaire-national-des-ouvrages-d-approvisionnement-en-eau-potable</t>
  </si>
  <si>
    <t>donnée actuelle est de l'année 2018</t>
  </si>
  <si>
    <t>Ministère de l'énergie/ annuaires statistiques</t>
  </si>
  <si>
    <t xml:space="preserve">Ministre du Développement de l’Économie numérique et des postes </t>
  </si>
  <si>
    <t>l'indicateur  est le  taux de pénétration à l’internet. L'année de base est 2015 et la valeure actuelle de 2017 en raison de l'indisponibilité</t>
  </si>
  <si>
    <t>MENAPLN/DGESS, annuaires statistiques 2010-2018</t>
  </si>
  <si>
    <t>les données les plus recentes disponible sont celles de 2018</t>
  </si>
  <si>
    <t>Base de la Direction générale des statistiques sectorielles/INSD; 2018</t>
  </si>
  <si>
    <t>2016 est l'année de base ici pour cet indicateur proxy: c'est le taux de prévalence conceptive</t>
  </si>
  <si>
    <t>ministère de la santé/annuaire statistique 2018</t>
  </si>
  <si>
    <t>l'indicateur ici est: le taux de notification des nouveaux cas de tuberculose pour 100 000 habitants</t>
  </si>
  <si>
    <t>l'incidence ici est exprimée en nombre de cas disponible pour 2018: incidence du nombre de cas de paludisme pour 1 000 habitants</t>
  </si>
  <si>
    <t>données disponible pour 2018</t>
  </si>
  <si>
    <t>ONDD, base de données;http://www.onedd-burkina.info/</t>
  </si>
  <si>
    <t>Annuaire statistique 2017 du ministere en charge de l'énergie,Société nationale d'électricité du Burkina (SONABEL)</t>
  </si>
  <si>
    <t>l'unité est le GWH</t>
  </si>
  <si>
    <t>l'autorité de régulation des communications électroniques et des postes;http://www.arcep.bf/, données disponibles 2013 et 2017</t>
  </si>
  <si>
    <t>Banque mondiale(governance matters)</t>
  </si>
  <si>
    <t>indice d'etre à l'écoute et de rendre compte</t>
  </si>
  <si>
    <t>score, (www.rsf.org)</t>
  </si>
  <si>
    <t>score 2013 et 2019</t>
  </si>
  <si>
    <t>www.transparency.org</t>
  </si>
  <si>
    <t>indicateurs de transparency international</t>
  </si>
  <si>
    <t>www.defense.gov.bf, www.unocha.org</t>
  </si>
  <si>
    <t>Ministère de l'administration territorial/Tableau de bord de la gouvernance 2016</t>
  </si>
  <si>
    <t>les données de référence date de 2012 et la plus récente liée au dernière élection date de 2016</t>
  </si>
  <si>
    <t>annuaires statistiques 2017/du Ministère de l'action sociale</t>
  </si>
  <si>
    <t>Direction de la modernisation de l'état civil:Direction des sevices statistiques du Ministère de la santé et centres d'état civil du Burkina Faso</t>
  </si>
  <si>
    <t>donnée de référence et actuelle  date de 2015 avec l'enquete multisectorielle continue</t>
  </si>
  <si>
    <t>annuaire statistique 2018 du ministère en charge de l'action sociale</t>
  </si>
  <si>
    <t>il s'git du nombre d'enfants victime du phénomène de traite, l'année est 2014</t>
  </si>
  <si>
    <t>2018-2013</t>
  </si>
  <si>
    <t>World Bank</t>
  </si>
  <si>
    <t>Base year is 2013 and Current data  year is 2018</t>
  </si>
  <si>
    <t>2015 Labour force survey and 2016/2017 Ghana Living Standards Survey; Both produced by Ghana Statistical Service</t>
  </si>
  <si>
    <t>Base year is 2015 and  current data year is 2017</t>
  </si>
  <si>
    <t>2014 Ghana Demographic and Health Survey and 2017/2018 Multiple Indicator Cluster Survey; Both produced by Ghana Statistical Service</t>
  </si>
  <si>
    <t>Base year is 2014 and current data  year is  2018</t>
  </si>
  <si>
    <t>MICS 2017/18. Baseline figure is for 2011 (MICS 2011)</t>
  </si>
  <si>
    <t>2018 Energy Statistics; Energy Commission</t>
  </si>
  <si>
    <t>Base year 2013 and  current data year is  2018</t>
  </si>
  <si>
    <t>2012/2013 Ghana Living Standards Survey and 2016/2017 Ghana Living Standards Survey;  Both produced by Ghana Statistical Service</t>
  </si>
  <si>
    <t>Base year 2013, current data year is 2017</t>
  </si>
  <si>
    <t>Base year is 2013, current data year is 2017</t>
  </si>
  <si>
    <t>Base year is 2011.2012 and current data year is 2017/2018</t>
  </si>
  <si>
    <t>2018 Education Assessment Performance Report; Ministry of Education</t>
  </si>
  <si>
    <t>Base year is 2013/2014 and current data year is 2017/2018</t>
  </si>
  <si>
    <t>Base year is 2013/2014 and current data year is 2017/2018. The figures are for senior high schools and does not include junior high schools</t>
  </si>
  <si>
    <t>Base year is 2014, current data year is 2018</t>
  </si>
  <si>
    <t>2007 and 2017 Ghana Maternal Health Survey; Ghana Statistical Service</t>
  </si>
  <si>
    <t>Base year is 2007, current data year is 2017</t>
  </si>
  <si>
    <t>2017 Report on National and Sub-National HIV and AIDS Estimates and Projections; Ghana Aids Commission</t>
  </si>
  <si>
    <t>Base year IS 2013 and current data year is 2017</t>
  </si>
  <si>
    <t>2018 Holistic Assessment of Health Sector Programme of Work; Ministry of Health</t>
  </si>
  <si>
    <t>Base year is 2016, current data year is 2018</t>
  </si>
  <si>
    <t>Base year is 2015, current data year is 2018</t>
  </si>
  <si>
    <t>Rebased 2013-2018AnnualGross DomesticProduct; Ghana Statistical Service</t>
  </si>
  <si>
    <t>Base year 2013, current data year is 2018</t>
  </si>
  <si>
    <t>2010-2018 National Accounts, Ghana Statistical Service</t>
  </si>
  <si>
    <t>Base year is 2013 and current data year is 2017</t>
  </si>
  <si>
    <t>2017 Annual Progress Report on the implementation of Ghana Shared Growth and Development Agenda; National Development Planning Commission</t>
  </si>
  <si>
    <t>Update based on AU Websiite</t>
  </si>
  <si>
    <t>Base year 2014, current data year is 2018</t>
  </si>
  <si>
    <t>2012/2013 and 2016/2017 Ghana Living Standards Surveys; Ghana Staistical Service</t>
  </si>
  <si>
    <t>Ministry of Gende, Children and Social Protection 2018 Annual Report</t>
  </si>
  <si>
    <t>Base year is 2016, current data year is 2017</t>
  </si>
  <si>
    <t>2011 and 2017/2018 Multiple Indicator Cluster Survey; Ghana Statistical Service</t>
  </si>
  <si>
    <t>Base year is 2011 and current data year is 2018</t>
  </si>
  <si>
    <t>GLSS 6, GLSS 7</t>
  </si>
  <si>
    <t>Data is for women aged 20-24 who married before age 15</t>
  </si>
  <si>
    <t>Statistical Service Law (PNDC Law 135) established the Ghana Statistical Service</t>
  </si>
  <si>
    <t>A sysytem for coordinating and compiling official statistics exist</t>
  </si>
  <si>
    <t xml:space="preserve">2017 Fiscal Data of Ministry of Finance </t>
  </si>
  <si>
    <t>Development Assistance Committee (DAC) of OECD</t>
  </si>
  <si>
    <t>INSTITUT NATIONAL DE LA STATIQUE /COMPTE NATIONAUX</t>
  </si>
  <si>
    <t>INSTITUT NATIONAL DE LA STATIQUE/ ENQUETE LEGERE POUR L'EVALUATION DE LA PAUVRETE (2012)/Enquete Nationale de l'Emploi et du Secteur Informel en Guinée 2019</t>
  </si>
  <si>
    <t>Selon le BIT( chomage)</t>
  </si>
  <si>
    <t>INSTITUT NATIONAL DE LA STATIQUE/ ENQUETE DEMOGRAPHIQUE SANTE (2012 Base Value et 2018 Current indicator)</t>
  </si>
  <si>
    <t>INSTITUT NATIONAL DE LA STATIQUE/MICS 2016; Enquete legere pour l'evaluation de la pauvreté 2012,</t>
  </si>
  <si>
    <r>
      <t>Sources :</t>
    </r>
    <r>
      <rPr>
        <sz val="9.5"/>
        <color rgb="FF000000"/>
        <rFont val="Times New Roman"/>
        <family val="1"/>
      </rPr>
      <t xml:space="preserve"> EDS 1999, 2005, 2012 ; MICS 2016</t>
    </r>
    <r>
      <rPr>
        <sz val="10.5"/>
        <color rgb="FF000000"/>
        <rFont val="Times New Roman"/>
        <family val="1"/>
      </rPr>
      <t xml:space="preserve"> </t>
    </r>
  </si>
  <si>
    <t>Bureu de strategie et de developpement du Ministere des postes et Telecommunication</t>
  </si>
  <si>
    <t>Bureu de strategie et de developpement del'Enseignement Pre Universitaire / ANNUAIRE STATISTIQUE  (INS)</t>
  </si>
  <si>
    <t>Current indicator(BSD2018); Base value(RGPH2014)</t>
  </si>
  <si>
    <t xml:space="preserve">Current indicator (2017); </t>
  </si>
  <si>
    <t>Annuaire Statistique Enseignement Secondaire 2013</t>
  </si>
  <si>
    <t>INSTITUT NATIONAL DE LA STATIQUE/Enquete Demographique Sante 2012;2018</t>
  </si>
  <si>
    <t>Annuaire Statistique de  la santé 2013 et 2018 (BSD-SANTE)</t>
  </si>
  <si>
    <t>Annuire Statistique BSD Santé 2017</t>
  </si>
  <si>
    <t>Current indicator(2018)</t>
  </si>
  <si>
    <t>INSTITUT NATIONAL DE LA STATIQUE/ ANNUAIRE 2017</t>
  </si>
  <si>
    <t>Production de l'annuaire 2018 en cours</t>
  </si>
  <si>
    <t>CADRAGE MACROECONOMIQUE/2018</t>
  </si>
  <si>
    <t xml:space="preserve"> </t>
  </si>
  <si>
    <t>Base value 2015; current indicator value 2018</t>
  </si>
  <si>
    <t>Rapport de performance  PNDES 2018/ Cadrage macroeconomique</t>
  </si>
  <si>
    <t>Rapport de performance  PNDES 2018</t>
  </si>
  <si>
    <t>Annuire Statistique INS 2017</t>
  </si>
  <si>
    <t xml:space="preserve">cette valeur est valable pour l'ecosystème terrestre </t>
  </si>
  <si>
    <t>MINISTERE DU COMMERCE</t>
  </si>
  <si>
    <t>Non disponible</t>
  </si>
  <si>
    <t>Elaboration de la strategie nationale de mise en œuvre de la ZLECA en cour</t>
  </si>
  <si>
    <t>EDG/ Annuaire Statistique INS 2017</t>
  </si>
  <si>
    <t>Le Pays n'a pas connu de conflit</t>
  </si>
  <si>
    <t>Assemblée Nationale- Annuaire Statistique INS 2017</t>
  </si>
  <si>
    <t xml:space="preserve">Indicateur à choix multiple MICS 2016 Annuaire statistique </t>
  </si>
  <si>
    <t>Enquete démographique santé 2012/ Indicateur à choix multiple MICS 2016</t>
  </si>
  <si>
    <t>A examiner avec l'INS</t>
  </si>
  <si>
    <t xml:space="preserve">www.dpee.sn,  www.ansd.sn et calcul </t>
  </si>
  <si>
    <t>La dernière information disponible date de 2017. Cependant en 2014, il y a eu un changement de base pour le calcul du PIB.</t>
  </si>
  <si>
    <t>Enquête régional intégrée sur l'emploi et le secteur informel 2017 - ANSD</t>
  </si>
  <si>
    <t>Il s'agit du taux de chômage au sens élargi du BIT des individus de 15 ans et plus. La dernière donnée disponible correspond à 2017. Le taux de chômage BIT strict est estimé à 2,9% en 2017.</t>
  </si>
  <si>
    <t xml:space="preserve">www.ansd.sn </t>
  </si>
  <si>
    <t>La valeur actuelle correspond à 2018</t>
  </si>
  <si>
    <t>MHA, ANSD , DGPPE</t>
  </si>
  <si>
    <t>SIE/Ministere du Pétrole et des Energies</t>
  </si>
  <si>
    <t>La donnée renseignée correspond au pourcentage de la population ayant accès à l'electricité. La valeur actuelle correspond à 2018</t>
  </si>
  <si>
    <t>SIE/Ministere du Pétrole et des Energies, ANSD</t>
  </si>
  <si>
    <t>ARTP/Ministere de l'Economie numerique et des télecommunications</t>
  </si>
  <si>
    <t>DPRE, Ministere de l'education nationale</t>
  </si>
  <si>
    <t>La valeur actuelle correspond à 2017</t>
  </si>
  <si>
    <t>la proportion d’enseignement titulaire de diplôme professionnel en
sciences, technologie et maths. La derniere information disponible date 2018</t>
  </si>
  <si>
    <t>EDS/ANSD</t>
  </si>
  <si>
    <t>Il s'agit du "taux de prévalence contraceptive" dans notre système nationale de statistique. La dernière valeur disponible correspond à 2018</t>
  </si>
  <si>
    <t>La valeur de base correspond à 2010. La valeur actuelle correspond à 2018</t>
  </si>
  <si>
    <t>Les données correspondent au taux de prévalence du VIH. La valeur actuelle correspond à 2018</t>
  </si>
  <si>
    <t>Revue ministere de la santé et de l'action sociale</t>
  </si>
  <si>
    <t>www.dpee.sn</t>
  </si>
  <si>
    <t xml:space="preserve">  L'année de reference correspond à  2015 compte tenu du changement de base de calcul du PIB. La derniere information disponible date de 2018</t>
  </si>
  <si>
    <t>ANSD, DPEE</t>
  </si>
  <si>
    <t xml:space="preserve"> VA de l'industrie en pourcentage du PIB.L'année de reference correspond à  2014 compte tenu du changement de base de calcul du PIB. La derniere information disponible date de 2018</t>
  </si>
  <si>
    <t>ANSD</t>
  </si>
  <si>
    <t>Ministère du Tourisme, ANSD</t>
  </si>
  <si>
    <t>L'indicateur n'est pas renseigné par notre système national de statistique</t>
  </si>
  <si>
    <t>Revue biennale secteur Agricole</t>
  </si>
  <si>
    <t>Approché par la productivité apparente du travail (VA agriculture au sens large /Population engagée dans le secteur). L'année de référence correspond à 2014 et la dernière info disponible est 2018</t>
  </si>
  <si>
    <t>Mnistère de l'Agriculture, ANSD</t>
  </si>
  <si>
    <t>DPEE, ANSD</t>
  </si>
  <si>
    <t>L'année de référence correspond à 2014 compte tenu du changement de base de calcul du PIB. La derniere information disponible date de 2018</t>
  </si>
  <si>
    <t>Ministère de la Pêche, ANSD</t>
  </si>
  <si>
    <t>Ministère de l'Environnement et du Développement durable, ANSD</t>
  </si>
  <si>
    <t>Ministère du Commerce</t>
  </si>
  <si>
    <t>Somme des imports et des exports en milliards de FCFA. ( 2013:  exp 565,6 et imp 579,7; 2018:  exp 603,7 et imp 705,9 )</t>
  </si>
  <si>
    <t>Ministère des infrastructures, des transports routiers et du désencalvement</t>
  </si>
  <si>
    <t>Selon les critères de calculs, 3 critères sur 5 sont respectés pour 2018, soit 60% de réalisation pour 2018</t>
  </si>
  <si>
    <t>Ministère des transports aériens</t>
  </si>
  <si>
    <t>SENELEC/MPE</t>
  </si>
  <si>
    <t>Nombre de MW mis en service. La valeur actuelle correspond à 2018</t>
  </si>
  <si>
    <t>La valeur de référence correspond à 2014. La valeur actuelle correspond à 2018</t>
  </si>
  <si>
    <t>ANSD/Equête ERI-ESI 2017</t>
  </si>
  <si>
    <t>ANSD/DAPSA</t>
  </si>
  <si>
    <t>Ministere de la femme, de la famille  et du genre, HCCT</t>
  </si>
  <si>
    <t>La donnée cible correpsond à 2015. La valeur actuelle correspond à 2018</t>
  </si>
  <si>
    <t>Ministere de la femme, de la famille  et du genre, Ministère de la Justice, ANSD</t>
  </si>
  <si>
    <t>Pourcentage des enquêtées ayant estimées être victimes de violences physiques. L'année de base correspond à 2017 et la valeur actuelle correspond à 2018</t>
  </si>
  <si>
    <t>Pourcentage de femmes agées de 15-49 ans excisées. La valeur de base est 2014 et la valeur actuelle correspond à 2018</t>
  </si>
  <si>
    <t>L'indicateur suivi au niveau national est la "proportion de femmes agées de 20 à 24 ans mariées ou en couple avant l'âge de 15 ans ou de 18 ans". La dernière donnée disponible date de 2017 : 8,4% avant l'age de 15 ans et 28,8% avant 18 ans</t>
  </si>
  <si>
    <t>C’est en 2009, par la Loi n° 2009-08 du 9 janvier 2009, que le Sénégal a ratifié la Charte africaine de la jeunesse . Pour atteindre ses objectifs, une Commission a été mise sur pied, afin de veiller de manière scrupuleuse au respect des obligations souscrites dans la Charte</t>
  </si>
  <si>
    <t>La valeur de base correspond à 2014. La dernière valeur disponible est de 2018</t>
  </si>
  <si>
    <t>Existence d'une Loi statistique depuis 2004</t>
  </si>
  <si>
    <t>Ministère des Finances et du Budget, BCEAO</t>
  </si>
  <si>
    <t>En 2018, le Sénégal a levé des fonds sur les marchés financiers internationaux des eurobonds pour un montant de 2,2 milliards de dollars us.</t>
  </si>
  <si>
    <t>Ministère des Finances et du Budget</t>
  </si>
  <si>
    <t>La valeur de base correspond à 2014. Il y a eu un changement de base pour le calcul du PIB à partir de 2014.</t>
  </si>
  <si>
    <t>Ministère de l'Economie, du Plan et de la Coopération</t>
  </si>
  <si>
    <t>L'APD en % du budget .La dernière donnée disponible est de 2017. Taux de change 2013 1 $ =465,82 et 2017 1 $ =564 ,99</t>
  </si>
  <si>
    <t>Dti</t>
  </si>
  <si>
    <t>Agenda 2063 First Ten Year Implementation Plan (FTYIP) Progress Report</t>
  </si>
  <si>
    <t>A63 Targets</t>
  </si>
  <si>
    <t xml:space="preserve">Dashbaord </t>
  </si>
  <si>
    <t xml:space="preserve">Pression fiscale </t>
  </si>
  <si>
    <t>No data, Manually adjust to 0%</t>
  </si>
  <si>
    <t xml:space="preserve">                                                                                                                                                                                                                                                                                                                                                                                                                                                                                                                                                                                                                                                                                                                                                                                                                                                                                                                                                                                                                                                                                                                                                                                                                                                                                                                                                                                                                                                                                                                                                                                                                                                                                                                                                                                                                                                                                                                                                                                                                                                                                                                                                                                                                                                                                                                                                                                                                                                                                                                                                                                                                                                                                                                                                                                                                                                                                                                                                    </t>
  </si>
  <si>
    <t>Pourcentage de la population active au chomage agée de 15 à 34 ans (sens élargi BIT). La derniere information est 2017. CE taux est de 4,6% au sens strict du BIT. Only baseline provided adjusted to 0%</t>
  </si>
  <si>
    <t>L'indicateur n'est pas renseigné par notre système national de statistiques. Cependant, un Code la presse élaboré de façon inclusive et consensuelle a été adopté en 2017 avec la création du statut de journaliste. Ce code promeut l’exercice de la liberté de presse et garantir les libertés d’expression, d’opinion et de communication, dans le respect de la dignité de la personne humaine, de la vie privée des citoyens, de la sensibilité des mineurs, des droits des personnes vivant avec un handicap et de l’expression pluraliste des courants de pensée et d’opinion. No data adjusted to 0%</t>
  </si>
  <si>
    <t>L'indicateur n'est pas renseigné par notre système national de statistique.No data adjusted to 0%</t>
  </si>
  <si>
    <t>Le Sénégal est en cours de formulation de sa stratégie nationale de mise en œuvre de la ZLECA. Actuellement, plus de 40% des exportations du Sénégal sont absorbées par le marché africain. Avec la mise en œuvre de la ZLECA, ce chiffre pourrait être fortement revu à la hausse. Data updasted based on the the AU AfCFTA portal</t>
  </si>
  <si>
    <t>Completed using AU treatie data , no MS information on domestication</t>
  </si>
  <si>
    <t>Confirmed not ratified</t>
  </si>
  <si>
    <t>Aspiration</t>
  </si>
  <si>
    <t>Achievement</t>
  </si>
  <si>
    <t>Goal</t>
  </si>
  <si>
    <t>Asipiration 1</t>
  </si>
  <si>
    <t>Asipiration 2</t>
  </si>
  <si>
    <t>Asipiration 3</t>
  </si>
  <si>
    <t>Asipiration 4</t>
  </si>
  <si>
    <t>Asipiration 5</t>
  </si>
  <si>
    <t>Asipiration 6</t>
  </si>
  <si>
    <t>Asipiration 7</t>
  </si>
  <si>
    <t>Goal 1</t>
  </si>
  <si>
    <t>Goal 2</t>
  </si>
  <si>
    <t>Goal 3</t>
  </si>
  <si>
    <t>Goal 4</t>
  </si>
  <si>
    <t>Goal 5</t>
  </si>
  <si>
    <t>Goal 6</t>
  </si>
  <si>
    <t>Goal 7</t>
  </si>
  <si>
    <t>Goal 8</t>
  </si>
  <si>
    <t>Goal 9</t>
  </si>
  <si>
    <t>Goal 10</t>
  </si>
  <si>
    <t>Goal 11</t>
  </si>
  <si>
    <t>Goal 12</t>
  </si>
  <si>
    <t>Goal 13</t>
  </si>
  <si>
    <t>Goal 14</t>
  </si>
  <si>
    <t>Goal 15</t>
  </si>
  <si>
    <t>Goal 16</t>
  </si>
  <si>
    <t>Goal 17</t>
  </si>
  <si>
    <t>Goal 18</t>
  </si>
  <si>
    <t>Decription</t>
  </si>
  <si>
    <t>Level of Result</t>
  </si>
  <si>
    <t>Goal/Aspriration</t>
  </si>
  <si>
    <t>Row Labels</t>
  </si>
  <si>
    <t>Indicator Performance</t>
  </si>
  <si>
    <t>Annuaire statistique du Mali</t>
  </si>
  <si>
    <t>EMOP 2015/2016 (Passage1)</t>
  </si>
  <si>
    <t>EDS 2013 / EDS 2018</t>
  </si>
  <si>
    <t>EMOP 2019/2020 (Passage1)</t>
  </si>
  <si>
    <t>Updated based on the AU Web-portal</t>
  </si>
  <si>
    <t>Updated base on the AU web-portal</t>
  </si>
  <si>
    <t>Updated based on AU webportal</t>
  </si>
  <si>
    <t>GDP Estimates 2013/14 - 2017/18, UBOS</t>
  </si>
  <si>
    <t>Updated based on AU Webportal</t>
  </si>
  <si>
    <t>UNGBS 2014 and UNGPSS 2018</t>
  </si>
  <si>
    <t>Updsted based on the AU Web-portal</t>
  </si>
  <si>
    <t>Education Reports; 2014 and 2018</t>
  </si>
  <si>
    <t>No data provided for this indicator, 0% may not be the correct value needs verfification</t>
  </si>
  <si>
    <t>Aspiration 1:  A PROSPEROUS AFRICA BASED ON INCLUSIVE GROWTH AND SUSTAINABLE DEVELOPMENT</t>
  </si>
  <si>
    <t xml:space="preserve"> Aspiration 2:  AN INTEGRATED CONTINENT, POLITICALLY UNITED AND BASED ON THE IDEALS OF PAN-AFRICANISM AND A VISION OF AFRICAN RENAISSANCE</t>
  </si>
  <si>
    <t>Aspiration 3: AN AFRICA OF GOOD GOVERNANCE, DEMOCRACY, RESPECT FOR HUMAN RIGHTS, JUSTICE AND THE RULE OF LAW</t>
  </si>
  <si>
    <t xml:space="preserve"> Goal 12: Capable institutions and transformed leadership in place at all levels</t>
  </si>
  <si>
    <t xml:space="preserve"> Apriration 4.  A PEACEFUL AND SECURE AFRICA</t>
  </si>
  <si>
    <t xml:space="preserve">Goal 14:  A Stable and Peaceful Africa </t>
  </si>
  <si>
    <t>Aspiration 5:   AFRICA WITH A STRONG CULTURAL IDENTITY, COMMON HERITAGE, VALUES AND ETHICS</t>
  </si>
  <si>
    <t xml:space="preserve"> Goal 16: African Cultural Renaissance is pre-eminent</t>
  </si>
  <si>
    <t>Aspiration 6. AN AFRICA WHOSE DEVELOPMENT IS PEOPLE DRIVEN, RELYING ON THE POTENTIAL OF THE AFRICAN PEOPLE</t>
  </si>
  <si>
    <t xml:space="preserve"> Aspitation 7:   AFRICA AS A STRONG AND INFLUENTIAL GLOBAL PARTNER</t>
  </si>
  <si>
    <t xml:space="preserve"> Goal 20: Africa takes full responsibility for financing her development</t>
  </si>
  <si>
    <t>Apriration 1:  A properous Africa based on inclusive growth and sustainable development</t>
  </si>
  <si>
    <t xml:space="preserve"> Aspiration 2:  An integrated continent, politically united and based on the ideals of Pan - Africanism and a Vision of the African Renaissance</t>
  </si>
  <si>
    <t>Aspiration 3: An African of good governance, democracy, respect for human rigjhts and the rule of law</t>
  </si>
  <si>
    <t xml:space="preserve"> Aspiration 4. A peaceful and secure Africa</t>
  </si>
  <si>
    <t>Aspiration 5: African with a strong cultural identity, common heritage, value and beliefs</t>
  </si>
  <si>
    <t>Aspiration 6 An Africa whose development of people driven, relying on the potential of the African People</t>
  </si>
  <si>
    <t xml:space="preserve"> Aspiration 7: Africa as a strong and influential global partner</t>
  </si>
  <si>
    <t>Ministère de l'Economie / INS</t>
  </si>
  <si>
    <t xml:space="preserve">Source valeur de référence : ENSETE 2013-2014
Source valeur actuelle : ENSESI 2016 </t>
  </si>
  <si>
    <t>Sourcevaleur de base : EDS 2011-2012
Source de la valeur actuelle : MICS 2016</t>
  </si>
  <si>
    <t xml:space="preserve">Valeur actuelle : Situation de la désserte  en eau des zones affermies (ONEP_2019)
Valeur de référence :  Situation de la désserte  en eau des zones affermies (ONEP_2019)
</t>
  </si>
  <si>
    <t xml:space="preserve">Source valeur de reference(2011) Statistuque electrique CI énergie 2017
Source valeur actuelle(2018) Rapport d'activité CI énergie </t>
  </si>
  <si>
    <t>No data provided. Indicator pefrormance to be set to 0% if data is not provided</t>
  </si>
  <si>
    <t>Source Données de référence rapport ARTCI 2016
Source donnée actuelle Rapport ARTCI 2018</t>
  </si>
  <si>
    <t>The Indicator does not have a baseline value which distorts the performance ratings, If the the current data is not provided, the indicator performance rating will be adjusted to 0%.</t>
  </si>
  <si>
    <t xml:space="preserve">Source valeur de référence : EDS 2011, Depuis l'enquête EDS 2011-2012, aucune enquête n' a été ménée à ce jour pour déterminer le taux de mortalité maternelle </t>
  </si>
  <si>
    <t>The Indicator does not have a current value which distorts the performance ratings, If the the current data is not provided, the indicator performance rating will be adjusted to 0%.</t>
  </si>
  <si>
    <t xml:space="preserve">Source valeur de référence : EDS 2012, Depuis l'enquête EDS 2011-2012, aucune enquête n' a été ménée à ce jour pour déterminer le taux de mortalité maternelle </t>
  </si>
  <si>
    <t xml:space="preserve">Source valeur de référence : EDS 2013, 
Depuis l'enquête EDS 2011-2012, aucune enquête n' a été ménée à ce jour pour déterminer le taux de mortalité maternelle </t>
  </si>
  <si>
    <t xml:space="preserve">Source valeur actuelle : Rapport d'activité du PNLS (Semestre 1_ 2019)
Source valeur de référence : Rapport d'activité du PNLS (2015)
Notre système de santé collecte uniquement les données bruts en matière de nouvelles infections VIH
Une enquete est prevue en 2020
</t>
  </si>
  <si>
    <t>Source valeur actuelle : Rapport d'activité du PNLT (2018)
Source valeur de référence : Rapport d'activité du PNLT (2015)
Notre système de santé collecte  les données pour 100.000 habitants
Une enquete est prevue en 2020</t>
  </si>
  <si>
    <t>Source valeur de actuelle : RASS 2018
Source valeur de référence : RASS 2014</t>
  </si>
  <si>
    <t>Source valeur actuelle : Rapport d'activité du PNLS (Semestre 1_ 2019)
Source valeur de référence : Rapport d'activité du PNLS (2015)
Notre système de santé collecte uniquement les nombres  en matière de traitement ARV</t>
  </si>
  <si>
    <t xml:space="preserve">Ministère de l'Economie / Source valeur actuelle :  INS 
Ministère de l'Economie/ Source valeur de référence : INS </t>
  </si>
  <si>
    <t>Rapport 2018 PND 2016-2020</t>
  </si>
  <si>
    <t>Comptes Natinaux ( confirmé avec le dernier TOF)
Valeur de refernce 2011
 Valeur actuelle 2017</t>
  </si>
  <si>
    <t>Updated based on the AU web portal on the AfCFTA</t>
  </si>
  <si>
    <t>Source valeur de  référence : Rapport semestriel 1-2019 du PER 2 
Source valeur actuelle : Matrice de suivi AGEROUTE
*Etude de faisabilité technique , juridique et financière réalisée
*Existence d'un plan de mobilisation de ressources
*Mise en œuvre en cours
Soit 4 principaux éléments de préparation nationale sur 5 réalisés</t>
  </si>
  <si>
    <t>No data provided. Indicator pefrormance to be set to 0% if data is not provided (Could consider muting this indicator in the final analysis)</t>
  </si>
  <si>
    <t>Les statistiques électriques CI energie 2017. La production d'energie se situe à 2200 MW</t>
  </si>
  <si>
    <t>Rapport  ARTCI 2018</t>
  </si>
  <si>
    <t>The Indicator does not have a baseline value which distorts the performance ratings, If the the current data is not provided, the indicator performance rating will be set to 0%.</t>
  </si>
  <si>
    <t>Le système satistique national ne collecte pas pour l'instant les données sur ce indicateur</t>
  </si>
  <si>
    <t>Pas de conflit armé</t>
  </si>
  <si>
    <t>Les organes comme la CDVR, la CONARIV et Les ministères en charge de la solidarité et de la cohesion sociale ont été crées</t>
  </si>
  <si>
    <t>Document de plaidoyer du groupe d'organisation féminine pour l'égalité Homme-Femme aux postes décisionnels</t>
  </si>
  <si>
    <t>Système d'Information et de Gestion des Violences Basées sur le Genre (GBVIMS). La valeur actuelle correspond à celle de 2017.
*La valeur actuelle disponible correspond à celle de l'année 2018
*Les violences sexuelles regroupent le nombre de cas de viol, d'agression sexuelle et celui de de la mutilation génitale</t>
  </si>
  <si>
    <t>Source de donnée de base EDS 2012
Source de valeur actuelle MICS 2016</t>
  </si>
  <si>
    <t>Source VNR, Indicateur ODD consideré ici base 2012 base 2017</t>
  </si>
  <si>
    <t>ENESETE 2013-2014
ENESI 2016</t>
  </si>
  <si>
    <t>EDS-MICS 2012 
MICS 2016</t>
  </si>
  <si>
    <t>La charte signée, onstitution 2016, PNJ 2016-2020
Jeunesse 2016-2020 qui met en œuvre la charte
*Préparation de la PNJ 2021-2025
*Existence de dispositions constitutionnelles</t>
  </si>
  <si>
    <t>TOFE</t>
  </si>
  <si>
    <t xml:space="preserve">Priority Area Scores </t>
  </si>
  <si>
    <t>Indexed Priority Area Dashboard</t>
  </si>
  <si>
    <t>No data provided for this indicator. The indicator performance to be set to 0% if data is not provided.</t>
  </si>
  <si>
    <t>No data provided. All values above 1% need to be validated</t>
  </si>
  <si>
    <t>No data provided for this indicator, the performance rating for this indicators will be set to zero if data is not provided.</t>
  </si>
  <si>
    <t>Indicate the number of protocols that have been implemented  and when they were implemented under remarks</t>
  </si>
  <si>
    <t>No data provided by MS on the domestrication of the African Charter of Democracy</t>
  </si>
  <si>
    <t>Taux d'alphabetisation en langue nationale. Indicator performance to be set to 0% if data entered is correct..</t>
  </si>
  <si>
    <t>No data provided for this indicator. The indicator performance to be adjusted to 0% if data is not provided</t>
  </si>
  <si>
    <t>Enquête multisectorielle continue (EMC 2014).L’enquêtenationalesurl’emploietlesecteurinformelde2015(ENESI-2015) réalise par l'institut nationale de la statistique de la démographie (INSD) http://www.insd.bf/n/</t>
  </si>
  <si>
    <t>valeur  disponible de la donnée en 2014 et 2015 en attendant une autre enquête (unemployement baseline indicated as 0.04. Needs verification but date removed to indicate data not provided)</t>
  </si>
  <si>
    <t>donnée actuelle pour l'année 2018</t>
  </si>
  <si>
    <t>l'indicateur est le taux d'électrification national, c'est le rapport entre le nombre de ménages disposant d’énergie électrique et le nombre total de ménages du pays</t>
  </si>
  <si>
    <t>l'indicateur est le taux de couverture national, c'est le rapport entre la population résidente des localités électrifiées et la population totale du pays multipliées par 100
100</t>
  </si>
  <si>
    <t>enquête démographique et de santé (EDS 2010),enquête multisectorielle continue (EMC 2015) de l'INSD</t>
  </si>
  <si>
    <t>2010 est l'année de reference et la valeur récente est 2015, l'indicateur n'a pas pour le moment une valeur recente. Il s'agit du nombre de décès maternels pour 100 000 naissances vivantes</t>
  </si>
  <si>
    <t>enquête démographique et de santé (EDS 2010), enquête multisectorielle continue (EMC 2015) de l'INSD</t>
  </si>
  <si>
    <t>2010 est l'année de reference et la valeur récente est 2015, l'indicateur n'a pas pour le moment une valeur recente.  Il s'agit du nombre de décès néonatal pour 1000 naissances vivantes</t>
  </si>
  <si>
    <t>2010 est l'année de reference et la valeur récente est 2015,   Il s'agit du nombre de décès des enfants de moins de cinq ans  pour 1000 naissances vivantes</t>
  </si>
  <si>
    <t>No data is provided for this indicator</t>
  </si>
  <si>
    <t>Ministère en charge de la recherche/DAF</t>
  </si>
  <si>
    <t>l'indicateur ici est la part du budget national consacrée à la recherche scientifique et l'innovation/données 2013-2018. Baseline value may need further verification.</t>
  </si>
  <si>
    <t>No data is provided for this indicator. The indicator performance rating will be set to 0% if data is not provided.</t>
  </si>
  <si>
    <t xml:space="preserve">No data provided for this indicator. If data is not ptovided, the performance rating will be adjusted to 0%. </t>
  </si>
  <si>
    <t>données de référence date de 2012, il s'agit Taux d'évolution du couvert végétal au niveau national.%. Il faut préciser ici qu’il s’agit des espaces naturels ( forêt claire, forêt galerie, savane arborée, arbustive et herbeuse, steppe arbustive, arborée et herbeuse) . Les espaces agricoles ne sont pas pris en comptes. No current data is provided. Can we use the baseline as current data if no new data has been collected?</t>
  </si>
  <si>
    <t xml:space="preserve">Burkina faso only signed the AfCFTA in 2018 after long after Agenda 2063 implementation had commenced. Baseline revised from 100 to Zero. </t>
  </si>
  <si>
    <t>Nombre de décès lié au terrorisme. Conflit lié principalement aux attaques terroristes. Effect of the indicator controlled to a maximum of -100%. The figure is an outlier  and distorts the overall performance</t>
  </si>
  <si>
    <r>
      <t xml:space="preserve">la données récente en nombre de femmes et filles  est de 2017
</t>
    </r>
    <r>
      <rPr>
        <b/>
        <sz val="9"/>
        <rFont val="Calibri"/>
        <family val="2"/>
        <scheme val="minor"/>
      </rPr>
      <t>Indicators with baselines and without current values have wrongly interpreted performance. If current data is not provided, the performance rating will be set to 0%</t>
    </r>
  </si>
  <si>
    <t xml:space="preserve">enquête démographique et de santé (EDS 2010), enquete multisectorielle continue-volet santé 2015, </t>
  </si>
  <si>
    <t xml:space="preserve">il s'agit ici du taux de prévalence de l'excision de 15-49. les données disponibles sont de 2010 et de 2015
</t>
  </si>
  <si>
    <t xml:space="preserve">données 2017 et 2018 disponible,l'indicateur est : taux d'enregistrement des naissances dans les delais legaux de deux mois dans les centres d'état civil
</t>
  </si>
  <si>
    <t>enquête multisectoriel continue (EMC 2014), enquete nationale sur l'emploi et le secteur informel 2015</t>
  </si>
  <si>
    <t xml:space="preserve">dernière donnée disponible date de 2014 et 2015. </t>
  </si>
  <si>
    <t xml:space="preserve">il s'agit de la prévalence du mariage d'enfants, des études sont en cours pour l'actualiser
Indicator with baselines and without current values have wrongly interpreted performance. If current data is not provided, the performance rating will be set to 0%.
</t>
  </si>
  <si>
    <t>Ministère de l'économie, des finances et du développement/Direction générale de la coopération,rapport sur la coopération du développement 2013-2018</t>
  </si>
  <si>
    <t>l'indicateur est APD/PIB</t>
  </si>
  <si>
    <t>Data is not currently not available but being work on</t>
  </si>
  <si>
    <t>National Accounts, Ghana Statistical Service</t>
  </si>
  <si>
    <t>2016/2017 Ghana Living Standards Survey; Ghana Staistical Service and 2010 Population and Housing Census</t>
  </si>
  <si>
    <t>Current data year is 2017 and baseline data year is 2010</t>
  </si>
  <si>
    <t>2016/2017 Ghana Living Standards Survey; Ghana Staistical Service and Afrobarometer Round 5 Survey In Ghana</t>
  </si>
  <si>
    <t>Current data year is 2017 and baseline data year is 2012</t>
  </si>
  <si>
    <t>Data is not available</t>
  </si>
  <si>
    <t>The Indicator does not have a baseline value. If the the baseline value  is not provided, the indicator performance rating will be set to 0%.</t>
  </si>
  <si>
    <t>base value 2013; current indicator value 2018. 
Verify if the data entered is correct as it has a hiuge effect on the overall score of the priority area, goal and aspiration</t>
  </si>
  <si>
    <t xml:space="preserve">Signé pas encore ratifié
No data provided. Indicator pefrormance to be set to 0% if data is not provided
</t>
  </si>
  <si>
    <t>Kindly veirfy the data entered here</t>
  </si>
  <si>
    <t>Status can only be updated if Member State has provided evidence of domestication</t>
  </si>
  <si>
    <t>violence physique violence sexuelle 29,3, no baseline. Indicator not used in data consolidation
The Indicator does not have a baseline value. IF the baseline value  is not provided, the indicator performance rating will be maintained at 0%.</t>
  </si>
  <si>
    <t xml:space="preserve">L'indicateur n'est pas renseigné par notre système national de statistiques.
No data provided for this indicator, the performance rating for this indicator will be set to zero if data is not provided.
</t>
  </si>
  <si>
    <t>L'indicateur n'est pas renseigné par notre système national de statistique
No data provided. Indicator pefrormance to be set to 0% if data is not provided</t>
  </si>
  <si>
    <t>La donnée de 2013 n'est pas disponible. Cependant en 2015, nous avions 12,17%. La valeur actuelle correspond à 2018. 
The Indicator does not have a baseline value. IF the baseline value  is not provided, the indicator performance rating will be maintained at 0%.</t>
  </si>
  <si>
    <t>L'indicateur n'est pas renseigné par notre système national de statistique. No data-adjuscted to 0%
No data provided. Indicator pefrormance to be set to 0% if data is not provided</t>
  </si>
  <si>
    <t>Le Sénégal est en cours de formulation de sa stratégie nationale de mise en œuvre de la ZLECA. quelques questions sont restées en suspens, notamment, les critères de sélections de produits sensibles et d’exclusion, les règles d’origines etc. Ainsi le groupe de travail continue ses activités en faisant une simulation de quelques scénarios facilitant la prise de décision
No data provided. Indicator pefrormance to be set to 0% if data is not provided</t>
  </si>
  <si>
    <t xml:space="preserve">L'indicateur n'est pas renseigné par notre système national de statistiques. </t>
  </si>
  <si>
    <t>Data for this indicator correct, verified through the AU web-portal</t>
  </si>
  <si>
    <t>La valeur de référence n'est pas disponible. La donnée la plus récente est celle de 2017. 
The Indicator does not have a baseline value. IF the baseline value  is not provided, the indicator performance rating will be maintained at 0%.</t>
  </si>
  <si>
    <t>L'indicateur n'est pas renseigné par notre système national de statistique 
No data provided. Indicator pefrormance to be set to 0% if data is not provided</t>
  </si>
  <si>
    <t>only base provided, adjusted  to 0%
No current data provided. Indicator pefrormance to be set to 0% if current data is not provided</t>
  </si>
  <si>
    <t>Domestication status can be updated with evidence from the Member State.</t>
  </si>
  <si>
    <t xml:space="preserve">The unit of measurement for the indicator is number of people. Kindly review the basline which indicates 0.4 </t>
  </si>
  <si>
    <t xml:space="preserve">Kindly verify the data entered entered. The data required is on the number of armed conflicts recorded in a perticular year. </t>
  </si>
  <si>
    <t>ICT Statsbrief 2014</t>
  </si>
  <si>
    <t>can be calculated from Ministry of Agriculture</t>
  </si>
  <si>
    <t>Liberia World Bank Data</t>
  </si>
  <si>
    <t>Current indicator is at 2017</t>
  </si>
  <si>
    <t>2014 baseline year</t>
  </si>
  <si>
    <t>modeled estimate (2017 data)</t>
  </si>
  <si>
    <t>2018 data as current indicator</t>
  </si>
  <si>
    <t>2017 data as current indicator</t>
  </si>
  <si>
    <t>Data for agriculture, forestry and fishery sectors. Current data is for 2018</t>
  </si>
  <si>
    <t>2016 data for baseline and 2018 data for current value</t>
  </si>
  <si>
    <t>no current year data; baseline data is female genetal mutilation prevalence</t>
  </si>
  <si>
    <t>Updated based on the AU web-portal</t>
  </si>
  <si>
    <t>Goal 19</t>
  </si>
  <si>
    <t>Goal 20</t>
  </si>
  <si>
    <t>West Africa Dashboard</t>
  </si>
  <si>
    <t>Overall Performance Rating</t>
  </si>
  <si>
    <t>INSEED: Comptes Nationaux définitifs de 2013 et Projection de l"économie en 2019</t>
  </si>
  <si>
    <t>Montant en Dollars US sur la base de 1 $ US = 494,040037 FCFA en 2013 et 1 $US = 587,712 FCFA en 2019</t>
  </si>
  <si>
    <t>INSEED, Rapport d'enquête QUIBB 2011; Rapport INSEED/ERI-ESI, 2017</t>
  </si>
  <si>
    <t>Valeur de référence 2013  provenant de l'enquête réalisée en 2011. La valeur courante est celle de 2017.</t>
  </si>
  <si>
    <t>INSEED, Rapport d'enquête EDST 2013; Rapport d'enquête MICS, 2017</t>
  </si>
  <si>
    <t>Valeur courante est celle de 2017</t>
  </si>
  <si>
    <t>Rapport national de suivi des ODD (Togo), 2019.</t>
  </si>
  <si>
    <t>La valeur de référence est celle de 2015. La valeur courante est celle de 2018.</t>
  </si>
  <si>
    <t>INSEED, Rapport d'enquête EDST 2013; INSEED, Rapport d'enquête INSEED/ERI-ESI, 2017</t>
  </si>
  <si>
    <t xml:space="preserve">La valeur du taux d'accès à l'électricité est le proxi du taux d'utilisation de l'électricité </t>
  </si>
  <si>
    <t>INSEED, Rapport d'enquête EDST 2013</t>
  </si>
  <si>
    <t>MPENIT, Politique sectorielle de l'économie numérique, 2017</t>
  </si>
  <si>
    <t>La valeur courante est celle du premier trimestre 2019</t>
  </si>
  <si>
    <t>INSEED, Rapport d'enquête EDST 2013; INSEED, Rapport d'enquête MICS, 2017</t>
  </si>
  <si>
    <t>Cette valeur de référence prend en compte les enfants de 3 à 5 ans. La valeur courante est celle de 2017.</t>
  </si>
  <si>
    <t>INSEED, Rapport d'enquête EDST 2013; Rapport national de suivi des ODD (Togo), 2019.</t>
  </si>
  <si>
    <t>Cette de référence prend aussi en compte les enfants de la tranche 6 à 11 ans qui fréquentent le secondaire. Cette valeur référence est le taux net de fréquentation au primaire qui est un proxi de l'indicateur. La valeur courante est celle de 2018.</t>
  </si>
  <si>
    <t>INSEED, Rapport d'enquête EDST 2013; Rapport d'enquête MICS 2017</t>
  </si>
  <si>
    <t>La valeur courante est celle de 2017</t>
  </si>
  <si>
    <t>INSEED, Rapport d'enquête EDST 2013 et MICS 2017</t>
  </si>
  <si>
    <t>Cette valeur de référence ne prend en compte uniquement que les femmes en union. La valeur courante est celle de 2017.</t>
  </si>
  <si>
    <t>401 et 160 décès mères pour 100 000 naissances. La valeur courante est celle de 2017.</t>
  </si>
  <si>
    <t>27 décès enfants pour 1000 nouveaux-nés.                       La valeur courante est celle de 2017.</t>
  </si>
  <si>
    <t>88 et 71 décès enfants pour 1000 enfants de moins de 5 ans. La valeur courante est celle de 2017.</t>
  </si>
  <si>
    <t>Nos calculs sur la base du Rapport PNLS, 2013-2018</t>
  </si>
  <si>
    <t>La valeur courante est celle de 2018.</t>
  </si>
  <si>
    <t>Ministère chargé de la santé et l'INSEED, Rapport PNLP, 2017</t>
  </si>
  <si>
    <t>La valeur courante est celle de 2016.</t>
  </si>
  <si>
    <t>La valeur courante est celle de 2017.</t>
  </si>
  <si>
    <t>RAP MSPS, 2013-2017</t>
  </si>
  <si>
    <t>Cette valeur de référence ne prend en compte uniquement que les femmes enceintes bénéficiant des ARV. La valeur courante est celle de 2017 et se limite uniquement aux femmes enceintes bénéficiant des ARV.</t>
  </si>
  <si>
    <t>Comptes nationaux du Togo, 2013, compte définitifs. 5è revue de FEC du FMI ,septembre 2019.</t>
  </si>
  <si>
    <t>La valeur courante est une projection faite par le MEF</t>
  </si>
  <si>
    <t>Comptes nationaux du Togo, 2013, compte définitifs.</t>
  </si>
  <si>
    <t>Ministère de l'agriculture, Revue biennale sur les progrès réalisés dans la réalisation des objectifs et cibles de la déclaration de Malabo, 2019</t>
  </si>
  <si>
    <t>La donnée de base est celle de 2014 et la donnée courante est celle de 2018, Montant en Dollars US sur la base de 1 $ US = 494,040037 FCFA en 2013 et 1 $US = 555,783712 FCFA en 2018</t>
  </si>
  <si>
    <t>MINAGRI, Administrative Data</t>
  </si>
  <si>
    <t>La donnée de base est celle de 2014 et la donnée courante est celle de 2018, Montant en Dollars US sur la base de 1 $ US = 494,040037 FCFA en 2013 et 1 $US = 555783712 FCFA en 2018</t>
  </si>
  <si>
    <t>Le Togo a ratifié l'accord de libre-échange continental africain</t>
  </si>
  <si>
    <t>INSEED, Rapport Enquête EDST, 2013. INSEED, Rapport Enquête MICS, 2017</t>
  </si>
  <si>
    <t xml:space="preserve">Updated based on the AU portal </t>
  </si>
  <si>
    <t>RGS</t>
  </si>
  <si>
    <t>Ministère de la défense, 2019</t>
  </si>
  <si>
    <t>INSEED, Rapport d'enquête EDST, 2013. Cette valeur de référence englobe les femmes qui possèdent seul le droit de propriété et celles qui possèdent le droit de propriété avec une tièrce personne.</t>
  </si>
  <si>
    <t>No data for the current indicator value provided. Indicator pefrormance to be set to 0% if current value data is not provided</t>
  </si>
  <si>
    <t>L'indicateur se limite uniquement à la proportion des femmes à l'Assemblée nationale.</t>
  </si>
  <si>
    <t>INSEED, QUIBB 2011 et Rapport d'enquête MICS, 2017.</t>
  </si>
  <si>
    <t>La valeur de base est celle de 2011 et elle prend en compte les variables suivantes: bousculer, frapper, étrangler, menacer avec couteau; attaquer avec couteau et forcer pour rapport sexuel. La valeur courante est celle de 2017.</t>
  </si>
  <si>
    <t>INSEED, Rapport d'enquête MICS, 2010 et MICS 2017.</t>
  </si>
  <si>
    <t>La valeur de base est celle de 2010 et celle courante est de 2017.</t>
  </si>
  <si>
    <t>La valeur de référence est celle de 2011. La valeur courante est celle de 2017.</t>
  </si>
  <si>
    <t>INSEED, Rapport d'enquête MICS, 2017.</t>
  </si>
  <si>
    <t>La valeur courante est celle de 2017. Cette valeur ne prend en compte que les mariages précoses des femmes.</t>
  </si>
  <si>
    <t>INSEED, 2019</t>
  </si>
  <si>
    <t>Existence d'un avant-projet de la loi statistique prennant en compte les recommandations de la SHASA 2.</t>
  </si>
  <si>
    <t>INSEED, PTA 2019</t>
  </si>
  <si>
    <t>Les budgets initiaux de l'Etat 2013 et 2019 qui ont servi de calcul.</t>
  </si>
  <si>
    <t>La loi de 2010 a créée une structure de coordination qui n'était pas opérationnelle en 2013.</t>
  </si>
  <si>
    <t>RRA Annual activity report 2018/19</t>
  </si>
  <si>
    <t>Note that what was captured is not conclusive e.g. contributions from PPPs are not captured. This contribution includes; Umuganda, Agaciro Development Fund, Innovative Taxes e.g. Infrastructure levy, Strategic reserves levy, CBHI membership contributions and Road maintance fund</t>
  </si>
  <si>
    <t>NBS</t>
  </si>
  <si>
    <t>2018 was current value at 2010 purchasers value. Population growth was 3%</t>
  </si>
  <si>
    <t>New Nigeria Unemployment definition</t>
  </si>
  <si>
    <t>Available data for 2018 is Prevalence of stunting among children under 5 years of age while 2013 was prevalence of underweight among children under 5</t>
  </si>
  <si>
    <t xml:space="preserve">% of Households with an improved source of drinking water </t>
  </si>
  <si>
    <t>ITU Estimate</t>
  </si>
  <si>
    <t>Measured by % of individuals using internet. The current indicator value was 2017.</t>
  </si>
  <si>
    <t>% of Net attendance ratio</t>
  </si>
  <si>
    <t>National Bureau of Statistics</t>
  </si>
  <si>
    <t>Poor performance was due to shortfall in revenue occassioned by sharp decline in crude oil price in the internationalmarket.</t>
  </si>
  <si>
    <t>Nigeria only signed the AfCFTA treaty in July 2019 and has not ratified the treaty.</t>
  </si>
  <si>
    <t xml:space="preserve">Updated based on the status on the AU portal </t>
  </si>
  <si>
    <t>Updated based on the status on the AU webportal</t>
  </si>
  <si>
    <t>The Member State did not put any data on this indicator. The zero indicated were put in error most likely from using anoither Countries template. The remark was correct that no data had been provided.</t>
  </si>
  <si>
    <t xml:space="preserve"> La valeur actuelle correspond à 2018.
The Indicator does not have a baseline value. IF the baseline value  is not provided, the indicator performance rating will be maintained at 0%.</t>
  </si>
  <si>
    <t>ANSD, Au niveau national, l'indicateur suivi est : "dépenses en recherche et développement en pourcentage du PIB". La dernière donnée disponible est de 2016. L'année de base est 2010.
Vaues above 1% need further review and the data is usually less than 1%.
The Indicator does not have a baseline value. IF the baseline value  is not provided, the indicator performance rating will be maintained at 0%.</t>
  </si>
  <si>
    <t xml:space="preserve">The current data was revised from an initial value of 2.7 to a realistic value of 0.75 and basline data provided as 0.54. </t>
  </si>
  <si>
    <t>L'indicateur n'est pas renseigné par notre système national de statistique. Les comptes satellites du tourisme sont en cours d'élaboration. Cependant l'indicateur est rapporché par la contribution de la rubrique "hotellerie et restauration" de la balance des paiements en 2014 et 2018, au PIB, calculée en faisant le rapport du chiffre d'affaires au PIB.
No data provided. Indicator pefrormance to be set to 0% if data is not provided</t>
  </si>
  <si>
    <t>Baseline data provided in the final submission during validation</t>
  </si>
  <si>
    <t xml:space="preserve">This is one of the indicators where the targets need to be clarified to Member States. There are 6 protocols which Member States need to to implement. This needs to be clarified with the Member State. </t>
  </si>
  <si>
    <t>La Charte de la Démocratie n'a pas été internalisée au niveau nationale. Cependant tous les objectifs de la Charte africaine sont consignés dans la Constitution du Sénégal et ont été mise en oeuvre ou en cours de mise en œuvre, conformément aux principes énoncés dans la Charte..</t>
  </si>
  <si>
    <t>L'indicateur n'est pas exactement renseigné par notre système national de statistique. Cependant, dans les programmes scolaires, le focus est fait sur le Sénégal et l'Afrique, précisément dans les cours d'histoire, de géographie, etc. Aussi, cours d'éducation civique sont dispensés à tous les niveaux. Les valeurs de courage (diom), d'hospitalité, de partage, de solidarité sont dans le curriculum de l'éducation de base. Par rapport aux valeurs culturelles, chaque académie scolaire dispose de manuels scolaires propres qui intègrent la culture, l'histoire, et la géographie régionale, nationale et internationale. Pour les langues, les académies(6) sont en phase pilote. 3 langues sont enseignées au CI et CP : wolof, serere, poulaar.
No data provided. Indicator pefrormance to be set to 0% if data is not provided</t>
  </si>
  <si>
    <t xml:space="preserve">Baseline data updated and current data also provided. The change is guite significant may required following up. </t>
  </si>
  <si>
    <t>The baseline was validated as 0%</t>
  </si>
  <si>
    <t>Current indicator is at year 2018; GNI per capita (constant 2010 US$)</t>
  </si>
  <si>
    <t>2019 data for current year; Modeled ILO Estimate (overall Unemployment rate)</t>
  </si>
  <si>
    <t>No current data. Indicator performance set to 0%</t>
  </si>
  <si>
    <t>Incidence of HIV (per 1,000 uninfected population ages 15-49) current data as of 2018</t>
  </si>
  <si>
    <t>2017 data as current indicator; Incidence of malaria (per 1,000 population at risk)</t>
  </si>
  <si>
    <t>2018 data as current indicator; GDP (constant 2010 US$)</t>
  </si>
  <si>
    <t>Liberia World Bank Data, unemployment rate by youth (15-24 years) modeled ILO Estimate</t>
  </si>
  <si>
    <t>The revised puts youth unemployment at 0% baseline and 0% current value but seems unrealistic</t>
  </si>
  <si>
    <t>No baseline data provided. Indicator pefrormance to be set to 0% if data is not provided</t>
  </si>
  <si>
    <t>Direction de la planification et de la statistique du ministère togolais du tourisme</t>
  </si>
  <si>
    <t>Valeur de référence est celle de 2011 et la valeur courante est celle de 2015.</t>
  </si>
  <si>
    <t>Institut National de la Statistique, Comptes économiques de la Nation avril 2018, Comptes économiques de la nation base 2015, juin 2019</t>
  </si>
  <si>
    <t>Valeur la plus récente est celle de 2018, taux de la BCEAO au 31/12/2019</t>
  </si>
  <si>
    <t>ECVMA 2014 et ERI-ESI 2017</t>
  </si>
  <si>
    <t>Les données les plus récentes sont celles de 2017</t>
  </si>
  <si>
    <t>INS, EDSN 2012, SMART 2018</t>
  </si>
  <si>
    <t xml:space="preserve">Année de référence 2012, et valeur la plus récente est celle de 2018 </t>
  </si>
  <si>
    <t>Année de référence 2014 et données actuelles 2017</t>
  </si>
  <si>
    <t>Ministère de l'Energie, ERI-ESI 2017</t>
  </si>
  <si>
    <t>Valeurla plus récente est celle de 2017</t>
  </si>
  <si>
    <t>ECVMA 2011 et 2014</t>
  </si>
  <si>
    <t>Année de référence 2011 et valeur actuelle 2014 (les données de 2018 sont en cours de traitement)</t>
  </si>
  <si>
    <t>INS</t>
  </si>
  <si>
    <t>Valeur de référence 2014 (ECVMA 2014 et enquête TIC); la valeur la plus récente est celle de 2018</t>
  </si>
  <si>
    <t>Ministère de l'enseignement primaire</t>
  </si>
  <si>
    <t>Année d référence 2015; Valeur actuelle 2018 proxy ODD4.2.2</t>
  </si>
  <si>
    <t>Valeur la plus récente 2017
No data provided. Indicator pefrormance to be set to 0% if data is not provided</t>
  </si>
  <si>
    <t>MES</t>
  </si>
  <si>
    <t>valeur actuelle 2018. Il s'agit du TBS</t>
  </si>
  <si>
    <t>EDSN 2012 ET PMA 2020</t>
  </si>
  <si>
    <t>2012 Année de référence, Proxy ODD3.7.1</t>
  </si>
  <si>
    <t>INS (ENIZED)</t>
  </si>
  <si>
    <t>2015 Année de référence, la valeur la plus récente 2018</t>
  </si>
  <si>
    <t xml:space="preserve">EDSN 2012 </t>
  </si>
  <si>
    <t>2012 année de référence,valeur actuelle 2018</t>
  </si>
  <si>
    <t>EDSN 2012 et ENIZED</t>
  </si>
  <si>
    <t>MSP</t>
  </si>
  <si>
    <t>la valeur récente 2018</t>
  </si>
  <si>
    <t>valeur récente 2018
No data provided. Indicator pefrormance to be set to 0% if data is not provided</t>
  </si>
  <si>
    <t>MESUDD</t>
  </si>
  <si>
    <t>Il s'agit de la proportion des aires protégées terrestres, référence 2015 et valeur 2018</t>
  </si>
  <si>
    <t>Updated using the AU AfCFTA portal  and Niger signed in September 2018 and ratified in 2019.</t>
  </si>
  <si>
    <t>No data provided. Indicator pefrormance to be set to 0% if data is not provided
Niger may be involved in the Trans-Sahelian Highway</t>
  </si>
  <si>
    <t>ECVMA 2014 et Enquête TIC</t>
  </si>
  <si>
    <t>Valeur recette : 2017 et valeur initiale 2014</t>
  </si>
  <si>
    <t>No data provided. Indicator pefrormance to be set to 0% if data is not provided. MS to also provide evidence of domestication if data provided.</t>
  </si>
  <si>
    <t>Manually adjust to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</si>
</sst>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0.0"/>
    <numFmt numFmtId="166" formatCode="#,##0.0"/>
    <numFmt numFmtId="167" formatCode="#,##0.000"/>
  </numFmts>
  <fonts count="65" x14ac:knownFonts="1">
    <font>
      <sz val="11"/>
      <color theme="1"/>
      <name val="Calibri"/>
      <family val="2"/>
      <scheme val="minor"/>
    </font>
    <font>
      <sz val="11"/>
      <color theme="1"/>
      <name val="Calibri"/>
      <family val="2"/>
      <scheme val="minor"/>
    </font>
    <font>
      <b/>
      <sz val="11"/>
      <color theme="1"/>
      <name val="Calibri"/>
      <family val="2"/>
      <scheme val="minor"/>
    </font>
    <font>
      <sz val="8"/>
      <color theme="1"/>
      <name val="Arial"/>
      <family val="2"/>
    </font>
    <font>
      <b/>
      <sz val="8"/>
      <color theme="1"/>
      <name val="Arial"/>
      <family val="2"/>
    </font>
    <font>
      <sz val="8"/>
      <color rgb="FF000000"/>
      <name val="Arial"/>
      <family val="2"/>
    </font>
    <font>
      <b/>
      <sz val="8"/>
      <color rgb="FF1F3864"/>
      <name val="Arial"/>
      <family val="2"/>
    </font>
    <font>
      <sz val="14"/>
      <color rgb="FFFF0000"/>
      <name val="Calibri"/>
      <family val="2"/>
      <scheme val="minor"/>
    </font>
    <font>
      <sz val="16"/>
      <color rgb="FFFF0000"/>
      <name val="Calibri"/>
      <family val="2"/>
      <scheme val="minor"/>
    </font>
    <font>
      <u/>
      <sz val="11"/>
      <color theme="10"/>
      <name val="Calibri"/>
      <family val="2"/>
      <scheme val="minor"/>
    </font>
    <font>
      <b/>
      <sz val="8"/>
      <name val="Arial"/>
      <family val="2"/>
    </font>
    <font>
      <b/>
      <sz val="12"/>
      <color theme="1"/>
      <name val="Calibri"/>
      <family val="2"/>
      <scheme val="minor"/>
    </font>
    <font>
      <b/>
      <sz val="8"/>
      <color rgb="FF000000"/>
      <name val="Arial"/>
      <family val="2"/>
    </font>
    <font>
      <b/>
      <i/>
      <sz val="11"/>
      <color theme="1"/>
      <name val="Calibri"/>
      <family val="2"/>
      <scheme val="minor"/>
    </font>
    <font>
      <b/>
      <sz val="10"/>
      <color theme="1"/>
      <name val="Arial Narrow"/>
      <family val="2"/>
    </font>
    <font>
      <sz val="9"/>
      <color theme="1"/>
      <name val="Calibri"/>
      <family val="2"/>
      <scheme val="minor"/>
    </font>
    <font>
      <sz val="11"/>
      <name val="Calibri"/>
      <family val="2"/>
      <scheme val="minor"/>
    </font>
    <font>
      <sz val="11"/>
      <color theme="0" tint="-4.9989318521683403E-2"/>
      <name val="Calibri"/>
      <family val="2"/>
      <scheme val="minor"/>
    </font>
    <font>
      <b/>
      <sz val="16"/>
      <name val="Calibri"/>
      <family val="2"/>
      <scheme val="minor"/>
    </font>
    <font>
      <b/>
      <sz val="16"/>
      <color theme="1"/>
      <name val="Calibri"/>
      <family val="2"/>
      <scheme val="minor"/>
    </font>
    <font>
      <sz val="11"/>
      <color theme="8" tint="-0.249977111117893"/>
      <name val="Calibri"/>
      <family val="2"/>
      <scheme val="minor"/>
    </font>
    <font>
      <sz val="20"/>
      <color theme="0"/>
      <name val="Arial Black"/>
      <family val="2"/>
    </font>
    <font>
      <sz val="9"/>
      <color theme="1"/>
      <name val="Arial"/>
      <family val="2"/>
    </font>
    <font>
      <b/>
      <sz val="9"/>
      <color theme="1"/>
      <name val="Arial"/>
      <family val="2"/>
    </font>
    <font>
      <sz val="9"/>
      <color rgb="FF000000"/>
      <name val="Arial"/>
      <family val="2"/>
    </font>
    <font>
      <b/>
      <sz val="9"/>
      <color rgb="FF000000"/>
      <name val="Arial"/>
      <family val="2"/>
    </font>
    <font>
      <b/>
      <sz val="9"/>
      <name val="Arial"/>
      <family val="2"/>
    </font>
    <font>
      <sz val="9"/>
      <name val="Arial"/>
      <family val="2"/>
    </font>
    <font>
      <b/>
      <sz val="9"/>
      <color theme="1"/>
      <name val="Calibri"/>
      <family val="2"/>
      <scheme val="minor"/>
    </font>
    <font>
      <b/>
      <sz val="14"/>
      <name val="Calibri"/>
      <family val="2"/>
      <scheme val="minor"/>
    </font>
    <font>
      <b/>
      <sz val="9"/>
      <color rgb="FF1F3864"/>
      <name val="Arial"/>
      <family val="2"/>
    </font>
    <font>
      <sz val="8"/>
      <color rgb="FF1F3864"/>
      <name val="Arial"/>
      <family val="2"/>
    </font>
    <font>
      <sz val="8"/>
      <name val="Arial"/>
      <family val="2"/>
    </font>
    <font>
      <b/>
      <sz val="11"/>
      <name val="Calibri"/>
      <family val="2"/>
      <scheme val="minor"/>
    </font>
    <font>
      <u/>
      <sz val="8"/>
      <color theme="10"/>
      <name val="Calibri"/>
      <family val="2"/>
      <scheme val="minor"/>
    </font>
    <font>
      <u/>
      <sz val="9"/>
      <color theme="10"/>
      <name val="Calibri"/>
      <family val="2"/>
      <scheme val="minor"/>
    </font>
    <font>
      <b/>
      <u/>
      <sz val="9"/>
      <color theme="10"/>
      <name val="Calibri"/>
      <family val="2"/>
      <scheme val="minor"/>
    </font>
    <font>
      <b/>
      <sz val="16"/>
      <color theme="1"/>
      <name val="Arial"/>
      <family val="2"/>
    </font>
    <font>
      <sz val="11"/>
      <color theme="1"/>
      <name val="Tahoma"/>
      <family val="2"/>
    </font>
    <font>
      <sz val="10"/>
      <color theme="1"/>
      <name val="Times New Roman"/>
      <family val="1"/>
    </font>
    <font>
      <b/>
      <sz val="9"/>
      <color rgb="FFFF0000"/>
      <name val="Arial"/>
      <family val="2"/>
    </font>
    <font>
      <sz val="8"/>
      <color theme="1"/>
      <name val="Calibri"/>
      <family val="2"/>
      <scheme val="minor"/>
    </font>
    <font>
      <sz val="9"/>
      <name val="Calibri"/>
      <family val="2"/>
      <scheme val="minor"/>
    </font>
    <font>
      <b/>
      <sz val="9"/>
      <name val="Calibri"/>
      <family val="2"/>
      <scheme val="minor"/>
    </font>
    <font>
      <sz val="9"/>
      <color rgb="FF000000"/>
      <name val="Calibri"/>
      <family val="2"/>
    </font>
    <font>
      <b/>
      <u/>
      <sz val="9.5"/>
      <color rgb="FF000000"/>
      <name val="Times New Roman"/>
      <family val="1"/>
    </font>
    <font>
      <sz val="9.5"/>
      <color rgb="FF000000"/>
      <name val="Times New Roman"/>
      <family val="1"/>
    </font>
    <font>
      <sz val="10.5"/>
      <color rgb="FF000000"/>
      <name val="Times New Roman"/>
      <family val="1"/>
    </font>
    <font>
      <sz val="8"/>
      <name val="Calibri"/>
      <family val="2"/>
      <scheme val="minor"/>
    </font>
    <font>
      <b/>
      <sz val="20"/>
      <color theme="1"/>
      <name val="Calibri"/>
      <family val="2"/>
      <scheme val="minor"/>
    </font>
    <font>
      <sz val="20"/>
      <color theme="1"/>
      <name val="Calibri"/>
      <family val="2"/>
      <scheme val="minor"/>
    </font>
    <font>
      <b/>
      <sz val="18"/>
      <color theme="1"/>
      <name val="Calibri"/>
      <family val="2"/>
      <scheme val="minor"/>
    </font>
    <font>
      <b/>
      <sz val="14"/>
      <color theme="1"/>
      <name val="Calibri"/>
      <family val="2"/>
      <scheme val="minor"/>
    </font>
    <font>
      <sz val="10"/>
      <color theme="1"/>
      <name val="Calibri"/>
      <family val="2"/>
      <scheme val="minor"/>
    </font>
    <font>
      <sz val="9"/>
      <color rgb="FFFF0000"/>
      <name val="Arial"/>
      <family val="2"/>
    </font>
    <font>
      <b/>
      <sz val="9"/>
      <color rgb="FF0000CC"/>
      <name val="Arial"/>
      <family val="2"/>
    </font>
    <font>
      <sz val="9"/>
      <color rgb="FF0000CC"/>
      <name val="Arial"/>
      <family val="2"/>
    </font>
    <font>
      <u/>
      <sz val="9"/>
      <name val="Calibri"/>
      <family val="2"/>
      <scheme val="minor"/>
    </font>
    <font>
      <sz val="14"/>
      <color theme="1"/>
      <name val="Calibri"/>
      <family val="2"/>
      <scheme val="minor"/>
    </font>
    <font>
      <b/>
      <sz val="10"/>
      <color theme="1"/>
      <name val="Calibri"/>
      <family val="2"/>
      <scheme val="minor"/>
    </font>
    <font>
      <sz val="10"/>
      <name val="Calibri"/>
      <family val="2"/>
      <scheme val="minor"/>
    </font>
    <font>
      <u/>
      <sz val="8"/>
      <name val="Calibri"/>
      <family val="2"/>
      <scheme val="minor"/>
    </font>
    <font>
      <b/>
      <u/>
      <sz val="9"/>
      <name val="Calibri"/>
      <family val="2"/>
      <scheme val="minor"/>
    </font>
    <font>
      <b/>
      <sz val="11"/>
      <color theme="1"/>
      <name val="Arial"/>
      <family val="2"/>
    </font>
    <font>
      <b/>
      <sz val="11"/>
      <color rgb="FF000000"/>
      <name val="Arial"/>
      <family val="2"/>
    </font>
  </fonts>
  <fills count="31">
    <fill>
      <patternFill patternType="none"/>
    </fill>
    <fill>
      <patternFill patternType="gray125"/>
    </fill>
    <fill>
      <patternFill patternType="solid">
        <fgColor rgb="FFF2F2F2"/>
        <bgColor indexed="64"/>
      </patternFill>
    </fill>
    <fill>
      <patternFill patternType="solid">
        <fgColor rgb="FFBDD6EE"/>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92FB4B"/>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33CCFF"/>
        <bgColor indexed="64"/>
      </patternFill>
    </fill>
    <fill>
      <patternFill patternType="solid">
        <fgColor rgb="FF002060"/>
        <bgColor indexed="64"/>
      </patternFill>
    </fill>
    <fill>
      <patternFill patternType="solid">
        <fgColor rgb="FFFFFF00"/>
        <bgColor indexed="64"/>
      </patternFill>
    </fill>
    <fill>
      <patternFill patternType="solid">
        <fgColor rgb="FFFF0000"/>
        <bgColor indexed="64"/>
      </patternFill>
    </fill>
    <fill>
      <patternFill patternType="solid">
        <fgColor rgb="FF000066"/>
        <bgColor indexed="64"/>
      </patternFill>
    </fill>
    <fill>
      <patternFill patternType="solid">
        <fgColor theme="9" tint="0.39997558519241921"/>
        <bgColor indexed="64"/>
      </patternFill>
    </fill>
    <fill>
      <patternFill patternType="solid">
        <fgColor rgb="FFFF99FF"/>
        <bgColor indexed="64"/>
      </patternFill>
    </fill>
    <fill>
      <patternFill patternType="solid">
        <fgColor rgb="FFFFFF99"/>
        <bgColor indexed="64"/>
      </patternFill>
    </fill>
  </fills>
  <borders count="7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top style="thin">
        <color indexed="64"/>
      </top>
      <bottom style="thin">
        <color indexed="64"/>
      </bottom>
      <diagonal/>
    </border>
    <border>
      <left style="medium">
        <color indexed="64"/>
      </left>
      <right/>
      <top style="thin">
        <color auto="1"/>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right/>
      <top style="medium">
        <color indexed="64"/>
      </top>
      <bottom style="thin">
        <color auto="1"/>
      </bottom>
      <diagonal/>
    </border>
    <border>
      <left/>
      <right/>
      <top style="thin">
        <color auto="1"/>
      </top>
      <bottom style="thin">
        <color auto="1"/>
      </bottom>
      <diagonal/>
    </border>
    <border>
      <left/>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auto="1"/>
      </left>
      <right style="medium">
        <color indexed="64"/>
      </right>
      <top style="thin">
        <color auto="1"/>
      </top>
      <bottom/>
      <diagonal/>
    </border>
    <border>
      <left/>
      <right/>
      <top style="thin">
        <color auto="1"/>
      </top>
      <bottom/>
      <diagonal/>
    </border>
    <border>
      <left style="medium">
        <color indexed="64"/>
      </left>
      <right style="medium">
        <color indexed="64"/>
      </right>
      <top style="thin">
        <color auto="1"/>
      </top>
      <bottom/>
      <diagonal/>
    </border>
    <border>
      <left style="medium">
        <color indexed="64"/>
      </left>
      <right/>
      <top style="medium">
        <color indexed="64"/>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right style="thin">
        <color auto="1"/>
      </right>
      <top style="medium">
        <color indexed="64"/>
      </top>
      <bottom style="thin">
        <color auto="1"/>
      </bottom>
      <diagonal/>
    </border>
    <border>
      <left style="medium">
        <color indexed="64"/>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bottom style="thin">
        <color auto="1"/>
      </bottom>
      <diagonal/>
    </border>
    <border>
      <left style="medium">
        <color indexed="64"/>
      </left>
      <right style="thin">
        <color auto="1"/>
      </right>
      <top/>
      <bottom style="thin">
        <color auto="1"/>
      </bottom>
      <diagonal/>
    </border>
    <border>
      <left style="thin">
        <color auto="1"/>
      </left>
      <right/>
      <top style="thin">
        <color auto="1"/>
      </top>
      <bottom/>
      <diagonal/>
    </border>
    <border>
      <left style="medium">
        <color indexed="64"/>
      </left>
      <right style="thin">
        <color indexed="64"/>
      </right>
      <top/>
      <bottom style="medium">
        <color indexed="64"/>
      </bottom>
      <diagonal/>
    </border>
    <border>
      <left style="thin">
        <color auto="1"/>
      </left>
      <right style="medium">
        <color indexed="64"/>
      </right>
      <top/>
      <bottom style="medium">
        <color indexed="64"/>
      </bottom>
      <diagonal/>
    </border>
    <border>
      <left/>
      <right style="medium">
        <color indexed="64"/>
      </right>
      <top style="medium">
        <color indexed="64"/>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right/>
      <top/>
      <bottom style="thin">
        <color indexed="64"/>
      </bottom>
      <diagonal/>
    </border>
    <border>
      <left/>
      <right style="medium">
        <color indexed="64"/>
      </right>
      <top/>
      <bottom style="thin">
        <color auto="1"/>
      </bottom>
      <diagonal/>
    </border>
    <border>
      <left/>
      <right style="thin">
        <color indexed="64"/>
      </right>
      <top style="thin">
        <color indexed="64"/>
      </top>
      <bottom/>
      <diagonal/>
    </border>
    <border>
      <left/>
      <right style="medium">
        <color indexed="64"/>
      </right>
      <top style="thin">
        <color auto="1"/>
      </top>
      <bottom/>
      <diagonal/>
    </border>
    <border>
      <left style="thin">
        <color auto="1"/>
      </left>
      <right/>
      <top/>
      <bottom style="medium">
        <color indexed="64"/>
      </bottom>
      <diagonal/>
    </border>
    <border>
      <left style="medium">
        <color indexed="64"/>
      </left>
      <right/>
      <top/>
      <bottom style="thin">
        <color auto="1"/>
      </bottom>
      <diagonal/>
    </border>
    <border>
      <left style="thin">
        <color auto="1"/>
      </left>
      <right style="thin">
        <color auto="1"/>
      </right>
      <top/>
      <bottom style="medium">
        <color indexed="64"/>
      </bottom>
      <diagonal/>
    </border>
    <border>
      <left style="thin">
        <color auto="1"/>
      </left>
      <right style="thin">
        <color auto="1"/>
      </right>
      <top/>
      <bottom/>
      <diagonal/>
    </border>
    <border>
      <left style="thin">
        <color auto="1"/>
      </left>
      <right style="medium">
        <color indexed="64"/>
      </right>
      <top style="medium">
        <color indexed="64"/>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style="medium">
        <color indexed="64"/>
      </top>
      <bottom/>
      <diagonal/>
    </border>
    <border>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diagonal/>
    </border>
    <border>
      <left style="thin">
        <color auto="1"/>
      </left>
      <right/>
      <top/>
      <bottom/>
      <diagonal/>
    </border>
    <border>
      <left/>
      <right style="thin">
        <color auto="1"/>
      </right>
      <top/>
      <bottom style="medium">
        <color indexed="64"/>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0" fontId="9" fillId="0" borderId="0" applyNumberFormat="0" applyFill="0" applyBorder="0" applyAlignment="0" applyProtection="0"/>
  </cellStyleXfs>
  <cellXfs count="1764">
    <xf numFmtId="0" fontId="0" fillId="0" borderId="0" xfId="0"/>
    <xf numFmtId="0" fontId="0" fillId="24" borderId="0" xfId="0" applyFill="1" applyProtection="1">
      <protection locked="0"/>
    </xf>
    <xf numFmtId="0" fontId="20" fillId="24" borderId="42" xfId="0" applyFont="1" applyFill="1" applyBorder="1" applyProtection="1">
      <protection locked="0"/>
    </xf>
    <xf numFmtId="0" fontId="20" fillId="24" borderId="44" xfId="0" applyFont="1" applyFill="1" applyBorder="1" applyProtection="1">
      <protection locked="0"/>
    </xf>
    <xf numFmtId="0" fontId="20" fillId="24" borderId="45" xfId="0" applyFont="1" applyFill="1" applyBorder="1" applyProtection="1">
      <protection locked="0"/>
    </xf>
    <xf numFmtId="0" fontId="0" fillId="0" borderId="0" xfId="0" applyProtection="1">
      <protection locked="0"/>
    </xf>
    <xf numFmtId="0" fontId="20" fillId="24" borderId="9" xfId="0" applyFont="1" applyFill="1" applyBorder="1" applyProtection="1">
      <protection locked="0"/>
    </xf>
    <xf numFmtId="0" fontId="17" fillId="24" borderId="9" xfId="0" applyFont="1" applyFill="1" applyBorder="1" applyProtection="1">
      <protection locked="0"/>
    </xf>
    <xf numFmtId="0" fontId="18" fillId="12" borderId="1" xfId="0" applyFont="1" applyFill="1" applyBorder="1" applyAlignment="1" applyProtection="1">
      <alignment horizontal="center" vertical="center"/>
      <protection locked="0"/>
    </xf>
    <xf numFmtId="0" fontId="17" fillId="24" borderId="6" xfId="0" applyFont="1" applyFill="1" applyBorder="1" applyProtection="1">
      <protection locked="0"/>
    </xf>
    <xf numFmtId="0" fontId="17" fillId="24" borderId="7" xfId="0" applyFont="1" applyFill="1" applyBorder="1" applyProtection="1">
      <protection locked="0"/>
    </xf>
    <xf numFmtId="0" fontId="0" fillId="2" borderId="3" xfId="0" applyFill="1" applyBorder="1" applyAlignment="1" applyProtection="1">
      <alignment vertical="center" wrapText="1"/>
      <protection locked="0"/>
    </xf>
    <xf numFmtId="0" fontId="0" fillId="9" borderId="3" xfId="0" applyFill="1" applyBorder="1" applyProtection="1">
      <protection locked="0"/>
    </xf>
    <xf numFmtId="0" fontId="0" fillId="9" borderId="1" xfId="0" applyFill="1" applyBorder="1" applyProtection="1">
      <protection locked="0"/>
    </xf>
    <xf numFmtId="0" fontId="8" fillId="0" borderId="0" xfId="0" applyFont="1" applyProtection="1">
      <protection locked="0"/>
    </xf>
    <xf numFmtId="0" fontId="0" fillId="11" borderId="5" xfId="0" applyFill="1" applyBorder="1" applyProtection="1">
      <protection locked="0"/>
    </xf>
    <xf numFmtId="0" fontId="0" fillId="11" borderId="8" xfId="0" applyFill="1" applyBorder="1" applyProtection="1">
      <protection locked="0"/>
    </xf>
    <xf numFmtId="0" fontId="0" fillId="11" borderId="10" xfId="0" applyFill="1" applyBorder="1" applyProtection="1">
      <protection locked="0"/>
    </xf>
    <xf numFmtId="0" fontId="0" fillId="11" borderId="1" xfId="0" applyFill="1" applyBorder="1" applyProtection="1">
      <protection locked="0"/>
    </xf>
    <xf numFmtId="0" fontId="0" fillId="11" borderId="42" xfId="0" applyFill="1" applyBorder="1" applyProtection="1">
      <protection locked="0"/>
    </xf>
    <xf numFmtId="0" fontId="0" fillId="0" borderId="5" xfId="0" applyBorder="1" applyProtection="1">
      <protection locked="0"/>
    </xf>
    <xf numFmtId="0" fontId="7" fillId="0" borderId="0" xfId="0" applyFont="1" applyAlignment="1" applyProtection="1">
      <alignment horizontal="center" vertical="center"/>
      <protection locked="0"/>
    </xf>
    <xf numFmtId="0" fontId="8" fillId="0" borderId="0" xfId="0" applyFont="1" applyAlignment="1" applyProtection="1">
      <alignment horizontal="center" vertical="center"/>
      <protection locked="0"/>
    </xf>
    <xf numFmtId="0" fontId="0" fillId="0" borderId="1" xfId="0" applyBorder="1" applyProtection="1">
      <protection locked="0"/>
    </xf>
    <xf numFmtId="0" fontId="15" fillId="0" borderId="1" xfId="0" applyFont="1" applyBorder="1" applyProtection="1">
      <protection locked="0"/>
    </xf>
    <xf numFmtId="0" fontId="16" fillId="11" borderId="10" xfId="0" applyFont="1" applyFill="1" applyBorder="1" applyProtection="1">
      <protection locked="0"/>
    </xf>
    <xf numFmtId="0" fontId="0" fillId="14" borderId="3" xfId="0" applyFill="1" applyBorder="1" applyProtection="1">
      <protection locked="0"/>
    </xf>
    <xf numFmtId="0" fontId="0" fillId="14" borderId="4" xfId="0" applyFill="1" applyBorder="1" applyProtection="1">
      <protection locked="0"/>
    </xf>
    <xf numFmtId="0" fontId="11" fillId="0" borderId="0" xfId="0" applyFont="1" applyProtection="1">
      <protection locked="0"/>
    </xf>
    <xf numFmtId="0" fontId="9" fillId="0" borderId="0" xfId="3" applyProtection="1">
      <protection locked="0"/>
    </xf>
    <xf numFmtId="0" fontId="0" fillId="0" borderId="0" xfId="0" applyProtection="1"/>
    <xf numFmtId="0" fontId="2" fillId="5" borderId="15" xfId="0" applyFont="1" applyFill="1" applyBorder="1" applyProtection="1"/>
    <xf numFmtId="2" fontId="2" fillId="5" borderId="11" xfId="0" applyNumberFormat="1" applyFont="1" applyFill="1" applyBorder="1" applyProtection="1"/>
    <xf numFmtId="0" fontId="0" fillId="5" borderId="11" xfId="0" applyFill="1" applyBorder="1" applyProtection="1"/>
    <xf numFmtId="0" fontId="0" fillId="5" borderId="20" xfId="0" applyFill="1" applyBorder="1" applyProtection="1"/>
    <xf numFmtId="0" fontId="13" fillId="5" borderId="15" xfId="0" applyFont="1" applyFill="1" applyBorder="1" applyAlignment="1" applyProtection="1">
      <alignment vertical="center"/>
    </xf>
    <xf numFmtId="2" fontId="14" fillId="5" borderId="11" xfId="0" applyNumberFormat="1" applyFont="1" applyFill="1" applyBorder="1" applyAlignment="1" applyProtection="1">
      <alignment horizontal="center" vertical="center"/>
    </xf>
    <xf numFmtId="9" fontId="0" fillId="5" borderId="11" xfId="1" applyFont="1" applyFill="1" applyBorder="1" applyProtection="1"/>
    <xf numFmtId="0" fontId="13" fillId="5" borderId="21" xfId="0" applyFont="1" applyFill="1" applyBorder="1" applyAlignment="1" applyProtection="1">
      <alignment vertical="center"/>
    </xf>
    <xf numFmtId="2" fontId="14" fillId="5" borderId="22" xfId="0" applyNumberFormat="1" applyFont="1" applyFill="1" applyBorder="1" applyAlignment="1" applyProtection="1">
      <alignment horizontal="center" vertical="center"/>
    </xf>
    <xf numFmtId="2" fontId="0" fillId="5" borderId="22" xfId="0" applyNumberFormat="1" applyFill="1" applyBorder="1" applyProtection="1"/>
    <xf numFmtId="0" fontId="0" fillId="5" borderId="23" xfId="0" applyFill="1" applyBorder="1" applyProtection="1"/>
    <xf numFmtId="0" fontId="3" fillId="3" borderId="0" xfId="0" applyFont="1" applyFill="1" applyBorder="1" applyAlignment="1" applyProtection="1">
      <alignment vertical="center" wrapText="1"/>
    </xf>
    <xf numFmtId="0" fontId="3" fillId="3" borderId="2" xfId="0" applyFont="1" applyFill="1" applyBorder="1" applyAlignment="1" applyProtection="1">
      <alignment vertical="center" wrapText="1"/>
    </xf>
    <xf numFmtId="0" fontId="3" fillId="3" borderId="3" xfId="0" applyFont="1" applyFill="1" applyBorder="1" applyAlignment="1" applyProtection="1">
      <alignment vertical="center" wrapText="1"/>
    </xf>
    <xf numFmtId="0" fontId="6" fillId="3" borderId="2" xfId="0" applyFont="1" applyFill="1" applyBorder="1" applyAlignment="1" applyProtection="1">
      <alignment vertical="center" wrapText="1"/>
    </xf>
    <xf numFmtId="0" fontId="6" fillId="3" borderId="3" xfId="0" applyFont="1" applyFill="1" applyBorder="1" applyAlignment="1" applyProtection="1">
      <alignment vertical="center" wrapText="1"/>
    </xf>
    <xf numFmtId="0" fontId="0" fillId="2" borderId="16" xfId="0" applyFill="1" applyBorder="1" applyAlignment="1" applyProtection="1">
      <alignment vertical="center" wrapText="1"/>
    </xf>
    <xf numFmtId="0" fontId="0" fillId="3" borderId="0" xfId="0" applyFill="1" applyBorder="1" applyAlignment="1" applyProtection="1">
      <alignment vertical="center" wrapText="1"/>
    </xf>
    <xf numFmtId="0" fontId="0" fillId="9" borderId="3" xfId="0" applyFill="1" applyBorder="1" applyAlignment="1" applyProtection="1">
      <alignment vertical="center" wrapText="1"/>
    </xf>
    <xf numFmtId="0" fontId="0" fillId="2" borderId="2" xfId="0" applyFill="1" applyBorder="1" applyAlignment="1" applyProtection="1">
      <alignment vertical="center" wrapText="1"/>
    </xf>
    <xf numFmtId="0" fontId="3" fillId="3" borderId="44" xfId="0" applyFont="1" applyFill="1" applyBorder="1" applyAlignment="1" applyProtection="1">
      <alignment vertical="center" wrapText="1"/>
    </xf>
    <xf numFmtId="0" fontId="2" fillId="5" borderId="17" xfId="0" applyFont="1" applyFill="1" applyBorder="1" applyProtection="1"/>
    <xf numFmtId="0" fontId="0" fillId="5" borderId="18" xfId="0" applyFill="1" applyBorder="1" applyProtection="1"/>
    <xf numFmtId="0" fontId="0" fillId="5" borderId="19" xfId="0" applyFill="1" applyBorder="1" applyProtection="1"/>
    <xf numFmtId="0" fontId="3" fillId="3" borderId="16" xfId="0" applyFont="1" applyFill="1" applyBorder="1" applyAlignment="1" applyProtection="1">
      <alignment vertical="center" wrapText="1"/>
    </xf>
    <xf numFmtId="0" fontId="24" fillId="0" borderId="31" xfId="0" applyFont="1" applyFill="1" applyBorder="1" applyAlignment="1" applyProtection="1">
      <alignment vertical="center" wrapText="1"/>
    </xf>
    <xf numFmtId="0" fontId="15" fillId="0" borderId="34" xfId="0" applyFont="1" applyBorder="1" applyProtection="1">
      <protection locked="0"/>
    </xf>
    <xf numFmtId="0" fontId="24" fillId="0" borderId="32" xfId="0" applyFont="1" applyFill="1" applyBorder="1" applyAlignment="1" applyProtection="1">
      <alignment vertical="center" wrapText="1"/>
    </xf>
    <xf numFmtId="0" fontId="24" fillId="0" borderId="19" xfId="0" applyFont="1" applyFill="1" applyBorder="1" applyAlignment="1" applyProtection="1">
      <alignment vertical="center" wrapText="1"/>
    </xf>
    <xf numFmtId="0" fontId="15" fillId="0" borderId="32" xfId="0" applyFont="1" applyBorder="1" applyProtection="1">
      <protection locked="0"/>
    </xf>
    <xf numFmtId="0" fontId="24" fillId="0" borderId="20" xfId="0" applyFont="1" applyFill="1" applyBorder="1" applyAlignment="1" applyProtection="1">
      <alignment vertical="center" wrapText="1"/>
    </xf>
    <xf numFmtId="0" fontId="15" fillId="0" borderId="33" xfId="0" applyFont="1" applyBorder="1" applyProtection="1">
      <protection locked="0"/>
    </xf>
    <xf numFmtId="0" fontId="3" fillId="3" borderId="42" xfId="0" applyFont="1" applyFill="1" applyBorder="1" applyAlignment="1" applyProtection="1">
      <alignment vertical="center" wrapText="1"/>
    </xf>
    <xf numFmtId="0" fontId="24" fillId="0" borderId="34" xfId="0" applyFont="1" applyFill="1" applyBorder="1" applyAlignment="1" applyProtection="1">
      <alignment vertical="center" wrapText="1"/>
    </xf>
    <xf numFmtId="0" fontId="24" fillId="0" borderId="2" xfId="0" applyFont="1" applyFill="1" applyBorder="1" applyAlignment="1" applyProtection="1">
      <alignment vertical="center" wrapText="1"/>
    </xf>
    <xf numFmtId="0" fontId="24" fillId="12" borderId="2" xfId="0" applyFont="1" applyFill="1" applyBorder="1" applyAlignment="1" applyProtection="1">
      <alignment vertical="center" wrapText="1"/>
    </xf>
    <xf numFmtId="0" fontId="22" fillId="0" borderId="2" xfId="0" applyFont="1" applyFill="1" applyBorder="1" applyAlignment="1" applyProtection="1">
      <alignment vertical="center" wrapText="1"/>
    </xf>
    <xf numFmtId="0" fontId="16" fillId="24" borderId="6" xfId="0" applyFont="1" applyFill="1" applyBorder="1" applyProtection="1">
      <protection locked="0"/>
    </xf>
    <xf numFmtId="0" fontId="15" fillId="0" borderId="24" xfId="0" applyFont="1" applyBorder="1" applyProtection="1">
      <protection locked="0"/>
    </xf>
    <xf numFmtId="0" fontId="27" fillId="0" borderId="32" xfId="0" applyFont="1" applyBorder="1" applyAlignment="1" applyProtection="1">
      <alignment vertical="center" wrapText="1"/>
    </xf>
    <xf numFmtId="0" fontId="24" fillId="12" borderId="32" xfId="0" applyFont="1" applyFill="1" applyBorder="1" applyAlignment="1" applyProtection="1">
      <alignment vertical="center" wrapText="1"/>
    </xf>
    <xf numFmtId="0" fontId="24" fillId="12" borderId="29" xfId="0" applyFont="1" applyFill="1" applyBorder="1" applyAlignment="1" applyProtection="1">
      <alignment vertical="center" wrapText="1"/>
    </xf>
    <xf numFmtId="0" fontId="24" fillId="0" borderId="30" xfId="0" applyFont="1" applyFill="1" applyBorder="1" applyAlignment="1" applyProtection="1">
      <alignment vertical="center" wrapText="1"/>
    </xf>
    <xf numFmtId="0" fontId="22" fillId="0" borderId="33" xfId="0" applyFont="1" applyBorder="1" applyAlignment="1" applyProtection="1">
      <alignment vertical="center" wrapText="1"/>
    </xf>
    <xf numFmtId="0" fontId="22" fillId="0" borderId="34" xfId="0" applyFont="1" applyBorder="1" applyAlignment="1" applyProtection="1">
      <alignment vertical="center" wrapText="1"/>
    </xf>
    <xf numFmtId="0" fontId="22" fillId="0" borderId="1" xfId="0" applyFont="1" applyBorder="1" applyAlignment="1" applyProtection="1">
      <alignment vertical="center" wrapText="1"/>
    </xf>
    <xf numFmtId="9" fontId="24" fillId="6" borderId="1" xfId="1" applyFont="1" applyFill="1" applyBorder="1" applyAlignment="1" applyProtection="1">
      <alignment horizontal="center" vertical="center" wrapText="1"/>
    </xf>
    <xf numFmtId="0" fontId="24" fillId="0" borderId="1" xfId="0" applyFont="1" applyFill="1" applyBorder="1" applyAlignment="1" applyProtection="1">
      <alignment vertical="center" wrapText="1"/>
    </xf>
    <xf numFmtId="0" fontId="24" fillId="12" borderId="1" xfId="0" applyFont="1" applyFill="1" applyBorder="1" applyAlignment="1" applyProtection="1">
      <alignment vertical="center" wrapText="1"/>
    </xf>
    <xf numFmtId="0" fontId="24" fillId="0" borderId="5" xfId="0" applyFont="1" applyBorder="1" applyAlignment="1" applyProtection="1">
      <alignment vertical="center" wrapText="1"/>
    </xf>
    <xf numFmtId="0" fontId="24" fillId="12" borderId="7" xfId="0" applyFont="1" applyFill="1" applyBorder="1" applyAlignment="1" applyProtection="1">
      <alignment vertical="center" wrapText="1"/>
    </xf>
    <xf numFmtId="0" fontId="15" fillId="0" borderId="0" xfId="0" applyFont="1" applyProtection="1">
      <protection locked="0"/>
    </xf>
    <xf numFmtId="0" fontId="24" fillId="0" borderId="7" xfId="0" applyFont="1" applyBorder="1" applyAlignment="1" applyProtection="1">
      <alignment vertical="center" wrapText="1"/>
    </xf>
    <xf numFmtId="0" fontId="24" fillId="12" borderId="30" xfId="0" applyFont="1" applyFill="1" applyBorder="1" applyAlignment="1" applyProtection="1">
      <alignment vertical="center" wrapText="1"/>
    </xf>
    <xf numFmtId="0" fontId="24" fillId="12" borderId="31" xfId="0" applyFont="1" applyFill="1" applyBorder="1" applyAlignment="1" applyProtection="1">
      <alignment vertical="center" wrapText="1"/>
    </xf>
    <xf numFmtId="0" fontId="24" fillId="0" borderId="26" xfId="0" applyFont="1" applyFill="1" applyBorder="1" applyAlignment="1" applyProtection="1">
      <alignment vertical="center" wrapText="1"/>
    </xf>
    <xf numFmtId="0" fontId="24" fillId="0" borderId="23" xfId="0" applyFont="1" applyFill="1" applyBorder="1" applyAlignment="1" applyProtection="1">
      <alignment vertical="center" wrapText="1"/>
    </xf>
    <xf numFmtId="0" fontId="24" fillId="0" borderId="2" xfId="0" applyFont="1" applyBorder="1" applyAlignment="1" applyProtection="1">
      <alignment vertical="center" wrapText="1"/>
    </xf>
    <xf numFmtId="0" fontId="24" fillId="0" borderId="1" xfId="0" applyFont="1" applyBorder="1" applyAlignment="1" applyProtection="1">
      <alignment vertical="center" wrapText="1"/>
    </xf>
    <xf numFmtId="0" fontId="24" fillId="0" borderId="24" xfId="0" applyFont="1" applyFill="1" applyBorder="1" applyAlignment="1" applyProtection="1">
      <alignment vertical="center" wrapText="1"/>
    </xf>
    <xf numFmtId="0" fontId="24" fillId="0" borderId="58" xfId="0" applyFont="1" applyFill="1" applyBorder="1" applyAlignment="1" applyProtection="1">
      <alignment vertical="center" wrapText="1"/>
    </xf>
    <xf numFmtId="0" fontId="0" fillId="9" borderId="6" xfId="0" applyFill="1" applyBorder="1" applyAlignment="1" applyProtection="1">
      <alignment vertical="center" wrapText="1"/>
      <protection locked="0"/>
    </xf>
    <xf numFmtId="0" fontId="24" fillId="12" borderId="45" xfId="0" applyFont="1" applyFill="1" applyBorder="1" applyAlignment="1" applyProtection="1">
      <alignment vertical="center" wrapText="1"/>
    </xf>
    <xf numFmtId="0" fontId="22" fillId="0" borderId="52" xfId="0" applyFont="1" applyBorder="1" applyAlignment="1" applyProtection="1">
      <alignment horizontal="left" vertical="center" wrapText="1"/>
    </xf>
    <xf numFmtId="9" fontId="22" fillId="11" borderId="1" xfId="1" applyFont="1" applyFill="1" applyBorder="1" applyAlignment="1" applyProtection="1">
      <alignment horizontal="center" vertical="center" wrapText="1"/>
    </xf>
    <xf numFmtId="0" fontId="26" fillId="12" borderId="50" xfId="0" applyFont="1" applyFill="1" applyBorder="1" applyAlignment="1" applyProtection="1">
      <alignment horizontal="center" vertical="center" wrapText="1"/>
      <protection locked="0"/>
    </xf>
    <xf numFmtId="0" fontId="26" fillId="12" borderId="17" xfId="0" applyFont="1" applyFill="1" applyBorder="1" applyAlignment="1" applyProtection="1">
      <alignment horizontal="center" vertical="center" wrapText="1"/>
      <protection locked="0"/>
    </xf>
    <xf numFmtId="0" fontId="26" fillId="12" borderId="19" xfId="0" applyFont="1" applyFill="1" applyBorder="1" applyAlignment="1" applyProtection="1">
      <alignment horizontal="center" vertical="center" wrapText="1"/>
      <protection locked="0"/>
    </xf>
    <xf numFmtId="0" fontId="26" fillId="12" borderId="21" xfId="0" applyFont="1" applyFill="1" applyBorder="1" applyAlignment="1" applyProtection="1">
      <alignment horizontal="center" vertical="center" wrapText="1"/>
      <protection locked="0"/>
    </xf>
    <xf numFmtId="0" fontId="26" fillId="12" borderId="23" xfId="0" applyFont="1" applyFill="1" applyBorder="1" applyAlignment="1" applyProtection="1">
      <alignment horizontal="center" vertical="center" wrapText="1"/>
      <protection locked="0"/>
    </xf>
    <xf numFmtId="0" fontId="26" fillId="0" borderId="17" xfId="0" applyFont="1" applyBorder="1" applyAlignment="1" applyProtection="1">
      <alignment horizontal="center" vertical="center" wrapText="1"/>
      <protection locked="0"/>
    </xf>
    <xf numFmtId="0" fontId="26" fillId="0" borderId="56" xfId="0" applyFont="1" applyBorder="1" applyAlignment="1" applyProtection="1">
      <alignment horizontal="center" vertical="center" wrapText="1"/>
      <protection locked="0"/>
    </xf>
    <xf numFmtId="0" fontId="26" fillId="12" borderId="36" xfId="0" applyFont="1" applyFill="1" applyBorder="1" applyAlignment="1" applyProtection="1">
      <alignment horizontal="center" vertical="center" wrapText="1"/>
      <protection locked="0"/>
    </xf>
    <xf numFmtId="0" fontId="24" fillId="12" borderId="33" xfId="0" applyFont="1" applyFill="1" applyBorder="1" applyAlignment="1" applyProtection="1">
      <alignment vertical="center" wrapText="1"/>
    </xf>
    <xf numFmtId="0" fontId="24" fillId="12" borderId="34" xfId="0" applyFont="1" applyFill="1" applyBorder="1" applyAlignment="1" applyProtection="1">
      <alignment vertical="center" wrapText="1"/>
    </xf>
    <xf numFmtId="0" fontId="26" fillId="0" borderId="19" xfId="0" applyFont="1" applyBorder="1" applyAlignment="1" applyProtection="1">
      <alignment horizontal="center" vertical="center" wrapText="1"/>
      <protection locked="0"/>
    </xf>
    <xf numFmtId="0" fontId="26" fillId="0" borderId="20" xfId="0" applyFont="1" applyBorder="1" applyAlignment="1" applyProtection="1">
      <alignment horizontal="center" vertical="center" wrapText="1"/>
      <protection locked="0"/>
    </xf>
    <xf numFmtId="0" fontId="15" fillId="0" borderId="34" xfId="0" applyFont="1" applyBorder="1" applyAlignment="1" applyProtection="1">
      <alignment horizontal="left" vertical="center" wrapText="1"/>
      <protection locked="0"/>
    </xf>
    <xf numFmtId="0" fontId="0" fillId="11" borderId="0" xfId="0" applyFill="1" applyProtection="1">
      <protection locked="0"/>
    </xf>
    <xf numFmtId="0" fontId="15" fillId="0" borderId="1" xfId="0" applyFont="1" applyBorder="1" applyAlignment="1" applyProtection="1">
      <alignment vertical="top" wrapText="1"/>
      <protection locked="0"/>
    </xf>
    <xf numFmtId="165" fontId="26" fillId="12" borderId="21" xfId="0" applyNumberFormat="1" applyFont="1" applyFill="1" applyBorder="1" applyAlignment="1" applyProtection="1">
      <alignment horizontal="center" vertical="center" wrapText="1"/>
      <protection locked="0"/>
    </xf>
    <xf numFmtId="165" fontId="26" fillId="12" borderId="23" xfId="0" applyNumberFormat="1" applyFont="1" applyFill="1" applyBorder="1" applyAlignment="1" applyProtection="1">
      <alignment horizontal="center" vertical="center" wrapText="1"/>
      <protection locked="0"/>
    </xf>
    <xf numFmtId="0" fontId="26" fillId="0" borderId="15" xfId="0" applyFont="1" applyBorder="1" applyAlignment="1" applyProtection="1">
      <alignment horizontal="center" vertical="center" wrapText="1"/>
      <protection locked="0"/>
    </xf>
    <xf numFmtId="0" fontId="26" fillId="0" borderId="23" xfId="0" applyFont="1" applyBorder="1" applyAlignment="1" applyProtection="1">
      <alignment horizontal="center" vertical="center" wrapText="1"/>
      <protection locked="0"/>
    </xf>
    <xf numFmtId="0" fontId="26" fillId="0" borderId="21" xfId="0" applyFont="1" applyBorder="1" applyAlignment="1" applyProtection="1">
      <alignment horizontal="center" vertical="center" wrapText="1"/>
      <protection locked="0"/>
    </xf>
    <xf numFmtId="165" fontId="26" fillId="12" borderId="50" xfId="0" applyNumberFormat="1" applyFont="1" applyFill="1" applyBorder="1" applyAlignment="1" applyProtection="1">
      <alignment horizontal="center" vertical="center" wrapText="1"/>
      <protection locked="0"/>
    </xf>
    <xf numFmtId="165" fontId="26" fillId="0" borderId="21" xfId="0" applyNumberFormat="1" applyFont="1" applyBorder="1" applyAlignment="1" applyProtection="1">
      <alignment horizontal="center" vertical="center" wrapText="1"/>
      <protection locked="0"/>
    </xf>
    <xf numFmtId="165" fontId="26" fillId="0" borderId="15" xfId="0" applyNumberFormat="1" applyFont="1" applyBorder="1" applyAlignment="1" applyProtection="1">
      <alignment horizontal="center" vertical="center" wrapText="1"/>
      <protection locked="0"/>
    </xf>
    <xf numFmtId="0" fontId="27" fillId="12" borderId="15" xfId="0" applyFont="1" applyFill="1" applyBorder="1" applyAlignment="1" applyProtection="1">
      <alignment horizontal="center" vertical="center" wrapText="1"/>
      <protection locked="0"/>
    </xf>
    <xf numFmtId="0" fontId="27" fillId="12" borderId="20" xfId="0" applyFont="1" applyFill="1" applyBorder="1" applyAlignment="1" applyProtection="1">
      <alignment horizontal="center" vertical="center" wrapText="1"/>
      <protection locked="0"/>
    </xf>
    <xf numFmtId="165" fontId="26" fillId="0" borderId="20" xfId="0" applyNumberFormat="1" applyFont="1" applyBorder="1" applyAlignment="1" applyProtection="1">
      <alignment horizontal="center" vertical="center" wrapText="1"/>
      <protection locked="0"/>
    </xf>
    <xf numFmtId="165" fontId="27" fillId="12" borderId="15" xfId="0" applyNumberFormat="1" applyFont="1" applyFill="1" applyBorder="1" applyAlignment="1" applyProtection="1">
      <alignment horizontal="center" vertical="center" wrapText="1"/>
      <protection locked="0"/>
    </xf>
    <xf numFmtId="165" fontId="27" fillId="12" borderId="20" xfId="0" applyNumberFormat="1" applyFont="1" applyFill="1" applyBorder="1" applyAlignment="1" applyProtection="1">
      <alignment horizontal="center" vertical="center" wrapText="1"/>
      <protection locked="0"/>
    </xf>
    <xf numFmtId="165" fontId="26" fillId="0" borderId="23" xfId="0" applyNumberFormat="1" applyFont="1" applyBorder="1" applyAlignment="1" applyProtection="1">
      <alignment horizontal="center" vertical="center" wrapText="1"/>
      <protection locked="0"/>
    </xf>
    <xf numFmtId="0" fontId="10" fillId="11" borderId="42" xfId="0" applyFont="1" applyFill="1" applyBorder="1" applyAlignment="1" applyProtection="1">
      <alignment vertical="center" wrapText="1"/>
      <protection locked="0"/>
    </xf>
    <xf numFmtId="0" fontId="10" fillId="11" borderId="45" xfId="0" applyFont="1" applyFill="1" applyBorder="1" applyAlignment="1" applyProtection="1">
      <alignment vertical="center" wrapText="1"/>
      <protection locked="0"/>
    </xf>
    <xf numFmtId="0" fontId="32" fillId="3" borderId="43" xfId="0" applyFont="1" applyFill="1" applyBorder="1" applyAlignment="1" applyProtection="1">
      <alignment vertical="center" wrapText="1"/>
      <protection locked="0"/>
    </xf>
    <xf numFmtId="0" fontId="32" fillId="3" borderId="9" xfId="0" applyFont="1" applyFill="1" applyBorder="1" applyAlignment="1" applyProtection="1">
      <alignment vertical="center" wrapText="1"/>
      <protection locked="0"/>
    </xf>
    <xf numFmtId="0" fontId="32" fillId="3" borderId="70" xfId="0" applyFont="1" applyFill="1" applyBorder="1" applyAlignment="1" applyProtection="1">
      <alignment vertical="center" wrapText="1"/>
      <protection locked="0"/>
    </xf>
    <xf numFmtId="0" fontId="32" fillId="3" borderId="71" xfId="0" applyFont="1" applyFill="1" applyBorder="1" applyAlignment="1" applyProtection="1">
      <alignment vertical="center" wrapText="1"/>
      <protection locked="0"/>
    </xf>
    <xf numFmtId="165" fontId="26" fillId="12" borderId="36" xfId="0" applyNumberFormat="1" applyFont="1" applyFill="1" applyBorder="1" applyAlignment="1" applyProtection="1">
      <alignment horizontal="center" vertical="center" wrapText="1"/>
      <protection locked="0"/>
    </xf>
    <xf numFmtId="0" fontId="10" fillId="3" borderId="43" xfId="0" applyFont="1" applyFill="1" applyBorder="1" applyAlignment="1" applyProtection="1">
      <alignment vertical="center" wrapText="1"/>
      <protection locked="0"/>
    </xf>
    <xf numFmtId="0" fontId="10" fillId="3" borderId="9" xfId="0" applyFont="1" applyFill="1" applyBorder="1" applyAlignment="1" applyProtection="1">
      <alignment vertical="center" wrapText="1"/>
      <protection locked="0"/>
    </xf>
    <xf numFmtId="0" fontId="10" fillId="3" borderId="2" xfId="0" applyFont="1" applyFill="1" applyBorder="1" applyAlignment="1" applyProtection="1">
      <alignment vertical="center" wrapText="1"/>
      <protection locked="0"/>
    </xf>
    <xf numFmtId="0" fontId="10" fillId="3" borderId="4" xfId="0" applyFont="1" applyFill="1" applyBorder="1" applyAlignment="1" applyProtection="1">
      <alignment vertical="center" wrapText="1"/>
      <protection locked="0"/>
    </xf>
    <xf numFmtId="0" fontId="32" fillId="3" borderId="2" xfId="0" applyFont="1" applyFill="1" applyBorder="1" applyAlignment="1" applyProtection="1">
      <alignment vertical="center" wrapText="1"/>
      <protection locked="0"/>
    </xf>
    <xf numFmtId="0" fontId="32" fillId="3" borderId="4" xfId="0" applyFont="1" applyFill="1" applyBorder="1" applyAlignment="1" applyProtection="1">
      <alignment vertical="center" wrapText="1"/>
      <protection locked="0"/>
    </xf>
    <xf numFmtId="0" fontId="16" fillId="2" borderId="16" xfId="0" applyFont="1" applyFill="1" applyBorder="1" applyAlignment="1" applyProtection="1">
      <alignment vertical="center" wrapText="1"/>
      <protection locked="0"/>
    </xf>
    <xf numFmtId="0" fontId="16" fillId="2" borderId="7" xfId="0" applyFont="1" applyFill="1" applyBorder="1" applyAlignment="1" applyProtection="1">
      <alignment vertical="center" wrapText="1"/>
      <protection locked="0"/>
    </xf>
    <xf numFmtId="0" fontId="16" fillId="3" borderId="2" xfId="0" applyFont="1" applyFill="1" applyBorder="1" applyAlignment="1" applyProtection="1">
      <alignment vertical="center" wrapText="1"/>
      <protection locked="0"/>
    </xf>
    <xf numFmtId="0" fontId="16" fillId="3" borderId="4" xfId="0" applyFont="1" applyFill="1" applyBorder="1" applyAlignment="1" applyProtection="1">
      <alignment vertical="center" wrapText="1"/>
      <protection locked="0"/>
    </xf>
    <xf numFmtId="0" fontId="33" fillId="2" borderId="16" xfId="0" applyFont="1" applyFill="1" applyBorder="1" applyAlignment="1" applyProtection="1">
      <alignment vertical="center" wrapText="1"/>
      <protection locked="0"/>
    </xf>
    <xf numFmtId="0" fontId="33" fillId="2" borderId="7" xfId="0" applyFont="1" applyFill="1" applyBorder="1" applyAlignment="1" applyProtection="1">
      <alignment vertical="center" wrapText="1"/>
      <protection locked="0"/>
    </xf>
    <xf numFmtId="0" fontId="16" fillId="9" borderId="2" xfId="0" applyFont="1" applyFill="1" applyBorder="1" applyAlignment="1" applyProtection="1">
      <alignment vertical="center" wrapText="1"/>
      <protection locked="0"/>
    </xf>
    <xf numFmtId="0" fontId="16" fillId="9" borderId="4" xfId="0" applyFont="1" applyFill="1" applyBorder="1" applyAlignment="1" applyProtection="1">
      <alignment vertical="center" wrapText="1"/>
      <protection locked="0"/>
    </xf>
    <xf numFmtId="0" fontId="16" fillId="2" borderId="2" xfId="0" applyFont="1" applyFill="1" applyBorder="1" applyAlignment="1" applyProtection="1">
      <alignment vertical="center" wrapText="1"/>
      <protection locked="0"/>
    </xf>
    <xf numFmtId="0" fontId="16" fillId="2" borderId="4" xfId="0" applyFont="1" applyFill="1" applyBorder="1" applyAlignment="1" applyProtection="1">
      <alignment vertical="center" wrapText="1"/>
      <protection locked="0"/>
    </xf>
    <xf numFmtId="0" fontId="32" fillId="3" borderId="42" xfId="0" applyFont="1" applyFill="1" applyBorder="1" applyAlignment="1" applyProtection="1">
      <alignment vertical="center" wrapText="1"/>
      <protection locked="0"/>
    </xf>
    <xf numFmtId="0" fontId="32" fillId="3" borderId="45" xfId="0" applyFont="1" applyFill="1" applyBorder="1" applyAlignment="1" applyProtection="1">
      <alignment vertical="center" wrapText="1"/>
      <protection locked="0"/>
    </xf>
    <xf numFmtId="0" fontId="32" fillId="3" borderId="16" xfId="0" applyFont="1" applyFill="1" applyBorder="1" applyAlignment="1" applyProtection="1">
      <alignment vertical="center" wrapText="1"/>
      <protection locked="0"/>
    </xf>
    <xf numFmtId="0" fontId="32" fillId="3" borderId="7" xfId="0" applyFont="1" applyFill="1" applyBorder="1" applyAlignment="1" applyProtection="1">
      <alignment vertical="center" wrapText="1"/>
      <protection locked="0"/>
    </xf>
    <xf numFmtId="0" fontId="10" fillId="3" borderId="42" xfId="0" applyFont="1" applyFill="1" applyBorder="1" applyAlignment="1" applyProtection="1">
      <alignment vertical="center" wrapText="1"/>
      <protection locked="0"/>
    </xf>
    <xf numFmtId="0" fontId="10" fillId="3" borderId="45" xfId="0" applyFont="1" applyFill="1" applyBorder="1" applyAlignment="1" applyProtection="1">
      <alignment vertical="center" wrapText="1"/>
      <protection locked="0"/>
    </xf>
    <xf numFmtId="0" fontId="15" fillId="0" borderId="32" xfId="0" applyFont="1" applyBorder="1" applyAlignment="1" applyProtection="1">
      <alignment horizontal="left" vertical="center" wrapText="1"/>
      <protection locked="0"/>
    </xf>
    <xf numFmtId="0" fontId="15" fillId="0" borderId="32" xfId="0" applyFont="1" applyBorder="1" applyAlignment="1" applyProtection="1">
      <alignment vertical="center" wrapText="1"/>
      <protection locked="0"/>
    </xf>
    <xf numFmtId="0" fontId="34" fillId="0" borderId="41" xfId="3" applyFont="1" applyBorder="1" applyAlignment="1" applyProtection="1">
      <alignment wrapText="1"/>
      <protection locked="0"/>
    </xf>
    <xf numFmtId="0" fontId="35" fillId="0" borderId="58" xfId="3" applyFont="1" applyBorder="1" applyAlignment="1" applyProtection="1">
      <alignment vertical="top" wrapText="1"/>
      <protection locked="0"/>
    </xf>
    <xf numFmtId="0" fontId="15" fillId="0" borderId="59" xfId="0" applyFont="1" applyBorder="1" applyAlignment="1" applyProtection="1">
      <alignment vertical="top" wrapText="1"/>
      <protection locked="0"/>
    </xf>
    <xf numFmtId="0" fontId="15" fillId="0" borderId="59" xfId="0" applyFont="1" applyBorder="1" applyProtection="1">
      <protection locked="0"/>
    </xf>
    <xf numFmtId="0" fontId="15" fillId="0" borderId="2" xfId="0" applyFont="1" applyBorder="1" applyProtection="1">
      <protection locked="0"/>
    </xf>
    <xf numFmtId="0" fontId="35" fillId="0" borderId="2" xfId="3" applyFont="1" applyBorder="1" applyAlignment="1" applyProtection="1">
      <alignment wrapText="1"/>
      <protection locked="0"/>
    </xf>
    <xf numFmtId="0" fontId="15" fillId="0" borderId="26" xfId="0" applyFont="1" applyBorder="1" applyProtection="1">
      <protection locked="0"/>
    </xf>
    <xf numFmtId="0" fontId="0" fillId="0" borderId="24" xfId="0" applyBorder="1" applyProtection="1">
      <protection locked="0"/>
    </xf>
    <xf numFmtId="0" fontId="0" fillId="0" borderId="32" xfId="0" applyBorder="1" applyProtection="1">
      <protection locked="0"/>
    </xf>
    <xf numFmtId="0" fontId="0" fillId="0" borderId="26" xfId="0" applyBorder="1" applyProtection="1">
      <protection locked="0"/>
    </xf>
    <xf numFmtId="0" fontId="0" fillId="0" borderId="34" xfId="0" applyBorder="1" applyProtection="1">
      <protection locked="0"/>
    </xf>
    <xf numFmtId="0" fontId="0" fillId="12" borderId="10" xfId="0" applyFill="1" applyBorder="1" applyProtection="1">
      <protection locked="0"/>
    </xf>
    <xf numFmtId="0" fontId="0" fillId="12" borderId="32" xfId="0" applyFill="1" applyBorder="1" applyProtection="1">
      <protection locked="0"/>
    </xf>
    <xf numFmtId="0" fontId="0" fillId="0" borderId="33" xfId="0" applyBorder="1" applyProtection="1">
      <protection locked="0"/>
    </xf>
    <xf numFmtId="0" fontId="35" fillId="0" borderId="25" xfId="3" applyFont="1" applyBorder="1" applyProtection="1">
      <protection locked="0"/>
    </xf>
    <xf numFmtId="0" fontId="15" fillId="0" borderId="25" xfId="0" applyFont="1" applyBorder="1" applyProtection="1">
      <protection locked="0"/>
    </xf>
    <xf numFmtId="0" fontId="35" fillId="0" borderId="48" xfId="3" applyFont="1" applyBorder="1" applyAlignment="1" applyProtection="1">
      <alignment vertical="top" wrapText="1"/>
      <protection locked="0"/>
    </xf>
    <xf numFmtId="0" fontId="15" fillId="12" borderId="25" xfId="0" applyFont="1" applyFill="1" applyBorder="1" applyProtection="1">
      <protection locked="0"/>
    </xf>
    <xf numFmtId="0" fontId="15" fillId="12" borderId="33" xfId="0" applyFont="1" applyFill="1" applyBorder="1" applyProtection="1">
      <protection locked="0"/>
    </xf>
    <xf numFmtId="0" fontId="15" fillId="12" borderId="34" xfId="0" applyFont="1" applyFill="1" applyBorder="1" applyAlignment="1" applyProtection="1">
      <alignment wrapText="1"/>
      <protection locked="0"/>
    </xf>
    <xf numFmtId="0" fontId="28" fillId="0" borderId="66" xfId="0" applyFont="1" applyBorder="1" applyAlignment="1" applyProtection="1">
      <alignment vertical="top" wrapText="1"/>
      <protection locked="0"/>
    </xf>
    <xf numFmtId="0" fontId="15" fillId="0" borderId="53" xfId="0" applyFont="1" applyBorder="1" applyAlignment="1" applyProtection="1">
      <alignment wrapText="1"/>
      <protection locked="0"/>
    </xf>
    <xf numFmtId="0" fontId="36" fillId="0" borderId="25" xfId="3" applyFont="1" applyBorder="1" applyAlignment="1" applyProtection="1">
      <alignment vertical="top" wrapText="1"/>
      <protection locked="0"/>
    </xf>
    <xf numFmtId="0" fontId="36" fillId="0" borderId="26" xfId="3" applyFont="1" applyBorder="1" applyAlignment="1" applyProtection="1">
      <alignment vertical="top" wrapText="1"/>
      <protection locked="0"/>
    </xf>
    <xf numFmtId="0" fontId="0" fillId="0" borderId="2" xfId="0" applyBorder="1" applyProtection="1">
      <protection locked="0"/>
    </xf>
    <xf numFmtId="0" fontId="34" fillId="0" borderId="26" xfId="3" applyFont="1" applyBorder="1" applyAlignment="1" applyProtection="1">
      <alignment vertical="top" wrapText="1"/>
      <protection locked="0"/>
    </xf>
    <xf numFmtId="0" fontId="22" fillId="12" borderId="1" xfId="0" applyFont="1" applyFill="1" applyBorder="1" applyAlignment="1" applyProtection="1">
      <alignment vertical="center" wrapText="1"/>
    </xf>
    <xf numFmtId="0" fontId="24" fillId="12" borderId="6" xfId="0" applyFont="1" applyFill="1" applyBorder="1" applyAlignment="1" applyProtection="1">
      <alignment vertical="center" wrapText="1"/>
    </xf>
    <xf numFmtId="0" fontId="4" fillId="0" borderId="44" xfId="0" applyFont="1" applyBorder="1" applyAlignment="1" applyProtection="1">
      <alignment vertical="center" wrapText="1"/>
    </xf>
    <xf numFmtId="0" fontId="2" fillId="5" borderId="54" xfId="0" applyFont="1" applyFill="1" applyBorder="1" applyProtection="1"/>
    <xf numFmtId="0" fontId="0" fillId="5" borderId="14" xfId="0" applyFill="1" applyBorder="1" applyProtection="1"/>
    <xf numFmtId="0" fontId="0" fillId="5" borderId="74" xfId="0" applyFill="1" applyBorder="1" applyProtection="1"/>
    <xf numFmtId="0" fontId="4" fillId="11" borderId="10" xfId="0" applyFont="1" applyFill="1" applyBorder="1" applyAlignment="1" applyProtection="1">
      <alignment vertical="center" wrapText="1"/>
    </xf>
    <xf numFmtId="0" fontId="0" fillId="11" borderId="0" xfId="0" applyFill="1" applyProtection="1"/>
    <xf numFmtId="0" fontId="2" fillId="11" borderId="54" xfId="0" applyFont="1" applyFill="1" applyBorder="1" applyProtection="1"/>
    <xf numFmtId="0" fontId="0" fillId="11" borderId="14" xfId="0" applyFill="1" applyBorder="1" applyProtection="1"/>
    <xf numFmtId="0" fontId="0" fillId="11" borderId="74" xfId="0" applyFill="1" applyBorder="1" applyProtection="1"/>
    <xf numFmtId="0" fontId="15" fillId="25" borderId="1" xfId="0" applyFont="1" applyFill="1" applyBorder="1" applyAlignment="1" applyProtection="1">
      <alignment vertical="top" wrapText="1"/>
      <protection locked="0"/>
    </xf>
    <xf numFmtId="9" fontId="23" fillId="11" borderId="1" xfId="1" applyFont="1" applyFill="1" applyBorder="1" applyAlignment="1" applyProtection="1">
      <alignment horizontal="center" vertical="center" wrapText="1"/>
    </xf>
    <xf numFmtId="9" fontId="37" fillId="11" borderId="1" xfId="1" applyFont="1" applyFill="1" applyBorder="1" applyAlignment="1" applyProtection="1">
      <alignment horizontal="center" vertical="center" wrapText="1"/>
    </xf>
    <xf numFmtId="0" fontId="2" fillId="2" borderId="16" xfId="0" applyFont="1" applyFill="1" applyBorder="1" applyAlignment="1" applyProtection="1">
      <alignment vertical="center" wrapText="1"/>
    </xf>
    <xf numFmtId="0" fontId="24" fillId="0" borderId="32" xfId="0" applyFont="1" applyBorder="1" applyAlignment="1" applyProtection="1">
      <alignment vertical="center" wrapText="1"/>
    </xf>
    <xf numFmtId="0" fontId="24" fillId="0" borderId="34" xfId="0" applyFont="1" applyBorder="1" applyAlignment="1" applyProtection="1">
      <alignment vertical="center" wrapText="1"/>
    </xf>
    <xf numFmtId="0" fontId="24" fillId="0" borderId="33" xfId="0" applyFont="1" applyBorder="1" applyAlignment="1" applyProtection="1">
      <alignment vertical="center" wrapText="1"/>
    </xf>
    <xf numFmtId="0" fontId="8" fillId="0" borderId="0" xfId="0" applyFont="1" applyBorder="1" applyAlignment="1" applyProtection="1">
      <alignment horizontal="center" vertical="center"/>
      <protection locked="0"/>
    </xf>
    <xf numFmtId="0" fontId="24" fillId="0" borderId="32" xfId="0" applyFont="1" applyBorder="1" applyAlignment="1" applyProtection="1">
      <alignment vertical="center" wrapText="1"/>
    </xf>
    <xf numFmtId="0" fontId="24" fillId="0" borderId="33" xfId="0" applyFont="1" applyBorder="1" applyAlignment="1" applyProtection="1">
      <alignment vertical="center" wrapText="1"/>
    </xf>
    <xf numFmtId="0" fontId="24" fillId="0" borderId="34" xfId="0" applyFont="1" applyBorder="1" applyAlignment="1" applyProtection="1">
      <alignment vertical="center" wrapText="1"/>
    </xf>
    <xf numFmtId="0" fontId="24" fillId="0" borderId="24" xfId="0" applyFont="1" applyBorder="1" applyAlignment="1" applyProtection="1">
      <alignment vertical="center" wrapText="1"/>
    </xf>
    <xf numFmtId="0" fontId="24" fillId="0" borderId="26" xfId="0" applyFont="1" applyBorder="1" applyAlignment="1" applyProtection="1">
      <alignment vertical="center" wrapText="1"/>
    </xf>
    <xf numFmtId="0" fontId="24" fillId="0" borderId="33" xfId="0" applyFont="1" applyFill="1" applyBorder="1" applyAlignment="1" applyProtection="1">
      <alignment vertical="center" wrapText="1"/>
    </xf>
    <xf numFmtId="0" fontId="0" fillId="9" borderId="0" xfId="0" applyFill="1" applyProtection="1">
      <protection locked="0"/>
    </xf>
    <xf numFmtId="0" fontId="0" fillId="0" borderId="64" xfId="0" applyBorder="1" applyProtection="1">
      <protection locked="0"/>
    </xf>
    <xf numFmtId="0" fontId="38" fillId="0" borderId="0" xfId="0" applyFont="1"/>
    <xf numFmtId="0" fontId="39" fillId="0" borderId="0" xfId="0" applyFont="1"/>
    <xf numFmtId="0" fontId="35" fillId="0" borderId="60" xfId="3" applyFont="1" applyBorder="1" applyAlignment="1" applyProtection="1">
      <alignment vertical="top" wrapText="1"/>
      <protection locked="0"/>
    </xf>
    <xf numFmtId="0" fontId="35" fillId="0" borderId="25" xfId="3" applyFont="1" applyBorder="1" applyAlignment="1" applyProtection="1">
      <alignment vertical="top" wrapText="1"/>
      <protection locked="0"/>
    </xf>
    <xf numFmtId="165" fontId="23" fillId="12" borderId="50" xfId="0" applyNumberFormat="1" applyFont="1" applyFill="1" applyBorder="1" applyAlignment="1" applyProtection="1">
      <alignment horizontal="center" vertical="center" wrapText="1"/>
      <protection locked="0"/>
    </xf>
    <xf numFmtId="165" fontId="23" fillId="12" borderId="52" xfId="0" applyNumberFormat="1" applyFont="1" applyFill="1" applyBorder="1" applyAlignment="1" applyProtection="1">
      <alignment horizontal="center" vertical="center" wrapText="1"/>
      <protection locked="0"/>
    </xf>
    <xf numFmtId="0" fontId="35" fillId="0" borderId="2" xfId="3" applyFont="1" applyBorder="1" applyAlignment="1" applyProtection="1">
      <alignment horizontal="left" vertical="center" wrapText="1"/>
      <protection locked="0"/>
    </xf>
    <xf numFmtId="0" fontId="6" fillId="3" borderId="16" xfId="0" applyFont="1" applyFill="1" applyBorder="1" applyAlignment="1" applyProtection="1">
      <alignment vertical="center" wrapText="1"/>
    </xf>
    <xf numFmtId="0" fontId="35" fillId="0" borderId="24" xfId="3" applyFont="1" applyBorder="1" applyAlignment="1" applyProtection="1">
      <alignment wrapText="1"/>
      <protection locked="0"/>
    </xf>
    <xf numFmtId="0" fontId="0" fillId="25" borderId="32" xfId="0" applyFill="1" applyBorder="1" applyAlignment="1" applyProtection="1">
      <alignment vertical="top" wrapText="1"/>
      <protection locked="0"/>
    </xf>
    <xf numFmtId="0" fontId="2" fillId="0" borderId="5" xfId="0" applyFont="1" applyBorder="1" applyProtection="1">
      <protection locked="0"/>
    </xf>
    <xf numFmtId="0" fontId="2" fillId="0" borderId="7" xfId="0" applyFont="1" applyBorder="1" applyProtection="1">
      <protection locked="0"/>
    </xf>
    <xf numFmtId="165" fontId="23" fillId="0" borderId="15" xfId="0" applyNumberFormat="1" applyFont="1" applyBorder="1" applyAlignment="1" applyProtection="1">
      <alignment horizontal="center" vertical="center" wrapText="1"/>
      <protection locked="0"/>
    </xf>
    <xf numFmtId="165" fontId="23" fillId="0" borderId="21" xfId="0" applyNumberFormat="1" applyFont="1" applyBorder="1" applyAlignment="1" applyProtection="1">
      <alignment horizontal="center" vertical="center" wrapText="1"/>
      <protection locked="0"/>
    </xf>
    <xf numFmtId="0" fontId="0" fillId="2" borderId="5" xfId="0" applyFill="1" applyBorder="1" applyAlignment="1" applyProtection="1">
      <alignment vertical="center" wrapText="1"/>
      <protection locked="0"/>
    </xf>
    <xf numFmtId="0" fontId="0" fillId="9" borderId="16" xfId="0" applyFill="1" applyBorder="1" applyAlignment="1" applyProtection="1">
      <alignment vertical="center" wrapText="1"/>
      <protection locked="0"/>
    </xf>
    <xf numFmtId="0" fontId="0" fillId="2" borderId="2" xfId="0" applyFill="1" applyBorder="1" applyAlignment="1" applyProtection="1">
      <alignment vertical="center" wrapText="1"/>
      <protection locked="0"/>
    </xf>
    <xf numFmtId="0" fontId="35" fillId="0" borderId="46" xfId="3" applyFont="1" applyBorder="1" applyAlignment="1" applyProtection="1">
      <alignment vertical="top" wrapText="1"/>
      <protection locked="0"/>
    </xf>
    <xf numFmtId="0" fontId="35" fillId="12" borderId="66" xfId="3" applyFont="1" applyFill="1" applyBorder="1" applyAlignment="1" applyProtection="1">
      <alignment vertical="top" wrapText="1"/>
      <protection locked="0"/>
    </xf>
    <xf numFmtId="0" fontId="10" fillId="11" borderId="2" xfId="0" applyFont="1" applyFill="1" applyBorder="1" applyAlignment="1" applyProtection="1">
      <alignment vertical="center" wrapText="1"/>
    </xf>
    <xf numFmtId="0" fontId="41" fillId="0" borderId="2" xfId="0" applyFont="1" applyBorder="1" applyAlignment="1" applyProtection="1">
      <alignment vertical="top" wrapText="1"/>
      <protection locked="0"/>
    </xf>
    <xf numFmtId="0" fontId="34" fillId="0" borderId="53" xfId="3" applyFont="1" applyBorder="1" applyAlignment="1" applyProtection="1">
      <alignment vertical="top" wrapText="1"/>
      <protection locked="0"/>
    </xf>
    <xf numFmtId="165" fontId="26" fillId="25" borderId="19" xfId="0" applyNumberFormat="1" applyFont="1" applyFill="1" applyBorder="1" applyAlignment="1" applyProtection="1">
      <alignment horizontal="center" vertical="center" wrapText="1"/>
      <protection locked="0"/>
    </xf>
    <xf numFmtId="0" fontId="41" fillId="0" borderId="29" xfId="0" applyFont="1" applyBorder="1" applyProtection="1">
      <protection locked="0"/>
    </xf>
    <xf numFmtId="165" fontId="26" fillId="12" borderId="15" xfId="0" applyNumberFormat="1" applyFont="1" applyFill="1" applyBorder="1" applyAlignment="1" applyProtection="1">
      <alignment horizontal="center" vertical="center" wrapText="1"/>
      <protection locked="0"/>
    </xf>
    <xf numFmtId="165" fontId="26" fillId="12" borderId="20" xfId="0" applyNumberFormat="1" applyFont="1" applyFill="1" applyBorder="1" applyAlignment="1" applyProtection="1">
      <alignment horizontal="center" vertical="center" wrapText="1"/>
      <protection locked="0"/>
    </xf>
    <xf numFmtId="0" fontId="41" fillId="0" borderId="30" xfId="0" applyFont="1" applyBorder="1" applyAlignment="1" applyProtection="1">
      <alignment horizontal="left" vertical="center" wrapText="1"/>
      <protection locked="0"/>
    </xf>
    <xf numFmtId="0" fontId="0" fillId="0" borderId="31" xfId="0" applyBorder="1" applyProtection="1">
      <protection locked="0"/>
    </xf>
    <xf numFmtId="0" fontId="15" fillId="25" borderId="33" xfId="0" applyFont="1" applyFill="1" applyBorder="1" applyAlignment="1" applyProtection="1">
      <alignment vertical="top" wrapText="1"/>
      <protection locked="0"/>
    </xf>
    <xf numFmtId="0" fontId="35" fillId="0" borderId="24" xfId="3" applyFont="1" applyBorder="1" applyProtection="1">
      <protection locked="0"/>
    </xf>
    <xf numFmtId="0" fontId="15" fillId="25" borderId="32" xfId="0" applyFont="1" applyFill="1" applyBorder="1" applyAlignment="1" applyProtection="1">
      <alignment vertical="top" wrapText="1"/>
      <protection locked="0"/>
    </xf>
    <xf numFmtId="0" fontId="15" fillId="0" borderId="25" xfId="0" applyFont="1" applyBorder="1" applyAlignment="1" applyProtection="1">
      <alignment vertical="top" wrapText="1"/>
      <protection locked="0"/>
    </xf>
    <xf numFmtId="0" fontId="35" fillId="0" borderId="26" xfId="3" applyFont="1" applyBorder="1" applyAlignment="1" applyProtection="1">
      <alignment vertical="top" wrapText="1"/>
      <protection locked="0"/>
    </xf>
    <xf numFmtId="0" fontId="32" fillId="3" borderId="75" xfId="0" applyFont="1" applyFill="1" applyBorder="1" applyAlignment="1" applyProtection="1">
      <alignment vertical="center" wrapText="1"/>
      <protection locked="0"/>
    </xf>
    <xf numFmtId="0" fontId="32" fillId="3" borderId="76" xfId="0" applyFont="1" applyFill="1" applyBorder="1" applyAlignment="1" applyProtection="1">
      <alignment vertical="center" wrapText="1"/>
      <protection locked="0"/>
    </xf>
    <xf numFmtId="165" fontId="26" fillId="12" borderId="52" xfId="0" applyNumberFormat="1" applyFont="1" applyFill="1" applyBorder="1" applyAlignment="1" applyProtection="1">
      <alignment horizontal="center" vertical="center" wrapText="1"/>
      <protection locked="0"/>
    </xf>
    <xf numFmtId="0" fontId="35" fillId="0" borderId="2" xfId="3" applyFont="1" applyBorder="1" applyAlignment="1" applyProtection="1">
      <alignment vertical="top" wrapText="1"/>
      <protection locked="0"/>
    </xf>
    <xf numFmtId="0" fontId="26" fillId="12" borderId="52" xfId="0" applyFont="1" applyFill="1" applyBorder="1" applyAlignment="1" applyProtection="1">
      <alignment horizontal="center" vertical="center" wrapText="1"/>
      <protection locked="0"/>
    </xf>
    <xf numFmtId="0" fontId="10" fillId="3" borderId="3" xfId="0" applyFont="1" applyFill="1" applyBorder="1" applyAlignment="1" applyProtection="1">
      <alignment vertical="center" wrapText="1"/>
      <protection locked="0"/>
    </xf>
    <xf numFmtId="0" fontId="32" fillId="3" borderId="3" xfId="0" applyFont="1" applyFill="1" applyBorder="1" applyAlignment="1" applyProtection="1">
      <alignment vertical="center" wrapText="1"/>
      <protection locked="0"/>
    </xf>
    <xf numFmtId="0" fontId="26" fillId="0" borderId="65" xfId="0" applyFont="1" applyBorder="1" applyAlignment="1" applyProtection="1">
      <alignment horizontal="center" vertical="center" wrapText="1"/>
      <protection locked="0"/>
    </xf>
    <xf numFmtId="0" fontId="16" fillId="3" borderId="3" xfId="0" applyFont="1" applyFill="1" applyBorder="1" applyAlignment="1" applyProtection="1">
      <alignment vertical="center" wrapText="1"/>
      <protection locked="0"/>
    </xf>
    <xf numFmtId="0" fontId="27" fillId="12" borderId="17" xfId="0" applyFont="1" applyFill="1" applyBorder="1" applyAlignment="1" applyProtection="1">
      <alignment horizontal="center" vertical="center" wrapText="1"/>
      <protection locked="0"/>
    </xf>
    <xf numFmtId="0" fontId="27" fillId="12" borderId="19" xfId="0" applyFont="1" applyFill="1" applyBorder="1" applyAlignment="1" applyProtection="1">
      <alignment horizontal="center" vertical="center" wrapText="1"/>
      <protection locked="0"/>
    </xf>
    <xf numFmtId="0" fontId="0" fillId="25" borderId="33" xfId="0" applyFill="1" applyBorder="1" applyAlignment="1" applyProtection="1">
      <alignment vertical="top" wrapText="1"/>
      <protection locked="0"/>
    </xf>
    <xf numFmtId="0" fontId="33" fillId="2" borderId="6" xfId="0" applyFont="1" applyFill="1" applyBorder="1" applyAlignment="1" applyProtection="1">
      <alignment vertical="center" wrapText="1"/>
      <protection locked="0"/>
    </xf>
    <xf numFmtId="0" fontId="16" fillId="9" borderId="3" xfId="0" applyFont="1" applyFill="1" applyBorder="1" applyAlignment="1" applyProtection="1">
      <alignment vertical="center" wrapText="1"/>
      <protection locked="0"/>
    </xf>
    <xf numFmtId="0" fontId="15" fillId="12" borderId="37" xfId="0" applyFont="1" applyFill="1" applyBorder="1" applyProtection="1">
      <protection locked="0"/>
    </xf>
    <xf numFmtId="0" fontId="15" fillId="12" borderId="34" xfId="0" applyFont="1" applyFill="1" applyBorder="1" applyProtection="1">
      <protection locked="0"/>
    </xf>
    <xf numFmtId="0" fontId="15" fillId="0" borderId="32" xfId="0" applyFont="1" applyBorder="1" applyAlignment="1" applyProtection="1">
      <alignment vertical="top" wrapText="1"/>
      <protection locked="0"/>
    </xf>
    <xf numFmtId="0" fontId="42" fillId="0" borderId="34" xfId="0" applyFont="1" applyBorder="1" applyAlignment="1" applyProtection="1">
      <alignment vertical="top" wrapText="1"/>
      <protection locked="0"/>
    </xf>
    <xf numFmtId="0" fontId="42" fillId="0" borderId="41" xfId="3" applyFont="1" applyBorder="1" applyAlignment="1" applyProtection="1">
      <alignment vertical="top" wrapText="1"/>
      <protection locked="0"/>
    </xf>
    <xf numFmtId="0" fontId="42" fillId="0" borderId="33" xfId="0" applyFont="1" applyBorder="1" applyAlignment="1" applyProtection="1">
      <alignment vertical="top" wrapText="1"/>
      <protection locked="0"/>
    </xf>
    <xf numFmtId="0" fontId="42" fillId="12" borderId="32" xfId="0" applyFont="1" applyFill="1" applyBorder="1" applyAlignment="1" applyProtection="1">
      <alignment vertical="top" wrapText="1"/>
      <protection locked="0"/>
    </xf>
    <xf numFmtId="0" fontId="42" fillId="12" borderId="34" xfId="0" applyFont="1" applyFill="1" applyBorder="1" applyAlignment="1" applyProtection="1">
      <alignment vertical="top" wrapText="1"/>
      <protection locked="0"/>
    </xf>
    <xf numFmtId="0" fontId="26" fillId="25" borderId="52" xfId="0" applyFont="1" applyFill="1" applyBorder="1" applyAlignment="1" applyProtection="1">
      <alignment horizontal="center" vertical="center" wrapText="1"/>
      <protection locked="0"/>
    </xf>
    <xf numFmtId="0" fontId="15" fillId="0" borderId="32" xfId="0" applyFont="1" applyBorder="1" applyAlignment="1" applyProtection="1">
      <alignment horizontal="left" vertical="top" wrapText="1"/>
      <protection locked="0"/>
    </xf>
    <xf numFmtId="0" fontId="15" fillId="0" borderId="34" xfId="0" applyFont="1" applyBorder="1" applyAlignment="1" applyProtection="1">
      <alignment vertical="top" wrapText="1"/>
      <protection locked="0"/>
    </xf>
    <xf numFmtId="0" fontId="15" fillId="0" borderId="53" xfId="3" applyFont="1" applyBorder="1" applyAlignment="1" applyProtection="1">
      <alignment vertical="top" wrapText="1"/>
      <protection locked="0"/>
    </xf>
    <xf numFmtId="0" fontId="15" fillId="0" borderId="41" xfId="3" applyFont="1" applyBorder="1" applyAlignment="1" applyProtection="1">
      <alignment vertical="top" wrapText="1"/>
      <protection locked="0"/>
    </xf>
    <xf numFmtId="0" fontId="15" fillId="0" borderId="64" xfId="0" applyFont="1" applyBorder="1" applyAlignment="1" applyProtection="1">
      <alignment vertical="top" wrapText="1"/>
      <protection locked="0"/>
    </xf>
    <xf numFmtId="0" fontId="15" fillId="0" borderId="29" xfId="0" applyFont="1" applyBorder="1" applyAlignment="1" applyProtection="1">
      <alignment vertical="top" wrapText="1"/>
      <protection locked="0"/>
    </xf>
    <xf numFmtId="165" fontId="23" fillId="12" borderId="15" xfId="0" applyNumberFormat="1" applyFont="1" applyFill="1" applyBorder="1" applyAlignment="1" applyProtection="1">
      <alignment horizontal="center" vertical="center" wrapText="1"/>
      <protection locked="0"/>
    </xf>
    <xf numFmtId="165" fontId="23" fillId="12" borderId="20" xfId="0" applyNumberFormat="1" applyFont="1" applyFill="1" applyBorder="1" applyAlignment="1" applyProtection="1">
      <alignment horizontal="center" vertical="center" wrapText="1"/>
      <protection locked="0"/>
    </xf>
    <xf numFmtId="0" fontId="15" fillId="0" borderId="30" xfId="0" applyFont="1" applyBorder="1" applyAlignment="1" applyProtection="1">
      <alignment horizontal="left" vertical="top" wrapText="1"/>
      <protection locked="0"/>
    </xf>
    <xf numFmtId="165" fontId="23" fillId="12" borderId="21" xfId="0" applyNumberFormat="1" applyFont="1" applyFill="1" applyBorder="1" applyAlignment="1" applyProtection="1">
      <alignment horizontal="center" vertical="center" wrapText="1"/>
      <protection locked="0"/>
    </xf>
    <xf numFmtId="165" fontId="23" fillId="12" borderId="23" xfId="0" applyNumberFormat="1" applyFont="1" applyFill="1" applyBorder="1" applyAlignment="1" applyProtection="1">
      <alignment horizontal="center" vertical="center" wrapText="1"/>
      <protection locked="0"/>
    </xf>
    <xf numFmtId="0" fontId="15" fillId="0" borderId="58" xfId="3" applyFont="1" applyBorder="1" applyAlignment="1" applyProtection="1">
      <alignment vertical="top" wrapText="1"/>
      <protection locked="0"/>
    </xf>
    <xf numFmtId="0" fontId="15" fillId="0" borderId="33" xfId="0" applyFont="1" applyBorder="1" applyAlignment="1" applyProtection="1">
      <alignment vertical="top" wrapText="1"/>
      <protection locked="0"/>
    </xf>
    <xf numFmtId="0" fontId="15" fillId="0" borderId="25" xfId="3" applyFont="1" applyBorder="1" applyAlignment="1" applyProtection="1">
      <alignment vertical="top" wrapText="1"/>
      <protection locked="0"/>
    </xf>
    <xf numFmtId="165" fontId="23" fillId="0" borderId="20" xfId="0" applyNumberFormat="1" applyFont="1" applyBorder="1" applyAlignment="1" applyProtection="1">
      <alignment horizontal="center" vertical="center" wrapText="1"/>
      <protection locked="0"/>
    </xf>
    <xf numFmtId="165" fontId="23" fillId="0" borderId="23" xfId="0" applyNumberFormat="1" applyFont="1" applyBorder="1" applyAlignment="1" applyProtection="1">
      <alignment horizontal="center" vertical="center" wrapText="1"/>
      <protection locked="0"/>
    </xf>
    <xf numFmtId="0" fontId="15" fillId="0" borderId="2" xfId="3" applyFont="1" applyBorder="1" applyAlignment="1" applyProtection="1">
      <alignment vertical="top" wrapText="1"/>
      <protection locked="0"/>
    </xf>
    <xf numFmtId="0" fontId="15" fillId="25" borderId="34" xfId="0" applyFont="1" applyFill="1" applyBorder="1" applyAlignment="1" applyProtection="1">
      <alignment vertical="top" wrapText="1"/>
      <protection locked="0"/>
    </xf>
    <xf numFmtId="0" fontId="15" fillId="0" borderId="33" xfId="0" applyFont="1" applyBorder="1" applyAlignment="1" applyProtection="1">
      <alignment wrapText="1"/>
      <protection locked="0"/>
    </xf>
    <xf numFmtId="0" fontId="15" fillId="0" borderId="34" xfId="0" applyFont="1" applyBorder="1" applyAlignment="1" applyProtection="1">
      <alignment wrapText="1"/>
      <protection locked="0"/>
    </xf>
    <xf numFmtId="0" fontId="33" fillId="9" borderId="2" xfId="0" applyFont="1" applyFill="1" applyBorder="1" applyAlignment="1" applyProtection="1">
      <alignment vertical="center" wrapText="1"/>
      <protection locked="0"/>
    </xf>
    <xf numFmtId="0" fontId="33" fillId="9" borderId="3" xfId="0" applyFont="1" applyFill="1" applyBorder="1" applyAlignment="1" applyProtection="1">
      <alignment vertical="center" wrapText="1"/>
      <protection locked="0"/>
    </xf>
    <xf numFmtId="0" fontId="15" fillId="0" borderId="46" xfId="3" applyFont="1" applyBorder="1" applyAlignment="1" applyProtection="1">
      <alignment vertical="top" wrapText="1"/>
      <protection locked="0"/>
    </xf>
    <xf numFmtId="0" fontId="15" fillId="0" borderId="48" xfId="3" applyFont="1" applyBorder="1" applyAlignment="1" applyProtection="1">
      <alignment vertical="top" wrapText="1"/>
      <protection locked="0"/>
    </xf>
    <xf numFmtId="0" fontId="15" fillId="12" borderId="66" xfId="3" applyFont="1" applyFill="1" applyBorder="1" applyAlignment="1" applyProtection="1">
      <alignment vertical="top" wrapText="1"/>
      <protection locked="0"/>
    </xf>
    <xf numFmtId="0" fontId="15" fillId="12" borderId="25" xfId="0" applyFont="1" applyFill="1" applyBorder="1" applyAlignment="1" applyProtection="1">
      <alignment vertical="top" wrapText="1"/>
      <protection locked="0"/>
    </xf>
    <xf numFmtId="0" fontId="15" fillId="12" borderId="34" xfId="0" applyFont="1" applyFill="1" applyBorder="1" applyAlignment="1" applyProtection="1">
      <alignment vertical="top" wrapText="1"/>
      <protection locked="0"/>
    </xf>
    <xf numFmtId="0" fontId="15" fillId="0" borderId="53" xfId="0" applyFont="1" applyBorder="1" applyAlignment="1" applyProtection="1">
      <alignment vertical="top" wrapText="1"/>
      <protection locked="0"/>
    </xf>
    <xf numFmtId="0" fontId="28" fillId="0" borderId="25" xfId="3" applyFont="1" applyBorder="1" applyAlignment="1" applyProtection="1">
      <alignment vertical="top" wrapText="1"/>
      <protection locked="0"/>
    </xf>
    <xf numFmtId="0" fontId="33" fillId="2" borderId="2" xfId="0" applyFont="1" applyFill="1" applyBorder="1" applyAlignment="1" applyProtection="1">
      <alignment vertical="center" wrapText="1"/>
      <protection locked="0"/>
    </xf>
    <xf numFmtId="0" fontId="33" fillId="2" borderId="4" xfId="0" applyFont="1" applyFill="1" applyBorder="1" applyAlignment="1" applyProtection="1">
      <alignment vertical="center" wrapText="1"/>
      <protection locked="0"/>
    </xf>
    <xf numFmtId="0" fontId="15" fillId="0" borderId="2" xfId="0" applyFont="1" applyBorder="1" applyAlignment="1" applyProtection="1">
      <alignment vertical="top" wrapText="1"/>
      <protection locked="0"/>
    </xf>
    <xf numFmtId="0" fontId="15" fillId="0" borderId="0" xfId="0" applyFont="1" applyAlignment="1" applyProtection="1">
      <alignment vertical="top" wrapText="1"/>
      <protection locked="0"/>
    </xf>
    <xf numFmtId="0" fontId="0" fillId="12" borderId="32" xfId="0" applyFill="1" applyBorder="1" applyAlignment="1" applyProtection="1">
      <alignment vertical="top" wrapText="1"/>
      <protection locked="0"/>
    </xf>
    <xf numFmtId="0" fontId="26" fillId="12" borderId="15" xfId="0" applyFont="1" applyFill="1" applyBorder="1" applyAlignment="1" applyProtection="1">
      <alignment horizontal="center" vertical="center" wrapText="1"/>
      <protection locked="0"/>
    </xf>
    <xf numFmtId="0" fontId="26" fillId="12" borderId="20" xfId="0" applyFont="1" applyFill="1" applyBorder="1" applyAlignment="1" applyProtection="1">
      <alignment horizontal="center" vertical="center" wrapText="1"/>
      <protection locked="0"/>
    </xf>
    <xf numFmtId="0" fontId="15" fillId="12" borderId="37" xfId="0" applyFont="1" applyFill="1" applyBorder="1" applyAlignment="1" applyProtection="1">
      <alignment wrapText="1"/>
      <protection locked="0"/>
    </xf>
    <xf numFmtId="165" fontId="26" fillId="0" borderId="17" xfId="1" applyNumberFormat="1" applyFont="1" applyBorder="1" applyAlignment="1" applyProtection="1">
      <alignment horizontal="center" vertical="center" wrapText="1"/>
      <protection locked="0"/>
    </xf>
    <xf numFmtId="165" fontId="26" fillId="0" borderId="19" xfId="1" applyNumberFormat="1" applyFont="1" applyBorder="1" applyAlignment="1" applyProtection="1">
      <alignment horizontal="center" vertical="center" wrapText="1"/>
      <protection locked="0"/>
    </xf>
    <xf numFmtId="165" fontId="10" fillId="0" borderId="54" xfId="1" applyNumberFormat="1" applyFont="1" applyBorder="1" applyAlignment="1" applyProtection="1">
      <alignment horizontal="center" vertical="center" wrapText="1"/>
      <protection locked="0"/>
    </xf>
    <xf numFmtId="165" fontId="10" fillId="0" borderId="74" xfId="1" applyNumberFormat="1" applyFont="1" applyBorder="1" applyAlignment="1" applyProtection="1">
      <alignment horizontal="center" vertical="center" wrapText="1"/>
      <protection locked="0"/>
    </xf>
    <xf numFmtId="165" fontId="10" fillId="0" borderId="38" xfId="1" applyNumberFormat="1" applyFont="1" applyBorder="1" applyAlignment="1" applyProtection="1">
      <alignment horizontal="center" vertical="center" wrapText="1"/>
      <protection locked="0"/>
    </xf>
    <xf numFmtId="165" fontId="10" fillId="0" borderId="39" xfId="1" applyNumberFormat="1" applyFont="1" applyBorder="1" applyAlignment="1" applyProtection="1">
      <alignment horizontal="center" vertical="center" wrapText="1"/>
      <protection locked="0"/>
    </xf>
    <xf numFmtId="165" fontId="26" fillId="0" borderId="17" xfId="0" applyNumberFormat="1" applyFont="1" applyBorder="1" applyAlignment="1" applyProtection="1">
      <alignment horizontal="center" vertical="center" wrapText="1"/>
      <protection locked="0"/>
    </xf>
    <xf numFmtId="165" fontId="26" fillId="0" borderId="19" xfId="0" applyNumberFormat="1" applyFont="1" applyBorder="1" applyAlignment="1" applyProtection="1">
      <alignment horizontal="center" vertical="center" wrapText="1"/>
      <protection locked="0"/>
    </xf>
    <xf numFmtId="0" fontId="27" fillId="0" borderId="15" xfId="0" applyFont="1" applyBorder="1" applyAlignment="1" applyProtection="1">
      <alignment horizontal="center" vertical="center" wrapText="1"/>
      <protection locked="0"/>
    </xf>
    <xf numFmtId="0" fontId="27" fillId="0" borderId="20" xfId="0" applyFont="1" applyBorder="1" applyAlignment="1" applyProtection="1">
      <alignment horizontal="center" vertical="center" wrapText="1"/>
      <protection locked="0"/>
    </xf>
    <xf numFmtId="1" fontId="26" fillId="0" borderId="21" xfId="0" applyNumberFormat="1" applyFont="1" applyBorder="1" applyAlignment="1" applyProtection="1">
      <alignment horizontal="center" vertical="center" wrapText="1"/>
      <protection locked="0"/>
    </xf>
    <xf numFmtId="0" fontId="40" fillId="0" borderId="20" xfId="0" applyFont="1" applyBorder="1" applyAlignment="1" applyProtection="1">
      <alignment horizontal="center" vertical="center" wrapText="1"/>
      <protection locked="0"/>
    </xf>
    <xf numFmtId="165" fontId="26" fillId="0" borderId="50" xfId="0" applyNumberFormat="1" applyFont="1" applyBorder="1" applyAlignment="1" applyProtection="1">
      <alignment horizontal="center" vertical="center" wrapText="1"/>
      <protection locked="0"/>
    </xf>
    <xf numFmtId="165" fontId="26" fillId="0" borderId="52" xfId="0" applyNumberFormat="1" applyFont="1" applyBorder="1" applyAlignment="1" applyProtection="1">
      <alignment horizontal="center" vertical="center" wrapText="1"/>
      <protection locked="0"/>
    </xf>
    <xf numFmtId="3" fontId="26" fillId="0" borderId="17" xfId="0" applyNumberFormat="1" applyFont="1" applyBorder="1" applyAlignment="1" applyProtection="1">
      <alignment horizontal="center" vertical="center" wrapText="1"/>
      <protection locked="0"/>
    </xf>
    <xf numFmtId="4" fontId="26" fillId="0" borderId="46" xfId="0" applyNumberFormat="1" applyFont="1" applyBorder="1" applyAlignment="1" applyProtection="1">
      <alignment horizontal="center" vertical="center" wrapText="1"/>
      <protection locked="0"/>
    </xf>
    <xf numFmtId="0" fontId="15" fillId="25" borderId="34" xfId="0" applyFont="1" applyFill="1" applyBorder="1" applyAlignment="1" applyProtection="1">
      <alignment horizontal="left" vertical="center" wrapText="1"/>
      <protection locked="0"/>
    </xf>
    <xf numFmtId="0" fontId="26" fillId="0" borderId="54" xfId="0" applyFont="1" applyBorder="1" applyAlignment="1" applyProtection="1">
      <alignment horizontal="center" vertical="center" wrapText="1"/>
      <protection locked="0"/>
    </xf>
    <xf numFmtId="0" fontId="26" fillId="0" borderId="12" xfId="0" applyFont="1" applyBorder="1" applyAlignment="1" applyProtection="1">
      <alignment horizontal="center" vertical="center" wrapText="1"/>
      <protection locked="0"/>
    </xf>
    <xf numFmtId="1" fontId="26" fillId="0" borderId="15" xfId="0" applyNumberFormat="1" applyFont="1" applyBorder="1" applyAlignment="1" applyProtection="1">
      <alignment horizontal="center" vertical="center" wrapText="1"/>
      <protection locked="0"/>
    </xf>
    <xf numFmtId="165" fontId="26" fillId="0" borderId="54" xfId="0" applyNumberFormat="1" applyFont="1" applyBorder="1" applyAlignment="1" applyProtection="1">
      <alignment horizontal="center" vertical="center" wrapText="1"/>
      <protection locked="0"/>
    </xf>
    <xf numFmtId="165" fontId="26" fillId="0" borderId="74" xfId="0" applyNumberFormat="1" applyFont="1" applyBorder="1" applyAlignment="1" applyProtection="1">
      <alignment horizontal="center" vertical="center" wrapText="1"/>
      <protection locked="0"/>
    </xf>
    <xf numFmtId="2" fontId="26" fillId="0" borderId="50" xfId="0" applyNumberFormat="1" applyFont="1" applyBorder="1" applyAlignment="1" applyProtection="1">
      <alignment horizontal="center" vertical="center" wrapText="1"/>
      <protection locked="0"/>
    </xf>
    <xf numFmtId="0" fontId="26" fillId="0" borderId="36" xfId="0" applyFont="1" applyBorder="1" applyAlignment="1" applyProtection="1">
      <alignment horizontal="center" vertical="center" wrapText="1"/>
      <protection locked="0"/>
    </xf>
    <xf numFmtId="0" fontId="26" fillId="0" borderId="50" xfId="0" applyFont="1" applyBorder="1" applyAlignment="1" applyProtection="1">
      <alignment horizontal="center" vertical="center" wrapText="1"/>
      <protection locked="0"/>
    </xf>
    <xf numFmtId="0" fontId="42" fillId="0" borderId="32" xfId="0" applyFont="1" applyBorder="1" applyAlignment="1" applyProtection="1">
      <alignment vertical="center" wrapText="1"/>
      <protection locked="0"/>
    </xf>
    <xf numFmtId="0" fontId="16" fillId="0" borderId="62" xfId="0" applyFont="1" applyBorder="1" applyAlignment="1" applyProtection="1">
      <alignment vertical="center" wrapText="1"/>
      <protection locked="0"/>
    </xf>
    <xf numFmtId="0" fontId="16" fillId="0" borderId="0" xfId="0" applyFont="1" applyAlignment="1" applyProtection="1">
      <alignment vertical="center" wrapText="1"/>
      <protection locked="0"/>
    </xf>
    <xf numFmtId="0" fontId="16" fillId="0" borderId="64" xfId="0" applyFont="1" applyBorder="1" applyAlignment="1" applyProtection="1">
      <alignment vertical="center" wrapText="1"/>
      <protection locked="0"/>
    </xf>
    <xf numFmtId="0" fontId="16" fillId="0" borderId="33" xfId="0" applyFont="1" applyBorder="1" applyAlignment="1" applyProtection="1">
      <alignment vertical="center" wrapText="1"/>
      <protection locked="0"/>
    </xf>
    <xf numFmtId="0" fontId="16" fillId="0" borderId="34" xfId="0" applyFont="1" applyBorder="1" applyAlignment="1" applyProtection="1">
      <alignment vertical="center" wrapText="1"/>
      <protection locked="0"/>
    </xf>
    <xf numFmtId="0" fontId="16" fillId="11" borderId="5" xfId="0" applyFont="1" applyFill="1" applyBorder="1" applyAlignment="1" applyProtection="1">
      <alignment vertical="center" wrapText="1"/>
      <protection locked="0"/>
    </xf>
    <xf numFmtId="0" fontId="16" fillId="11" borderId="8" xfId="0" applyFont="1" applyFill="1" applyBorder="1" applyAlignment="1" applyProtection="1">
      <alignment vertical="center" wrapText="1"/>
      <protection locked="0"/>
    </xf>
    <xf numFmtId="0" fontId="42" fillId="0" borderId="33" xfId="0" applyFont="1" applyBorder="1" applyAlignment="1" applyProtection="1">
      <alignment vertical="center" wrapText="1"/>
      <protection locked="0"/>
    </xf>
    <xf numFmtId="0" fontId="16" fillId="11" borderId="10" xfId="0" applyFont="1" applyFill="1" applyBorder="1" applyAlignment="1" applyProtection="1">
      <alignment vertical="center" wrapText="1"/>
      <protection locked="0"/>
    </xf>
    <xf numFmtId="0" fontId="42" fillId="0" borderId="24" xfId="3" applyFont="1" applyBorder="1" applyAlignment="1" applyProtection="1">
      <alignment vertical="center" wrapText="1"/>
      <protection locked="0"/>
    </xf>
    <xf numFmtId="0" fontId="42" fillId="0" borderId="25" xfId="3" applyFont="1" applyBorder="1" applyAlignment="1" applyProtection="1">
      <alignment vertical="center" wrapText="1"/>
      <protection locked="0"/>
    </xf>
    <xf numFmtId="0" fontId="42" fillId="0" borderId="25" xfId="0" applyFont="1" applyBorder="1" applyAlignment="1" applyProtection="1">
      <alignment vertical="center" wrapText="1"/>
      <protection locked="0"/>
    </xf>
    <xf numFmtId="0" fontId="42" fillId="0" borderId="2" xfId="3" applyFont="1" applyBorder="1" applyAlignment="1" applyProtection="1">
      <alignment horizontal="left" vertical="center" wrapText="1"/>
      <protection locked="0"/>
    </xf>
    <xf numFmtId="0" fontId="42" fillId="0" borderId="2" xfId="0" applyFont="1" applyBorder="1" applyAlignment="1" applyProtection="1">
      <alignment vertical="center" wrapText="1"/>
      <protection locked="0"/>
    </xf>
    <xf numFmtId="0" fontId="42" fillId="0" borderId="24" xfId="0" applyFont="1" applyBorder="1" applyAlignment="1" applyProtection="1">
      <alignment vertical="center" wrapText="1"/>
      <protection locked="0"/>
    </xf>
    <xf numFmtId="0" fontId="16" fillId="11" borderId="42" xfId="0" applyFont="1" applyFill="1" applyBorder="1" applyAlignment="1" applyProtection="1">
      <alignment vertical="center" wrapText="1"/>
      <protection locked="0"/>
    </xf>
    <xf numFmtId="0" fontId="42" fillId="0" borderId="26" xfId="0" applyFont="1" applyBorder="1" applyAlignment="1" applyProtection="1">
      <alignment vertical="center" wrapText="1"/>
      <protection locked="0"/>
    </xf>
    <xf numFmtId="0" fontId="42" fillId="0" borderId="34" xfId="0" applyFont="1" applyBorder="1" applyAlignment="1" applyProtection="1">
      <alignment vertical="center" wrapText="1"/>
      <protection locked="0"/>
    </xf>
    <xf numFmtId="0" fontId="16" fillId="0" borderId="24" xfId="0" applyFont="1" applyBorder="1" applyAlignment="1" applyProtection="1">
      <alignment vertical="center" wrapText="1"/>
      <protection locked="0"/>
    </xf>
    <xf numFmtId="0" fontId="16" fillId="0" borderId="26" xfId="0" applyFont="1" applyBorder="1" applyAlignment="1" applyProtection="1">
      <alignment vertical="center" wrapText="1"/>
      <protection locked="0"/>
    </xf>
    <xf numFmtId="0" fontId="16" fillId="0" borderId="5" xfId="0" applyFont="1" applyBorder="1" applyAlignment="1" applyProtection="1">
      <alignment vertical="center" wrapText="1"/>
      <protection locked="0"/>
    </xf>
    <xf numFmtId="0" fontId="16" fillId="11" borderId="1" xfId="0" applyFont="1" applyFill="1" applyBorder="1" applyAlignment="1" applyProtection="1">
      <alignment vertical="center" wrapText="1"/>
      <protection locked="0"/>
    </xf>
    <xf numFmtId="0" fontId="16" fillId="12" borderId="10" xfId="0" applyFont="1" applyFill="1" applyBorder="1" applyAlignment="1" applyProtection="1">
      <alignment vertical="center" wrapText="1"/>
      <protection locked="0"/>
    </xf>
    <xf numFmtId="0" fontId="16" fillId="12" borderId="32" xfId="0" applyFont="1" applyFill="1" applyBorder="1" applyAlignment="1" applyProtection="1">
      <alignment vertical="center" wrapText="1"/>
      <protection locked="0"/>
    </xf>
    <xf numFmtId="0" fontId="33" fillId="0" borderId="5" xfId="0" applyFont="1" applyBorder="1" applyAlignment="1" applyProtection="1">
      <alignment vertical="center" wrapText="1"/>
      <protection locked="0"/>
    </xf>
    <xf numFmtId="0" fontId="33" fillId="0" borderId="7" xfId="0" applyFont="1" applyBorder="1" applyAlignment="1" applyProtection="1">
      <alignment vertical="center" wrapText="1"/>
      <protection locked="0"/>
    </xf>
    <xf numFmtId="0" fontId="16" fillId="11" borderId="0" xfId="0" applyFont="1" applyFill="1" applyAlignment="1" applyProtection="1">
      <alignment vertical="center" wrapText="1"/>
      <protection locked="0"/>
    </xf>
    <xf numFmtId="0" fontId="42" fillId="0" borderId="1" xfId="0" applyFont="1" applyBorder="1" applyAlignment="1" applyProtection="1">
      <alignment vertical="center" wrapText="1"/>
      <protection locked="0"/>
    </xf>
    <xf numFmtId="0" fontId="16" fillId="9" borderId="1" xfId="0" applyFont="1" applyFill="1" applyBorder="1" applyAlignment="1" applyProtection="1">
      <alignment vertical="center" wrapText="1"/>
      <protection locked="0"/>
    </xf>
    <xf numFmtId="0" fontId="42" fillId="0" borderId="0" xfId="0" applyFont="1" applyAlignment="1" applyProtection="1">
      <alignment vertical="center" wrapText="1"/>
      <protection locked="0"/>
    </xf>
    <xf numFmtId="0" fontId="16" fillId="0" borderId="1" xfId="0" applyFont="1" applyBorder="1" applyAlignment="1" applyProtection="1">
      <alignment vertical="center" wrapText="1"/>
      <protection locked="0"/>
    </xf>
    <xf numFmtId="0" fontId="42" fillId="0" borderId="46" xfId="3" applyFont="1" applyBorder="1" applyAlignment="1" applyProtection="1">
      <alignment vertical="center" wrapText="1"/>
      <protection locked="0"/>
    </xf>
    <xf numFmtId="0" fontId="42" fillId="0" borderId="48" xfId="3" applyFont="1" applyBorder="1" applyAlignment="1" applyProtection="1">
      <alignment vertical="center" wrapText="1"/>
      <protection locked="0"/>
    </xf>
    <xf numFmtId="0" fontId="42" fillId="12" borderId="66" xfId="3" applyFont="1" applyFill="1" applyBorder="1" applyAlignment="1" applyProtection="1">
      <alignment vertical="center" wrapText="1"/>
      <protection locked="0"/>
    </xf>
    <xf numFmtId="0" fontId="42" fillId="12" borderId="25" xfId="0" applyFont="1" applyFill="1" applyBorder="1" applyAlignment="1" applyProtection="1">
      <alignment vertical="center" wrapText="1"/>
      <protection locked="0"/>
    </xf>
    <xf numFmtId="0" fontId="42" fillId="12" borderId="37" xfId="0" applyFont="1" applyFill="1" applyBorder="1" applyAlignment="1" applyProtection="1">
      <alignment vertical="center" wrapText="1"/>
      <protection locked="0"/>
    </xf>
    <xf numFmtId="0" fontId="43" fillId="0" borderId="66" xfId="0" applyFont="1" applyBorder="1" applyAlignment="1" applyProtection="1">
      <alignment vertical="center" wrapText="1"/>
      <protection locked="0"/>
    </xf>
    <xf numFmtId="0" fontId="43" fillId="0" borderId="25" xfId="3" applyFont="1" applyBorder="1" applyAlignment="1" applyProtection="1">
      <alignment vertical="center" wrapText="1"/>
      <protection locked="0"/>
    </xf>
    <xf numFmtId="0" fontId="43" fillId="0" borderId="26" xfId="3"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48" fillId="0" borderId="2" xfId="0" applyFont="1" applyBorder="1" applyAlignment="1" applyProtection="1">
      <alignment vertical="center" wrapText="1"/>
      <protection locked="0"/>
    </xf>
    <xf numFmtId="0" fontId="48" fillId="0" borderId="24" xfId="3" applyFont="1" applyBorder="1" applyAlignment="1" applyProtection="1">
      <alignment vertical="center" wrapText="1"/>
      <protection locked="0"/>
    </xf>
    <xf numFmtId="0" fontId="48" fillId="0" borderId="26" xfId="3" applyFont="1" applyBorder="1" applyAlignment="1" applyProtection="1">
      <alignment vertical="center" wrapText="1"/>
      <protection locked="0"/>
    </xf>
    <xf numFmtId="0" fontId="0" fillId="11" borderId="5" xfId="0" applyFill="1" applyBorder="1" applyAlignment="1" applyProtection="1">
      <alignment wrapText="1"/>
      <protection locked="0"/>
    </xf>
    <xf numFmtId="0" fontId="0" fillId="11" borderId="8" xfId="0" applyFill="1" applyBorder="1" applyAlignment="1" applyProtection="1">
      <alignment wrapText="1"/>
      <protection locked="0"/>
    </xf>
    <xf numFmtId="0" fontId="15" fillId="0" borderId="32" xfId="0" applyFont="1" applyBorder="1" applyAlignment="1" applyProtection="1">
      <alignment wrapText="1"/>
      <protection locked="0"/>
    </xf>
    <xf numFmtId="0" fontId="15" fillId="0" borderId="59" xfId="0" applyFont="1" applyBorder="1" applyAlignment="1" applyProtection="1">
      <alignment wrapText="1"/>
      <protection locked="0"/>
    </xf>
    <xf numFmtId="0" fontId="0" fillId="11" borderId="10" xfId="0" applyFill="1" applyBorder="1" applyAlignment="1" applyProtection="1">
      <alignment wrapText="1"/>
      <protection locked="0"/>
    </xf>
    <xf numFmtId="0" fontId="15" fillId="0" borderId="24" xfId="0" applyFont="1" applyBorder="1" applyAlignment="1" applyProtection="1">
      <alignment wrapText="1"/>
      <protection locked="0"/>
    </xf>
    <xf numFmtId="0" fontId="15" fillId="0" borderId="25" xfId="0" applyFont="1" applyBorder="1" applyAlignment="1" applyProtection="1">
      <alignment wrapText="1"/>
      <protection locked="0"/>
    </xf>
    <xf numFmtId="0" fontId="0" fillId="11" borderId="42" xfId="0" applyFill="1" applyBorder="1" applyAlignment="1" applyProtection="1">
      <alignment wrapText="1"/>
      <protection locked="0"/>
    </xf>
    <xf numFmtId="0" fontId="15" fillId="0" borderId="26" xfId="0" applyFont="1" applyBorder="1" applyAlignment="1" applyProtection="1">
      <alignment wrapText="1"/>
      <protection locked="0"/>
    </xf>
    <xf numFmtId="0" fontId="0" fillId="0" borderId="5" xfId="0" applyBorder="1" applyAlignment="1" applyProtection="1">
      <alignment wrapText="1"/>
      <protection locked="0"/>
    </xf>
    <xf numFmtId="0" fontId="0" fillId="11" borderId="1" xfId="0" applyFill="1" applyBorder="1" applyAlignment="1" applyProtection="1">
      <alignment wrapText="1"/>
      <protection locked="0"/>
    </xf>
    <xf numFmtId="0" fontId="0" fillId="12" borderId="32" xfId="0" applyFill="1" applyBorder="1" applyAlignment="1" applyProtection="1">
      <alignment wrapText="1"/>
      <protection locked="0"/>
    </xf>
    <xf numFmtId="0" fontId="0" fillId="0" borderId="33" xfId="0" applyBorder="1" applyAlignment="1" applyProtection="1">
      <alignment wrapText="1"/>
      <protection locked="0"/>
    </xf>
    <xf numFmtId="0" fontId="0" fillId="0" borderId="34" xfId="0" applyBorder="1" applyAlignment="1" applyProtection="1">
      <alignment wrapText="1"/>
      <protection locked="0"/>
    </xf>
    <xf numFmtId="0" fontId="2" fillId="0" borderId="5" xfId="0" applyFont="1" applyBorder="1" applyAlignment="1" applyProtection="1">
      <alignment wrapText="1"/>
      <protection locked="0"/>
    </xf>
    <xf numFmtId="0" fontId="2" fillId="0" borderId="7" xfId="0" applyFont="1" applyBorder="1" applyAlignment="1" applyProtection="1">
      <alignment wrapText="1"/>
      <protection locked="0"/>
    </xf>
    <xf numFmtId="0" fontId="35" fillId="0" borderId="25" xfId="3" applyFont="1" applyBorder="1" applyAlignment="1" applyProtection="1">
      <alignment wrapText="1"/>
      <protection locked="0"/>
    </xf>
    <xf numFmtId="0" fontId="0" fillId="11" borderId="0" xfId="0" applyFill="1" applyAlignment="1" applyProtection="1">
      <alignment wrapText="1"/>
      <protection locked="0"/>
    </xf>
    <xf numFmtId="0" fontId="0" fillId="9" borderId="3" xfId="0" applyFill="1" applyBorder="1" applyAlignment="1" applyProtection="1">
      <alignment wrapText="1"/>
      <protection locked="0"/>
    </xf>
    <xf numFmtId="0" fontId="0" fillId="9" borderId="1" xfId="0" applyFill="1" applyBorder="1" applyAlignment="1" applyProtection="1">
      <alignment wrapText="1"/>
      <protection locked="0"/>
    </xf>
    <xf numFmtId="0" fontId="15" fillId="0" borderId="1" xfId="0" applyFont="1" applyBorder="1" applyAlignment="1" applyProtection="1">
      <alignment wrapText="1"/>
      <protection locked="0"/>
    </xf>
    <xf numFmtId="0" fontId="15" fillId="0" borderId="0" xfId="0" applyFont="1" applyAlignment="1" applyProtection="1">
      <alignment wrapText="1"/>
      <protection locked="0"/>
    </xf>
    <xf numFmtId="0" fontId="0" fillId="0" borderId="1" xfId="0" applyBorder="1" applyAlignment="1" applyProtection="1">
      <alignment wrapText="1"/>
      <protection locked="0"/>
    </xf>
    <xf numFmtId="0" fontId="15" fillId="12" borderId="25" xfId="0" applyFont="1" applyFill="1" applyBorder="1" applyAlignment="1" applyProtection="1">
      <alignment wrapText="1"/>
      <protection locked="0"/>
    </xf>
    <xf numFmtId="0" fontId="16" fillId="11" borderId="10" xfId="0" applyFont="1" applyFill="1" applyBorder="1" applyAlignment="1" applyProtection="1">
      <alignment wrapText="1"/>
      <protection locked="0"/>
    </xf>
    <xf numFmtId="0" fontId="0" fillId="0" borderId="2" xfId="0" applyBorder="1" applyAlignment="1" applyProtection="1">
      <alignment wrapText="1"/>
      <protection locked="0"/>
    </xf>
    <xf numFmtId="0" fontId="34" fillId="0" borderId="24" xfId="3" applyFont="1" applyBorder="1" applyAlignment="1" applyProtection="1">
      <alignment wrapText="1"/>
      <protection locked="0"/>
    </xf>
    <xf numFmtId="0" fontId="17" fillId="27" borderId="43" xfId="0" applyFont="1" applyFill="1" applyBorder="1" applyProtection="1"/>
    <xf numFmtId="0" fontId="17" fillId="27" borderId="0" xfId="0" applyFont="1" applyFill="1" applyBorder="1" applyProtection="1"/>
    <xf numFmtId="0" fontId="17" fillId="27" borderId="0" xfId="0" applyFont="1" applyFill="1" applyBorder="1" applyProtection="1">
      <protection locked="0"/>
    </xf>
    <xf numFmtId="0" fontId="17" fillId="27" borderId="9" xfId="0" applyFont="1" applyFill="1" applyBorder="1" applyProtection="1">
      <protection locked="0"/>
    </xf>
    <xf numFmtId="9" fontId="37" fillId="27" borderId="9" xfId="1" applyFont="1" applyFill="1" applyBorder="1" applyAlignment="1" applyProtection="1">
      <alignment horizontal="center" vertical="center" wrapText="1"/>
    </xf>
    <xf numFmtId="0" fontId="29" fillId="27" borderId="43" xfId="0" applyFont="1" applyFill="1" applyBorder="1" applyAlignment="1" applyProtection="1">
      <alignment horizontal="center"/>
      <protection locked="0"/>
    </xf>
    <xf numFmtId="0" fontId="29" fillId="27" borderId="0" xfId="0" applyFont="1" applyFill="1" applyBorder="1" applyAlignment="1" applyProtection="1">
      <alignment horizontal="center"/>
      <protection locked="0"/>
    </xf>
    <xf numFmtId="0" fontId="29" fillId="27" borderId="16" xfId="0" applyFont="1" applyFill="1" applyBorder="1" applyAlignment="1" applyProtection="1">
      <alignment horizontal="center"/>
      <protection locked="0"/>
    </xf>
    <xf numFmtId="0" fontId="29" fillId="27" borderId="6" xfId="0" applyFont="1" applyFill="1" applyBorder="1" applyAlignment="1" applyProtection="1">
      <alignment horizontal="center"/>
      <protection locked="0"/>
    </xf>
    <xf numFmtId="0" fontId="17" fillId="27" borderId="6" xfId="0" applyFont="1" applyFill="1" applyBorder="1" applyProtection="1"/>
    <xf numFmtId="0" fontId="17" fillId="27" borderId="7" xfId="0" applyFont="1" applyFill="1" applyBorder="1" applyProtection="1">
      <protection locked="0"/>
    </xf>
    <xf numFmtId="0" fontId="51" fillId="9" borderId="0" xfId="0" applyFont="1" applyFill="1" applyBorder="1" applyAlignment="1" applyProtection="1">
      <alignment horizontal="center"/>
    </xf>
    <xf numFmtId="0" fontId="52" fillId="0" borderId="1" xfId="0" applyFont="1" applyBorder="1" applyAlignment="1" applyProtection="1">
      <alignment horizontal="center" vertical="center" wrapText="1"/>
    </xf>
    <xf numFmtId="0" fontId="52" fillId="0" borderId="1" xfId="0" applyFont="1" applyBorder="1" applyAlignment="1" applyProtection="1">
      <alignment horizontal="center" vertical="center"/>
    </xf>
    <xf numFmtId="0" fontId="0" fillId="28" borderId="6" xfId="0" applyFill="1" applyBorder="1" applyAlignment="1" applyProtection="1">
      <alignment vertical="center" wrapText="1"/>
    </xf>
    <xf numFmtId="0" fontId="0" fillId="27" borderId="42" xfId="0" applyFill="1" applyBorder="1" applyProtection="1">
      <protection locked="0"/>
    </xf>
    <xf numFmtId="0" fontId="0" fillId="27" borderId="44" xfId="0" applyFill="1" applyBorder="1" applyProtection="1">
      <protection locked="0"/>
    </xf>
    <xf numFmtId="0" fontId="0" fillId="27" borderId="44" xfId="0" applyFill="1" applyBorder="1" applyProtection="1"/>
    <xf numFmtId="0" fontId="0" fillId="27" borderId="45" xfId="0" applyFill="1" applyBorder="1" applyProtection="1">
      <protection locked="0"/>
    </xf>
    <xf numFmtId="0" fontId="0" fillId="28" borderId="7" xfId="0" applyFill="1" applyBorder="1" applyAlignment="1" applyProtection="1">
      <alignment vertical="center" wrapText="1"/>
    </xf>
    <xf numFmtId="0" fontId="22" fillId="0" borderId="43" xfId="0" applyFont="1" applyBorder="1" applyAlignment="1" applyProtection="1">
      <alignment wrapText="1"/>
    </xf>
    <xf numFmtId="0" fontId="22" fillId="0" borderId="0" xfId="0" applyFont="1" applyBorder="1" applyAlignment="1" applyProtection="1">
      <alignment vertical="center"/>
    </xf>
    <xf numFmtId="0" fontId="24" fillId="10" borderId="24" xfId="0" applyFont="1" applyFill="1" applyBorder="1" applyAlignment="1" applyProtection="1">
      <alignment vertical="center" wrapText="1"/>
    </xf>
    <xf numFmtId="0" fontId="24" fillId="10" borderId="26" xfId="0" applyFont="1" applyFill="1" applyBorder="1" applyAlignment="1" applyProtection="1">
      <alignment vertical="center" wrapText="1"/>
    </xf>
    <xf numFmtId="0" fontId="27" fillId="22" borderId="24" xfId="0" applyFont="1" applyFill="1" applyBorder="1" applyAlignment="1" applyProtection="1">
      <alignment vertical="center" wrapText="1"/>
    </xf>
    <xf numFmtId="0" fontId="27" fillId="22" borderId="25" xfId="0" applyFont="1" applyFill="1" applyBorder="1" applyAlignment="1" applyProtection="1">
      <alignment vertical="center" wrapText="1"/>
    </xf>
    <xf numFmtId="0" fontId="27" fillId="22" borderId="26" xfId="0" applyFont="1" applyFill="1" applyBorder="1" applyAlignment="1" applyProtection="1">
      <alignment vertical="center" wrapText="1"/>
    </xf>
    <xf numFmtId="0" fontId="24" fillId="8" borderId="24" xfId="0" applyFont="1" applyFill="1" applyBorder="1" applyAlignment="1" applyProtection="1">
      <alignment vertical="center" wrapText="1"/>
    </xf>
    <xf numFmtId="0" fontId="24" fillId="8" borderId="25" xfId="0" applyFont="1" applyFill="1" applyBorder="1" applyAlignment="1" applyProtection="1">
      <alignment vertical="center" wrapText="1"/>
    </xf>
    <xf numFmtId="0" fontId="24" fillId="8" borderId="26" xfId="0" applyFont="1" applyFill="1" applyBorder="1" applyAlignment="1" applyProtection="1">
      <alignment vertical="center" wrapText="1"/>
    </xf>
    <xf numFmtId="0" fontId="24" fillId="4" borderId="52" xfId="0" applyFont="1" applyFill="1" applyBorder="1" applyAlignment="1" applyProtection="1">
      <alignment vertical="center" wrapText="1"/>
    </xf>
    <xf numFmtId="0" fontId="22" fillId="4" borderId="52" xfId="0" applyFont="1" applyFill="1" applyBorder="1" applyAlignment="1" applyProtection="1">
      <alignment vertical="center" wrapText="1"/>
    </xf>
    <xf numFmtId="0" fontId="24" fillId="22" borderId="24" xfId="0" applyFont="1" applyFill="1" applyBorder="1" applyAlignment="1" applyProtection="1">
      <alignment vertical="center" wrapText="1"/>
    </xf>
    <xf numFmtId="0" fontId="24" fillId="22" borderId="25" xfId="0" applyFont="1" applyFill="1" applyBorder="1" applyAlignment="1" applyProtection="1">
      <alignment vertical="center" wrapText="1"/>
    </xf>
    <xf numFmtId="0" fontId="5" fillId="12" borderId="42" xfId="0" applyFont="1" applyFill="1" applyBorder="1" applyAlignment="1" applyProtection="1">
      <alignment vertical="center" wrapText="1"/>
    </xf>
    <xf numFmtId="0" fontId="24" fillId="19" borderId="24" xfId="0" applyFont="1" applyFill="1" applyBorder="1" applyAlignment="1" applyProtection="1">
      <alignment vertical="center" wrapText="1"/>
    </xf>
    <xf numFmtId="0" fontId="24" fillId="19" borderId="25" xfId="0" applyFont="1" applyFill="1" applyBorder="1" applyAlignment="1" applyProtection="1">
      <alignment vertical="center" wrapText="1"/>
    </xf>
    <xf numFmtId="0" fontId="24" fillId="19" borderId="26" xfId="0" applyFont="1" applyFill="1" applyBorder="1" applyAlignment="1" applyProtection="1">
      <alignment vertical="center" wrapText="1"/>
    </xf>
    <xf numFmtId="0" fontId="24" fillId="22" borderId="26" xfId="0" applyFont="1" applyFill="1" applyBorder="1" applyAlignment="1" applyProtection="1">
      <alignment vertical="center" wrapText="1"/>
    </xf>
    <xf numFmtId="0" fontId="22" fillId="9" borderId="47" xfId="0" applyFont="1" applyFill="1" applyBorder="1" applyAlignment="1" applyProtection="1">
      <alignment vertical="center" wrapText="1"/>
    </xf>
    <xf numFmtId="0" fontId="24" fillId="21" borderId="2" xfId="0" applyFont="1" applyFill="1" applyBorder="1" applyAlignment="1" applyProtection="1">
      <alignment vertical="center" wrapText="1"/>
    </xf>
    <xf numFmtId="0" fontId="24" fillId="17" borderId="47" xfId="0" applyFont="1" applyFill="1" applyBorder="1" applyAlignment="1" applyProtection="1">
      <alignment vertical="center" wrapText="1"/>
    </xf>
    <xf numFmtId="0" fontId="24" fillId="8" borderId="47" xfId="0" applyFont="1" applyFill="1" applyBorder="1" applyAlignment="1" applyProtection="1">
      <alignment vertical="center" wrapText="1"/>
    </xf>
    <xf numFmtId="0" fontId="3" fillId="11" borderId="42" xfId="0" applyFont="1" applyFill="1" applyBorder="1" applyAlignment="1" applyProtection="1">
      <alignment vertical="center" wrapText="1"/>
    </xf>
    <xf numFmtId="0" fontId="24" fillId="9" borderId="46" xfId="0" applyFont="1" applyFill="1" applyBorder="1" applyAlignment="1" applyProtection="1">
      <alignment vertical="center" wrapText="1"/>
    </xf>
    <xf numFmtId="0" fontId="24" fillId="9" borderId="48" xfId="0" applyFont="1" applyFill="1" applyBorder="1" applyAlignment="1" applyProtection="1">
      <alignment vertical="center" wrapText="1"/>
    </xf>
    <xf numFmtId="0" fontId="24" fillId="9" borderId="24" xfId="0" applyFont="1" applyFill="1" applyBorder="1" applyAlignment="1" applyProtection="1">
      <alignment vertical="center" wrapText="1"/>
    </xf>
    <xf numFmtId="0" fontId="24" fillId="9" borderId="25" xfId="0" applyFont="1" applyFill="1" applyBorder="1" applyAlignment="1" applyProtection="1">
      <alignment vertical="center" wrapText="1"/>
    </xf>
    <xf numFmtId="0" fontId="24" fillId="9" borderId="26" xfId="0" applyFont="1" applyFill="1" applyBorder="1" applyAlignment="1" applyProtection="1">
      <alignment vertical="center" wrapText="1"/>
    </xf>
    <xf numFmtId="0" fontId="24" fillId="16" borderId="25" xfId="0" applyFont="1" applyFill="1" applyBorder="1" applyAlignment="1" applyProtection="1">
      <alignment vertical="center" wrapText="1"/>
    </xf>
    <xf numFmtId="0" fontId="22" fillId="16" borderId="25" xfId="0" applyFont="1" applyFill="1" applyBorder="1" applyAlignment="1" applyProtection="1">
      <alignment vertical="center" wrapText="1"/>
    </xf>
    <xf numFmtId="0" fontId="24" fillId="16" borderId="26" xfId="0" applyFont="1" applyFill="1" applyBorder="1" applyAlignment="1" applyProtection="1">
      <alignment vertical="center" wrapText="1"/>
    </xf>
    <xf numFmtId="0" fontId="24" fillId="18" borderId="24" xfId="0" applyFont="1" applyFill="1" applyBorder="1" applyAlignment="1" applyProtection="1">
      <alignment vertical="center" wrapText="1"/>
    </xf>
    <xf numFmtId="0" fontId="24" fillId="18" borderId="25" xfId="0" applyFont="1" applyFill="1" applyBorder="1" applyAlignment="1" applyProtection="1">
      <alignment vertical="center" wrapText="1"/>
    </xf>
    <xf numFmtId="0" fontId="24" fillId="18" borderId="26" xfId="0" applyFont="1" applyFill="1" applyBorder="1" applyAlignment="1" applyProtection="1">
      <alignment vertical="center" wrapText="1"/>
    </xf>
    <xf numFmtId="0" fontId="5" fillId="5" borderId="2" xfId="0" applyFont="1" applyFill="1" applyBorder="1" applyAlignment="1" applyProtection="1">
      <alignment vertical="center" wrapText="1"/>
    </xf>
    <xf numFmtId="0" fontId="5" fillId="5" borderId="24" xfId="0" applyFont="1" applyFill="1" applyBorder="1" applyAlignment="1" applyProtection="1">
      <alignment vertical="center" wrapText="1"/>
    </xf>
    <xf numFmtId="0" fontId="5" fillId="5" borderId="26" xfId="0" applyFont="1" applyFill="1" applyBorder="1" applyAlignment="1" applyProtection="1">
      <alignment vertical="center" wrapText="1"/>
    </xf>
    <xf numFmtId="0" fontId="24" fillId="0" borderId="60" xfId="0" applyFont="1" applyFill="1" applyBorder="1" applyAlignment="1" applyProtection="1">
      <alignment vertical="center" wrapText="1"/>
    </xf>
    <xf numFmtId="0" fontId="24" fillId="5" borderId="46" xfId="0" applyFont="1" applyFill="1" applyBorder="1" applyAlignment="1" applyProtection="1">
      <alignment vertical="center" wrapText="1"/>
    </xf>
    <xf numFmtId="0" fontId="24" fillId="5" borderId="48" xfId="0" applyFont="1" applyFill="1" applyBorder="1" applyAlignment="1" applyProtection="1">
      <alignment vertical="center" wrapText="1"/>
    </xf>
    <xf numFmtId="0" fontId="24" fillId="0" borderId="29" xfId="0" applyFont="1" applyBorder="1" applyAlignment="1" applyProtection="1">
      <alignment vertical="center" wrapText="1"/>
    </xf>
    <xf numFmtId="0" fontId="24" fillId="16" borderId="24" xfId="0" applyFont="1" applyFill="1" applyBorder="1" applyAlignment="1" applyProtection="1">
      <alignment vertical="center" wrapText="1"/>
    </xf>
    <xf numFmtId="0" fontId="32" fillId="12" borderId="72" xfId="0" applyFont="1" applyFill="1" applyBorder="1" applyAlignment="1" applyProtection="1">
      <alignment horizontal="center" vertical="center" wrapText="1"/>
      <protection locked="0"/>
    </xf>
    <xf numFmtId="0" fontId="32" fillId="12" borderId="69" xfId="0" applyFont="1" applyFill="1" applyBorder="1" applyAlignment="1" applyProtection="1">
      <alignment horizontal="center" vertical="center" wrapText="1"/>
      <protection locked="0"/>
    </xf>
    <xf numFmtId="0" fontId="0" fillId="12" borderId="1" xfId="0" applyFill="1" applyBorder="1" applyProtection="1">
      <protection locked="0"/>
    </xf>
    <xf numFmtId="0" fontId="0" fillId="12" borderId="10" xfId="0" applyFill="1" applyBorder="1" applyAlignment="1" applyProtection="1">
      <alignment vertical="top" wrapText="1"/>
      <protection locked="0"/>
    </xf>
    <xf numFmtId="0" fontId="0" fillId="12" borderId="1" xfId="0" applyFill="1" applyBorder="1" applyAlignment="1" applyProtection="1">
      <alignment vertical="top" wrapText="1"/>
      <protection locked="0"/>
    </xf>
    <xf numFmtId="9" fontId="23" fillId="11" borderId="23" xfId="1" applyFont="1" applyFill="1" applyBorder="1" applyAlignment="1" applyProtection="1">
      <alignment horizontal="center" vertical="center" wrapText="1"/>
    </xf>
    <xf numFmtId="0" fontId="0" fillId="0" borderId="64" xfId="0" applyBorder="1" applyAlignment="1" applyProtection="1">
      <alignment vertical="top" wrapText="1"/>
      <protection locked="0"/>
    </xf>
    <xf numFmtId="0" fontId="0" fillId="0" borderId="33" xfId="0" applyBorder="1" applyAlignment="1" applyProtection="1">
      <alignment vertical="top" wrapText="1"/>
      <protection locked="0"/>
    </xf>
    <xf numFmtId="0" fontId="0" fillId="0" borderId="34" xfId="0" applyBorder="1" applyAlignment="1" applyProtection="1">
      <alignment vertical="top" wrapText="1"/>
      <protection locked="0"/>
    </xf>
    <xf numFmtId="0" fontId="26" fillId="25" borderId="15" xfId="0" applyFont="1" applyFill="1" applyBorder="1" applyAlignment="1" applyProtection="1">
      <alignment horizontal="center" vertical="center" wrapText="1"/>
      <protection locked="0"/>
    </xf>
    <xf numFmtId="0" fontId="27" fillId="25" borderId="15" xfId="0" applyFont="1" applyFill="1" applyBorder="1" applyAlignment="1" applyProtection="1">
      <alignment horizontal="center" vertical="center" wrapText="1"/>
      <protection locked="0"/>
    </xf>
    <xf numFmtId="0" fontId="26" fillId="25" borderId="50" xfId="0" applyFont="1" applyFill="1" applyBorder="1" applyAlignment="1" applyProtection="1">
      <alignment horizontal="center" vertical="center" wrapText="1"/>
      <protection locked="0"/>
    </xf>
    <xf numFmtId="1" fontId="26" fillId="25" borderId="15" xfId="0" applyNumberFormat="1" applyFont="1" applyFill="1" applyBorder="1" applyAlignment="1" applyProtection="1">
      <alignment horizontal="center" vertical="center" wrapText="1"/>
      <protection locked="0"/>
    </xf>
    <xf numFmtId="2" fontId="26" fillId="25" borderId="50" xfId="0" applyNumberFormat="1" applyFont="1" applyFill="1" applyBorder="1" applyAlignment="1" applyProtection="1">
      <alignment horizontal="center" vertical="center" wrapText="1"/>
      <protection locked="0"/>
    </xf>
    <xf numFmtId="0" fontId="26" fillId="25" borderId="21" xfId="0" applyFont="1" applyFill="1" applyBorder="1" applyAlignment="1" applyProtection="1">
      <alignment horizontal="center" vertical="center" wrapText="1"/>
      <protection locked="0"/>
    </xf>
    <xf numFmtId="0" fontId="26" fillId="25" borderId="48" xfId="0" applyFont="1" applyFill="1" applyBorder="1" applyAlignment="1" applyProtection="1">
      <alignment horizontal="center" vertical="center" wrapText="1"/>
      <protection locked="0"/>
    </xf>
    <xf numFmtId="0" fontId="26" fillId="25" borderId="17" xfId="0" applyFont="1" applyFill="1" applyBorder="1" applyAlignment="1" applyProtection="1">
      <alignment horizontal="center" vertical="center" wrapText="1"/>
      <protection locked="0"/>
    </xf>
    <xf numFmtId="0" fontId="27" fillId="25" borderId="20" xfId="0" applyFont="1" applyFill="1" applyBorder="1" applyAlignment="1" applyProtection="1">
      <alignment horizontal="center" vertical="center" wrapText="1"/>
      <protection locked="0"/>
    </xf>
    <xf numFmtId="165" fontId="26" fillId="25" borderId="54" xfId="0" applyNumberFormat="1" applyFont="1" applyFill="1" applyBorder="1" applyAlignment="1" applyProtection="1">
      <alignment horizontal="center" vertical="center" wrapText="1"/>
      <protection locked="0"/>
    </xf>
    <xf numFmtId="165" fontId="26" fillId="25" borderId="74" xfId="0" applyNumberFormat="1" applyFont="1" applyFill="1" applyBorder="1" applyAlignment="1" applyProtection="1">
      <alignment horizontal="center" vertical="center" wrapText="1"/>
      <protection locked="0"/>
    </xf>
    <xf numFmtId="165" fontId="26" fillId="25" borderId="15" xfId="0" applyNumberFormat="1" applyFont="1" applyFill="1" applyBorder="1" applyAlignment="1" applyProtection="1">
      <alignment horizontal="center" vertical="center" wrapText="1"/>
      <protection locked="0"/>
    </xf>
    <xf numFmtId="165" fontId="26" fillId="25" borderId="20" xfId="0" applyNumberFormat="1" applyFont="1" applyFill="1" applyBorder="1" applyAlignment="1" applyProtection="1">
      <alignment horizontal="center" vertical="center" wrapText="1"/>
      <protection locked="0"/>
    </xf>
    <xf numFmtId="165" fontId="27" fillId="25" borderId="15" xfId="0" applyNumberFormat="1" applyFont="1" applyFill="1" applyBorder="1" applyAlignment="1" applyProtection="1">
      <alignment horizontal="center" vertical="center" wrapText="1"/>
      <protection locked="0"/>
    </xf>
    <xf numFmtId="165" fontId="27" fillId="25" borderId="20" xfId="0" applyNumberFormat="1" applyFont="1" applyFill="1" applyBorder="1" applyAlignment="1" applyProtection="1">
      <alignment horizontal="center" vertical="center" wrapText="1"/>
      <protection locked="0"/>
    </xf>
    <xf numFmtId="165" fontId="26" fillId="25" borderId="21" xfId="0" applyNumberFormat="1" applyFont="1" applyFill="1" applyBorder="1" applyAlignment="1" applyProtection="1">
      <alignment horizontal="center" vertical="center" wrapText="1"/>
      <protection locked="0"/>
    </xf>
    <xf numFmtId="165" fontId="26" fillId="25" borderId="23" xfId="0" applyNumberFormat="1" applyFont="1" applyFill="1" applyBorder="1" applyAlignment="1" applyProtection="1">
      <alignment horizontal="center" vertical="center" wrapText="1"/>
      <protection locked="0"/>
    </xf>
    <xf numFmtId="165" fontId="26" fillId="12" borderId="17" xfId="0" applyNumberFormat="1" applyFont="1" applyFill="1" applyBorder="1" applyAlignment="1" applyProtection="1">
      <alignment horizontal="center" vertical="center" wrapText="1"/>
      <protection locked="0"/>
    </xf>
    <xf numFmtId="0" fontId="42" fillId="25" borderId="1" xfId="0" applyFont="1" applyFill="1" applyBorder="1" applyAlignment="1" applyProtection="1">
      <alignment vertical="top" wrapText="1"/>
      <protection locked="0"/>
    </xf>
    <xf numFmtId="165" fontId="26" fillId="25" borderId="17" xfId="0" applyNumberFormat="1" applyFont="1" applyFill="1" applyBorder="1" applyAlignment="1" applyProtection="1">
      <alignment horizontal="center" vertical="center" wrapText="1"/>
      <protection locked="0"/>
    </xf>
    <xf numFmtId="165" fontId="26" fillId="25" borderId="46" xfId="0" applyNumberFormat="1" applyFont="1" applyFill="1" applyBorder="1" applyAlignment="1" applyProtection="1">
      <alignment horizontal="center" vertical="center" wrapText="1"/>
      <protection locked="0"/>
    </xf>
    <xf numFmtId="0" fontId="26" fillId="25" borderId="19" xfId="0" applyFont="1" applyFill="1" applyBorder="1" applyAlignment="1" applyProtection="1">
      <alignment horizontal="center" vertical="center" wrapText="1"/>
      <protection locked="0"/>
    </xf>
    <xf numFmtId="0" fontId="26" fillId="25" borderId="23" xfId="0" applyFont="1" applyFill="1" applyBorder="1" applyAlignment="1" applyProtection="1">
      <alignment horizontal="center" vertical="center" wrapText="1"/>
      <protection locked="0"/>
    </xf>
    <xf numFmtId="0" fontId="0" fillId="0" borderId="24" xfId="0" applyBorder="1" applyAlignment="1" applyProtection="1">
      <alignment vertical="top"/>
      <protection locked="0"/>
    </xf>
    <xf numFmtId="0" fontId="0" fillId="0" borderId="26" xfId="0" applyBorder="1" applyAlignment="1" applyProtection="1">
      <alignment vertical="top"/>
      <protection locked="0"/>
    </xf>
    <xf numFmtId="0" fontId="15" fillId="0" borderId="33" xfId="0" applyFont="1" applyBorder="1" applyAlignment="1" applyProtection="1">
      <alignment vertical="center" wrapText="1"/>
      <protection locked="0"/>
    </xf>
    <xf numFmtId="0" fontId="26" fillId="25" borderId="20" xfId="0" applyFont="1" applyFill="1" applyBorder="1" applyAlignment="1" applyProtection="1">
      <alignment horizontal="center" vertical="center" wrapText="1"/>
      <protection locked="0"/>
    </xf>
    <xf numFmtId="0" fontId="26" fillId="25" borderId="46" xfId="0" applyFont="1" applyFill="1" applyBorder="1" applyAlignment="1" applyProtection="1">
      <alignment horizontal="center" vertical="center" wrapText="1"/>
      <protection locked="0"/>
    </xf>
    <xf numFmtId="0" fontId="26" fillId="25" borderId="56" xfId="0" applyFont="1" applyFill="1" applyBorder="1" applyAlignment="1" applyProtection="1">
      <alignment horizontal="center" vertical="center" wrapText="1"/>
      <protection locked="0"/>
    </xf>
    <xf numFmtId="0" fontId="26" fillId="25" borderId="65" xfId="0" applyFont="1" applyFill="1" applyBorder="1" applyAlignment="1" applyProtection="1">
      <alignment horizontal="center" vertical="center" wrapText="1"/>
      <protection locked="0"/>
    </xf>
    <xf numFmtId="1" fontId="26" fillId="25" borderId="21" xfId="0" applyNumberFormat="1" applyFont="1" applyFill="1" applyBorder="1" applyAlignment="1" applyProtection="1">
      <alignment horizontal="center" vertical="center" wrapText="1"/>
      <protection locked="0"/>
    </xf>
    <xf numFmtId="0" fontId="26" fillId="25" borderId="47" xfId="0" applyFont="1" applyFill="1" applyBorder="1" applyAlignment="1" applyProtection="1">
      <alignment horizontal="center" vertical="center" wrapText="1"/>
      <protection locked="0"/>
    </xf>
    <xf numFmtId="0" fontId="53" fillId="25" borderId="32" xfId="0" applyFont="1" applyFill="1" applyBorder="1" applyAlignment="1" applyProtection="1">
      <alignment vertical="top" wrapText="1"/>
      <protection locked="0"/>
    </xf>
    <xf numFmtId="165" fontId="23" fillId="25" borderId="21" xfId="0" applyNumberFormat="1" applyFont="1" applyFill="1" applyBorder="1" applyAlignment="1" applyProtection="1">
      <alignment horizontal="center" vertical="center" wrapText="1"/>
      <protection locked="0"/>
    </xf>
    <xf numFmtId="165" fontId="23" fillId="25" borderId="23" xfId="0" applyNumberFormat="1" applyFont="1" applyFill="1" applyBorder="1" applyAlignment="1" applyProtection="1">
      <alignment horizontal="center" vertical="center" wrapText="1"/>
      <protection locked="0"/>
    </xf>
    <xf numFmtId="0" fontId="26" fillId="25" borderId="38" xfId="0" applyFont="1" applyFill="1" applyBorder="1" applyAlignment="1" applyProtection="1">
      <alignment horizontal="center" vertical="center" wrapText="1"/>
      <protection locked="0"/>
    </xf>
    <xf numFmtId="0" fontId="26" fillId="25" borderId="55" xfId="0" applyFont="1" applyFill="1" applyBorder="1" applyAlignment="1" applyProtection="1">
      <alignment horizontal="center" vertical="center" wrapText="1"/>
      <protection locked="0"/>
    </xf>
    <xf numFmtId="3" fontId="26" fillId="25" borderId="17" xfId="0" applyNumberFormat="1" applyFont="1" applyFill="1" applyBorder="1" applyAlignment="1" applyProtection="1">
      <alignment horizontal="center" vertical="center" wrapText="1"/>
      <protection locked="0"/>
    </xf>
    <xf numFmtId="4" fontId="26" fillId="25" borderId="46" xfId="0" applyNumberFormat="1" applyFont="1" applyFill="1" applyBorder="1" applyAlignment="1" applyProtection="1">
      <alignment horizontal="center" vertical="center" wrapText="1"/>
      <protection locked="0"/>
    </xf>
    <xf numFmtId="165" fontId="22" fillId="25" borderId="15" xfId="0" applyNumberFormat="1" applyFont="1" applyFill="1" applyBorder="1" applyAlignment="1" applyProtection="1">
      <alignment horizontal="center" vertical="center" wrapText="1"/>
      <protection locked="0"/>
    </xf>
    <xf numFmtId="165" fontId="22" fillId="25" borderId="20" xfId="0" applyNumberFormat="1" applyFont="1" applyFill="1" applyBorder="1" applyAlignment="1" applyProtection="1">
      <alignment horizontal="center" vertical="center" wrapText="1"/>
      <protection locked="0"/>
    </xf>
    <xf numFmtId="0" fontId="26" fillId="25" borderId="36" xfId="0" applyFont="1" applyFill="1" applyBorder="1" applyAlignment="1" applyProtection="1">
      <alignment horizontal="center" vertical="center" wrapText="1"/>
      <protection locked="0"/>
    </xf>
    <xf numFmtId="0" fontId="32" fillId="3" borderId="44" xfId="0" applyFont="1" applyFill="1" applyBorder="1" applyAlignment="1" applyProtection="1">
      <alignment vertical="center" wrapText="1"/>
      <protection locked="0"/>
    </xf>
    <xf numFmtId="0" fontId="32" fillId="3" borderId="6" xfId="0" applyFont="1" applyFill="1" applyBorder="1" applyAlignment="1" applyProtection="1">
      <alignment vertical="center" wrapText="1"/>
      <protection locked="0"/>
    </xf>
    <xf numFmtId="0" fontId="26" fillId="12" borderId="47" xfId="0" applyFont="1" applyFill="1" applyBorder="1" applyAlignment="1" applyProtection="1">
      <alignment horizontal="center" vertical="center" wrapText="1"/>
      <protection locked="0"/>
    </xf>
    <xf numFmtId="0" fontId="26" fillId="25" borderId="39" xfId="0" applyFont="1" applyFill="1" applyBorder="1" applyAlignment="1" applyProtection="1">
      <alignment horizontal="center" vertical="center" wrapText="1"/>
      <protection locked="0"/>
    </xf>
    <xf numFmtId="0" fontId="26" fillId="25" borderId="57" xfId="0" applyFont="1" applyFill="1" applyBorder="1" applyAlignment="1" applyProtection="1">
      <alignment horizontal="center" vertical="center" wrapText="1"/>
      <protection locked="0"/>
    </xf>
    <xf numFmtId="0" fontId="15" fillId="0" borderId="26" xfId="0" applyFont="1" applyBorder="1" applyAlignment="1" applyProtection="1">
      <alignment horizontal="left" vertical="center" wrapText="1"/>
      <protection locked="0"/>
    </xf>
    <xf numFmtId="0" fontId="0" fillId="0" borderId="16" xfId="0" applyBorder="1" applyProtection="1">
      <protection locked="0"/>
    </xf>
    <xf numFmtId="0" fontId="0" fillId="11" borderId="2" xfId="0" applyFill="1" applyBorder="1" applyProtection="1">
      <protection locked="0"/>
    </xf>
    <xf numFmtId="0" fontId="16" fillId="11" borderId="42" xfId="0" applyFont="1" applyFill="1" applyBorder="1" applyProtection="1">
      <protection locked="0"/>
    </xf>
    <xf numFmtId="0" fontId="42" fillId="25" borderId="1" xfId="0" applyFont="1" applyFill="1" applyBorder="1" applyAlignment="1" applyProtection="1">
      <alignment vertical="center" wrapText="1"/>
      <protection locked="0"/>
    </xf>
    <xf numFmtId="0" fontId="15" fillId="25" borderId="32" xfId="0" applyFont="1" applyFill="1" applyBorder="1" applyAlignment="1" applyProtection="1">
      <alignment wrapText="1"/>
      <protection locked="0"/>
    </xf>
    <xf numFmtId="0" fontId="27" fillId="25" borderId="19" xfId="0" applyFont="1" applyFill="1" applyBorder="1" applyAlignment="1" applyProtection="1">
      <alignment horizontal="center" vertical="center" wrapText="1"/>
      <protection locked="0"/>
    </xf>
    <xf numFmtId="0" fontId="15" fillId="12" borderId="33" xfId="0" applyFont="1" applyFill="1" applyBorder="1" applyAlignment="1" applyProtection="1">
      <alignment vertical="top" wrapText="1"/>
      <protection locked="0"/>
    </xf>
    <xf numFmtId="0" fontId="36" fillId="0" borderId="26" xfId="3" applyFont="1" applyBorder="1" applyAlignment="1" applyProtection="1">
      <alignment vertical="center" wrapText="1"/>
      <protection locked="0"/>
    </xf>
    <xf numFmtId="0" fontId="15" fillId="29" borderId="34" xfId="0" applyFont="1" applyFill="1" applyBorder="1" applyAlignment="1" applyProtection="1">
      <alignment vertical="center" wrapText="1"/>
      <protection locked="0"/>
    </xf>
    <xf numFmtId="0" fontId="44" fillId="25" borderId="34" xfId="0" applyFont="1" applyFill="1" applyBorder="1" applyAlignment="1" applyProtection="1">
      <alignment vertical="top" wrapText="1"/>
      <protection locked="0"/>
    </xf>
    <xf numFmtId="0" fontId="15" fillId="25" borderId="41" xfId="0" applyFont="1" applyFill="1" applyBorder="1" applyAlignment="1" applyProtection="1">
      <alignment horizontal="left" vertical="center" wrapText="1"/>
      <protection locked="0"/>
    </xf>
    <xf numFmtId="0" fontId="15" fillId="29" borderId="11" xfId="0" applyFont="1" applyFill="1" applyBorder="1" applyAlignment="1" applyProtection="1">
      <alignment horizontal="left" vertical="center" wrapText="1"/>
      <protection locked="0"/>
    </xf>
    <xf numFmtId="0" fontId="11" fillId="0" borderId="10" xfId="0" applyFont="1" applyBorder="1" applyProtection="1">
      <protection locked="0"/>
    </xf>
    <xf numFmtId="0" fontId="0" fillId="0" borderId="0" xfId="0" applyBorder="1" applyAlignment="1" applyProtection="1">
      <alignment vertical="top" wrapText="1"/>
      <protection locked="0"/>
    </xf>
    <xf numFmtId="0" fontId="0" fillId="0" borderId="0" xfId="0" applyBorder="1" applyProtection="1">
      <protection locked="0"/>
    </xf>
    <xf numFmtId="0" fontId="0" fillId="0" borderId="32" xfId="0" applyBorder="1" applyAlignment="1" applyProtection="1">
      <alignment vertical="top" wrapText="1"/>
      <protection locked="0"/>
    </xf>
    <xf numFmtId="0" fontId="2" fillId="0" borderId="2" xfId="0" applyFont="1" applyBorder="1" applyProtection="1">
      <protection locked="0"/>
    </xf>
    <xf numFmtId="0" fontId="2" fillId="0" borderId="2" xfId="0" applyFont="1" applyBorder="1" applyAlignment="1" applyProtection="1">
      <alignment vertical="top"/>
      <protection locked="0"/>
    </xf>
    <xf numFmtId="0" fontId="0" fillId="0" borderId="12" xfId="0" applyBorder="1" applyAlignment="1" applyProtection="1">
      <alignment vertical="top"/>
      <protection locked="0"/>
    </xf>
    <xf numFmtId="0" fontId="0" fillId="0" borderId="47" xfId="0" applyBorder="1" applyAlignment="1" applyProtection="1">
      <alignment vertical="top"/>
      <protection locked="0"/>
    </xf>
    <xf numFmtId="0" fontId="0" fillId="0" borderId="55" xfId="0" applyBorder="1" applyAlignment="1" applyProtection="1">
      <alignment vertical="top"/>
      <protection locked="0"/>
    </xf>
    <xf numFmtId="0" fontId="0" fillId="0" borderId="76" xfId="0" applyBorder="1" applyAlignment="1" applyProtection="1">
      <alignment vertical="top"/>
      <protection locked="0"/>
    </xf>
    <xf numFmtId="0" fontId="11" fillId="0" borderId="44" xfId="0" applyFont="1" applyBorder="1" applyProtection="1">
      <protection locked="0"/>
    </xf>
    <xf numFmtId="0" fontId="2" fillId="0" borderId="1" xfId="0" applyFont="1" applyBorder="1" applyAlignment="1" applyProtection="1">
      <alignment vertical="top" wrapText="1"/>
      <protection locked="0"/>
    </xf>
    <xf numFmtId="0" fontId="0" fillId="0" borderId="53" xfId="0" applyBorder="1" applyAlignment="1" applyProtection="1">
      <alignment vertical="top" wrapText="1"/>
      <protection locked="0"/>
    </xf>
    <xf numFmtId="0" fontId="0" fillId="0" borderId="41" xfId="0" applyBorder="1" applyAlignment="1" applyProtection="1">
      <alignment vertical="top" wrapText="1"/>
      <protection locked="0"/>
    </xf>
    <xf numFmtId="0" fontId="0" fillId="0" borderId="8" xfId="0" applyBorder="1" applyAlignment="1" applyProtection="1">
      <alignment vertical="top" wrapText="1"/>
      <protection locked="0"/>
    </xf>
    <xf numFmtId="0" fontId="29" fillId="27" borderId="43" xfId="0" applyFont="1" applyFill="1" applyBorder="1" applyAlignment="1" applyProtection="1">
      <alignment horizontal="center"/>
      <protection locked="0"/>
    </xf>
    <xf numFmtId="0" fontId="29" fillId="27" borderId="0" xfId="0" applyFont="1" applyFill="1" applyBorder="1" applyAlignment="1" applyProtection="1">
      <alignment horizontal="center"/>
      <protection locked="0"/>
    </xf>
    <xf numFmtId="0" fontId="8" fillId="0" borderId="0" xfId="0" applyFont="1" applyBorder="1" applyAlignment="1" applyProtection="1">
      <alignment horizontal="center" vertical="center"/>
      <protection locked="0"/>
    </xf>
    <xf numFmtId="0" fontId="24" fillId="0" borderId="32" xfId="0" applyFont="1" applyBorder="1" applyAlignment="1" applyProtection="1">
      <alignment vertical="center" wrapText="1"/>
    </xf>
    <xf numFmtId="0" fontId="24" fillId="0" borderId="34" xfId="0" applyFont="1" applyBorder="1" applyAlignment="1" applyProtection="1">
      <alignment vertical="center" wrapText="1"/>
    </xf>
    <xf numFmtId="0" fontId="2" fillId="2" borderId="16" xfId="0" applyFont="1" applyFill="1" applyBorder="1" applyAlignment="1" applyProtection="1">
      <alignment vertical="center" wrapText="1"/>
    </xf>
    <xf numFmtId="0" fontId="24" fillId="0" borderId="24" xfId="0" applyFont="1" applyBorder="1" applyAlignment="1" applyProtection="1">
      <alignment vertical="center" wrapText="1"/>
    </xf>
    <xf numFmtId="0" fontId="24" fillId="0" borderId="26" xfId="0" applyFont="1" applyBorder="1" applyAlignment="1" applyProtection="1">
      <alignment vertical="center" wrapText="1"/>
    </xf>
    <xf numFmtId="0" fontId="24" fillId="8" borderId="31" xfId="0" applyFont="1" applyFill="1" applyBorder="1" applyAlignment="1" applyProtection="1">
      <alignment vertical="center" wrapText="1"/>
    </xf>
    <xf numFmtId="0" fontId="24" fillId="9" borderId="29" xfId="0" applyFont="1" applyFill="1" applyBorder="1" applyAlignment="1" applyProtection="1">
      <alignment vertical="center" wrapText="1"/>
    </xf>
    <xf numFmtId="0" fontId="24" fillId="9" borderId="31" xfId="0" applyFont="1" applyFill="1" applyBorder="1" applyAlignment="1" applyProtection="1">
      <alignment vertical="center" wrapText="1"/>
    </xf>
    <xf numFmtId="0" fontId="51" fillId="27" borderId="0" xfId="0" applyFont="1" applyFill="1" applyBorder="1" applyAlignment="1" applyProtection="1">
      <alignment horizontal="center"/>
    </xf>
    <xf numFmtId="0" fontId="24" fillId="8" borderId="61" xfId="0" applyFont="1" applyFill="1" applyBorder="1" applyAlignment="1" applyProtection="1">
      <alignment vertical="center" wrapText="1"/>
    </xf>
    <xf numFmtId="0" fontId="24" fillId="10" borderId="29" xfId="0" applyFont="1" applyFill="1" applyBorder="1" applyAlignment="1" applyProtection="1">
      <alignment vertical="center" wrapText="1"/>
    </xf>
    <xf numFmtId="0" fontId="24" fillId="10" borderId="30" xfId="0" applyFont="1" applyFill="1" applyBorder="1" applyAlignment="1" applyProtection="1">
      <alignment vertical="center" wrapText="1"/>
    </xf>
    <xf numFmtId="0" fontId="24" fillId="10" borderId="31" xfId="0" applyFont="1" applyFill="1" applyBorder="1" applyAlignment="1" applyProtection="1">
      <alignment vertical="center" wrapText="1"/>
    </xf>
    <xf numFmtId="0" fontId="22" fillId="0" borderId="17" xfId="0" applyFont="1" applyFill="1" applyBorder="1" applyAlignment="1" applyProtection="1">
      <alignment vertical="center" wrapText="1"/>
    </xf>
    <xf numFmtId="0" fontId="22" fillId="0" borderId="15" xfId="0" applyFont="1" applyFill="1" applyBorder="1" applyAlignment="1" applyProtection="1">
      <alignment vertical="center" wrapText="1"/>
    </xf>
    <xf numFmtId="0" fontId="22" fillId="0" borderId="15" xfId="0" applyFont="1" applyBorder="1" applyAlignment="1" applyProtection="1">
      <alignment vertical="center" wrapText="1"/>
    </xf>
    <xf numFmtId="0" fontId="24" fillId="0" borderId="20" xfId="0" applyFont="1" applyBorder="1" applyAlignment="1" applyProtection="1">
      <alignment vertical="center" wrapText="1"/>
    </xf>
    <xf numFmtId="0" fontId="24" fillId="0" borderId="23" xfId="0" applyFont="1" applyBorder="1" applyAlignment="1" applyProtection="1">
      <alignment vertical="center" wrapText="1"/>
    </xf>
    <xf numFmtId="0" fontId="54" fillId="25" borderId="15" xfId="0" applyFont="1" applyFill="1" applyBorder="1" applyAlignment="1" applyProtection="1">
      <alignment horizontal="center" vertical="center" wrapText="1"/>
      <protection locked="0"/>
    </xf>
    <xf numFmtId="0" fontId="54" fillId="25" borderId="20" xfId="0" applyFont="1" applyFill="1" applyBorder="1" applyAlignment="1" applyProtection="1">
      <alignment horizontal="center" vertical="center" wrapText="1"/>
      <protection locked="0"/>
    </xf>
    <xf numFmtId="1" fontId="23" fillId="25" borderId="21" xfId="0" applyNumberFormat="1" applyFont="1" applyFill="1" applyBorder="1" applyAlignment="1" applyProtection="1">
      <alignment horizontal="center" vertical="center" wrapText="1"/>
      <protection locked="0"/>
    </xf>
    <xf numFmtId="0" fontId="23" fillId="25" borderId="23" xfId="0" applyFont="1" applyFill="1" applyBorder="1" applyAlignment="1" applyProtection="1">
      <alignment horizontal="center" vertical="center" wrapText="1"/>
      <protection locked="0"/>
    </xf>
    <xf numFmtId="0" fontId="55" fillId="25" borderId="50" xfId="0" applyFont="1" applyFill="1" applyBorder="1" applyAlignment="1" applyProtection="1">
      <alignment horizontal="center" vertical="center" wrapText="1"/>
      <protection locked="0"/>
    </xf>
    <xf numFmtId="0" fontId="40" fillId="25" borderId="50" xfId="0" applyFont="1" applyFill="1" applyBorder="1" applyAlignment="1" applyProtection="1">
      <alignment horizontal="center" vertical="center" wrapText="1"/>
      <protection locked="0"/>
    </xf>
    <xf numFmtId="0" fontId="10" fillId="12" borderId="72" xfId="0" applyFont="1" applyFill="1" applyBorder="1" applyAlignment="1" applyProtection="1">
      <alignment horizontal="center" vertical="center" wrapText="1"/>
      <protection locked="0"/>
    </xf>
    <xf numFmtId="0" fontId="10" fillId="12" borderId="69" xfId="0" applyFont="1" applyFill="1" applyBorder="1" applyAlignment="1" applyProtection="1">
      <alignment horizontal="center" vertical="center" wrapText="1"/>
      <protection locked="0"/>
    </xf>
    <xf numFmtId="0" fontId="16" fillId="29" borderId="32" xfId="0" applyFont="1" applyFill="1" applyBorder="1" applyAlignment="1" applyProtection="1">
      <alignment vertical="center" wrapText="1"/>
      <protection locked="0"/>
    </xf>
    <xf numFmtId="0" fontId="42" fillId="29" borderId="33" xfId="0" applyFont="1" applyFill="1" applyBorder="1" applyAlignment="1" applyProtection="1">
      <alignment vertical="center" wrapText="1"/>
      <protection locked="0"/>
    </xf>
    <xf numFmtId="0" fontId="23" fillId="12" borderId="50" xfId="0" applyFont="1" applyFill="1" applyBorder="1" applyAlignment="1" applyProtection="1">
      <alignment horizontal="center" vertical="center" wrapText="1"/>
      <protection locked="0"/>
    </xf>
    <xf numFmtId="0" fontId="25" fillId="12" borderId="50" xfId="0" applyFont="1" applyFill="1" applyBorder="1" applyAlignment="1" applyProtection="1">
      <alignment horizontal="center" vertical="center" wrapText="1"/>
      <protection locked="0"/>
    </xf>
    <xf numFmtId="0" fontId="25" fillId="12" borderId="36" xfId="0" applyFont="1" applyFill="1" applyBorder="1" applyAlignment="1" applyProtection="1">
      <alignment horizontal="center" vertical="center" wrapText="1"/>
      <protection locked="0"/>
    </xf>
    <xf numFmtId="0" fontId="55" fillId="25" borderId="11" xfId="0" applyFont="1" applyFill="1" applyBorder="1" applyAlignment="1" applyProtection="1">
      <alignment horizontal="center" vertical="center" wrapText="1"/>
      <protection locked="0"/>
    </xf>
    <xf numFmtId="0" fontId="24" fillId="25" borderId="11" xfId="0" applyFont="1" applyFill="1" applyBorder="1" applyAlignment="1" applyProtection="1">
      <alignment horizontal="center" vertical="center" wrapText="1"/>
      <protection locked="0"/>
    </xf>
    <xf numFmtId="0" fontId="40" fillId="25" borderId="11" xfId="0" applyFont="1" applyFill="1" applyBorder="1" applyAlignment="1" applyProtection="1">
      <alignment horizontal="center" vertical="center" wrapText="1"/>
      <protection locked="0"/>
    </xf>
    <xf numFmtId="165" fontId="25" fillId="25" borderId="54" xfId="0" applyNumberFormat="1" applyFont="1" applyFill="1" applyBorder="1" applyAlignment="1" applyProtection="1">
      <alignment horizontal="center" vertical="center" wrapText="1"/>
      <protection locked="0"/>
    </xf>
    <xf numFmtId="165" fontId="55" fillId="25" borderId="74" xfId="0" applyNumberFormat="1" applyFont="1" applyFill="1" applyBorder="1" applyAlignment="1" applyProtection="1">
      <alignment horizontal="center" vertical="center" wrapText="1"/>
      <protection locked="0"/>
    </xf>
    <xf numFmtId="165" fontId="55" fillId="25" borderId="15" xfId="0" applyNumberFormat="1" applyFont="1" applyFill="1" applyBorder="1" applyAlignment="1" applyProtection="1">
      <alignment horizontal="center" vertical="center" wrapText="1"/>
      <protection locked="0"/>
    </xf>
    <xf numFmtId="165" fontId="40" fillId="25" borderId="20" xfId="0" applyNumberFormat="1" applyFont="1" applyFill="1" applyBorder="1" applyAlignment="1" applyProtection="1">
      <alignment horizontal="center" vertical="center" wrapText="1"/>
      <protection locked="0"/>
    </xf>
    <xf numFmtId="165" fontId="25" fillId="25" borderId="15" xfId="0" applyNumberFormat="1" applyFont="1" applyFill="1" applyBorder="1" applyAlignment="1" applyProtection="1">
      <alignment horizontal="center" vertical="center" wrapText="1"/>
      <protection locked="0"/>
    </xf>
    <xf numFmtId="165" fontId="25" fillId="25" borderId="20" xfId="0" applyNumberFormat="1" applyFont="1" applyFill="1" applyBorder="1" applyAlignment="1" applyProtection="1">
      <alignment horizontal="center" vertical="center" wrapText="1"/>
      <protection locked="0"/>
    </xf>
    <xf numFmtId="2" fontId="40" fillId="25" borderId="50" xfId="0" applyNumberFormat="1" applyFont="1" applyFill="1" applyBorder="1" applyAlignment="1" applyProtection="1">
      <alignment horizontal="center" vertical="center" wrapText="1"/>
      <protection locked="0"/>
    </xf>
    <xf numFmtId="0" fontId="40" fillId="25" borderId="36" xfId="0" applyFont="1" applyFill="1" applyBorder="1" applyAlignment="1" applyProtection="1">
      <alignment horizontal="center" vertical="center" wrapText="1"/>
      <protection locked="0"/>
    </xf>
    <xf numFmtId="0" fontId="56" fillId="25" borderId="17" xfId="0" applyFont="1" applyFill="1" applyBorder="1" applyAlignment="1" applyProtection="1">
      <alignment horizontal="center" vertical="center" wrapText="1"/>
      <protection locked="0"/>
    </xf>
    <xf numFmtId="0" fontId="56" fillId="25" borderId="21" xfId="0" applyFont="1" applyFill="1" applyBorder="1" applyAlignment="1" applyProtection="1">
      <alignment horizontal="center" vertical="center" wrapText="1"/>
      <protection locked="0"/>
    </xf>
    <xf numFmtId="0" fontId="54" fillId="25" borderId="23" xfId="0" applyFont="1" applyFill="1" applyBorder="1" applyAlignment="1" applyProtection="1">
      <alignment horizontal="center" vertical="center" wrapText="1"/>
      <protection locked="0"/>
    </xf>
    <xf numFmtId="0" fontId="42" fillId="0" borderId="34" xfId="0" applyFont="1" applyBorder="1" applyAlignment="1" applyProtection="1">
      <alignment wrapText="1"/>
      <protection locked="0"/>
    </xf>
    <xf numFmtId="0" fontId="42" fillId="0" borderId="33" xfId="0" applyFont="1" applyBorder="1" applyAlignment="1" applyProtection="1">
      <alignment wrapText="1"/>
      <protection locked="0"/>
    </xf>
    <xf numFmtId="0" fontId="57" fillId="0" borderId="24" xfId="3" applyFont="1" applyBorder="1" applyAlignment="1" applyProtection="1">
      <alignment wrapText="1"/>
      <protection locked="0"/>
    </xf>
    <xf numFmtId="0" fontId="42" fillId="0" borderId="26" xfId="0" applyFont="1" applyBorder="1" applyAlignment="1" applyProtection="1">
      <alignment wrapText="1"/>
      <protection locked="0"/>
    </xf>
    <xf numFmtId="0" fontId="42" fillId="29" borderId="1" xfId="0" applyFont="1" applyFill="1" applyBorder="1" applyAlignment="1" applyProtection="1">
      <alignment vertical="top" wrapText="1"/>
      <protection locked="0"/>
    </xf>
    <xf numFmtId="0" fontId="42" fillId="12" borderId="32" xfId="0" applyFont="1" applyFill="1" applyBorder="1" applyAlignment="1" applyProtection="1">
      <alignment wrapText="1"/>
      <protection locked="0"/>
    </xf>
    <xf numFmtId="0" fontId="42" fillId="0" borderId="24" xfId="0" applyFont="1" applyBorder="1" applyAlignment="1" applyProtection="1">
      <alignment wrapText="1"/>
      <protection locked="0"/>
    </xf>
    <xf numFmtId="0" fontId="0" fillId="0" borderId="11" xfId="0" applyBorder="1" applyAlignment="1" applyProtection="1">
      <alignment wrapText="1"/>
      <protection locked="0"/>
    </xf>
    <xf numFmtId="0" fontId="42" fillId="0" borderId="25" xfId="0" applyFont="1" applyBorder="1" applyAlignment="1" applyProtection="1">
      <alignment wrapText="1"/>
      <protection locked="0"/>
    </xf>
    <xf numFmtId="0" fontId="57" fillId="0" borderId="25" xfId="3" applyFont="1" applyBorder="1" applyAlignment="1" applyProtection="1">
      <alignment wrapText="1"/>
      <protection locked="0"/>
    </xf>
    <xf numFmtId="0" fontId="42" fillId="12" borderId="33" xfId="0" applyFont="1" applyFill="1" applyBorder="1" applyAlignment="1" applyProtection="1">
      <alignment wrapText="1"/>
      <protection locked="0"/>
    </xf>
    <xf numFmtId="0" fontId="0" fillId="0" borderId="62" xfId="0" applyBorder="1" applyAlignment="1" applyProtection="1">
      <alignment vertical="top" wrapText="1"/>
      <protection locked="0"/>
    </xf>
    <xf numFmtId="0" fontId="35" fillId="0" borderId="24" xfId="3" applyFont="1" applyBorder="1" applyAlignment="1" applyProtection="1">
      <alignment vertical="top" wrapText="1"/>
      <protection locked="0"/>
    </xf>
    <xf numFmtId="165" fontId="26" fillId="12" borderId="54" xfId="0" applyNumberFormat="1" applyFont="1" applyFill="1" applyBorder="1" applyAlignment="1" applyProtection="1">
      <alignment horizontal="center" vertical="center" wrapText="1"/>
      <protection locked="0"/>
    </xf>
    <xf numFmtId="165" fontId="26" fillId="12" borderId="46" xfId="0" applyNumberFormat="1" applyFont="1" applyFill="1" applyBorder="1" applyAlignment="1" applyProtection="1">
      <alignment horizontal="center" vertical="center" wrapText="1"/>
      <protection locked="0"/>
    </xf>
    <xf numFmtId="0" fontId="26" fillId="12" borderId="48" xfId="0" applyFont="1" applyFill="1" applyBorder="1" applyAlignment="1" applyProtection="1">
      <alignment horizontal="center" vertical="center" wrapText="1"/>
      <protection locked="0"/>
    </xf>
    <xf numFmtId="0" fontId="34" fillId="0" borderId="24" xfId="3" applyFont="1" applyBorder="1" applyAlignment="1" applyProtection="1">
      <alignment vertical="top" wrapText="1"/>
      <protection locked="0"/>
    </xf>
    <xf numFmtId="0" fontId="0" fillId="12" borderId="0" xfId="0" applyFill="1" applyProtection="1"/>
    <xf numFmtId="0" fontId="28" fillId="0" borderId="1" xfId="0" applyFont="1" applyBorder="1" applyAlignment="1" applyProtection="1">
      <alignment vertical="top" wrapText="1"/>
      <protection locked="0"/>
    </xf>
    <xf numFmtId="0" fontId="15" fillId="0" borderId="41" xfId="0" applyFont="1" applyBorder="1" applyAlignment="1" applyProtection="1">
      <alignment vertical="top" wrapText="1"/>
      <protection locked="0"/>
    </xf>
    <xf numFmtId="0" fontId="15" fillId="0" borderId="8" xfId="0" applyFont="1" applyBorder="1" applyAlignment="1" applyProtection="1">
      <alignment vertical="top" wrapText="1"/>
      <protection locked="0"/>
    </xf>
    <xf numFmtId="0" fontId="15" fillId="0" borderId="0" xfId="0" applyFont="1" applyAlignment="1">
      <alignment wrapText="1"/>
    </xf>
    <xf numFmtId="9" fontId="0" fillId="0" borderId="0" xfId="1" applyFont="1" applyAlignment="1">
      <alignment horizontal="center" vertical="center"/>
    </xf>
    <xf numFmtId="0" fontId="0" fillId="0" borderId="66" xfId="0" applyBorder="1" applyAlignment="1" applyProtection="1">
      <alignment vertical="top"/>
      <protection locked="0"/>
    </xf>
    <xf numFmtId="9" fontId="23" fillId="11" borderId="5" xfId="1" applyFont="1" applyFill="1" applyBorder="1" applyAlignment="1" applyProtection="1">
      <alignment horizontal="center" vertical="center" wrapText="1"/>
    </xf>
    <xf numFmtId="0" fontId="0" fillId="0" borderId="11" xfId="0" applyBorder="1" applyAlignment="1" applyProtection="1">
      <alignment vertical="top" wrapText="1"/>
      <protection locked="0"/>
    </xf>
    <xf numFmtId="0" fontId="15" fillId="0" borderId="11" xfId="0" applyFont="1" applyBorder="1" applyAlignment="1" applyProtection="1">
      <alignment vertical="top" wrapText="1"/>
      <protection locked="0"/>
    </xf>
    <xf numFmtId="0" fontId="0" fillId="0" borderId="17" xfId="0" applyBorder="1" applyAlignment="1" applyProtection="1">
      <alignment vertical="top"/>
      <protection locked="0"/>
    </xf>
    <xf numFmtId="0" fontId="0" fillId="0" borderId="18" xfId="0" applyBorder="1" applyAlignment="1" applyProtection="1">
      <alignment vertical="top" wrapText="1"/>
      <protection locked="0"/>
    </xf>
    <xf numFmtId="0" fontId="15" fillId="0" borderId="18" xfId="0" applyFont="1" applyBorder="1" applyAlignment="1" applyProtection="1">
      <alignment vertical="top" wrapText="1"/>
      <protection locked="0"/>
    </xf>
    <xf numFmtId="9" fontId="23" fillId="11" borderId="19" xfId="1" applyFont="1" applyFill="1" applyBorder="1" applyAlignment="1" applyProtection="1">
      <alignment horizontal="center" vertical="center" wrapText="1"/>
    </xf>
    <xf numFmtId="0" fontId="0" fillId="0" borderId="15" xfId="0" applyBorder="1" applyAlignment="1" applyProtection="1">
      <alignment vertical="top"/>
      <protection locked="0"/>
    </xf>
    <xf numFmtId="9" fontId="23" fillId="11" borderId="20" xfId="1" applyFont="1" applyFill="1" applyBorder="1" applyAlignment="1" applyProtection="1">
      <alignment horizontal="center" vertical="center" wrapText="1"/>
    </xf>
    <xf numFmtId="0" fontId="0" fillId="0" borderId="21" xfId="0" applyBorder="1" applyAlignment="1" applyProtection="1">
      <alignment vertical="top"/>
      <protection locked="0"/>
    </xf>
    <xf numFmtId="0" fontId="0" fillId="0" borderId="22" xfId="0" applyBorder="1" applyAlignment="1" applyProtection="1">
      <alignment vertical="top" wrapText="1"/>
      <protection locked="0"/>
    </xf>
    <xf numFmtId="0" fontId="15" fillId="0" borderId="22" xfId="0" applyFont="1" applyBorder="1" applyAlignment="1" applyProtection="1">
      <alignment vertical="top" wrapText="1"/>
      <protection locked="0"/>
    </xf>
    <xf numFmtId="0" fontId="2" fillId="0" borderId="42" xfId="0" applyFont="1" applyBorder="1" applyProtection="1">
      <protection locked="0"/>
    </xf>
    <xf numFmtId="0" fontId="25" fillId="25" borderId="15" xfId="0" applyFont="1" applyFill="1" applyBorder="1" applyAlignment="1" applyProtection="1">
      <alignment horizontal="center" vertical="center" wrapText="1"/>
      <protection locked="0"/>
    </xf>
    <xf numFmtId="0" fontId="40" fillId="25" borderId="20" xfId="0" applyFont="1" applyFill="1" applyBorder="1" applyAlignment="1" applyProtection="1">
      <alignment horizontal="center" vertical="center" wrapText="1"/>
      <protection locked="0"/>
    </xf>
    <xf numFmtId="0" fontId="40" fillId="25" borderId="15" xfId="0" applyFont="1" applyFill="1" applyBorder="1" applyAlignment="1" applyProtection="1">
      <alignment horizontal="center" vertical="center" wrapText="1"/>
      <protection locked="0"/>
    </xf>
    <xf numFmtId="1" fontId="25" fillId="25" borderId="21" xfId="0" applyNumberFormat="1" applyFont="1" applyFill="1" applyBorder="1" applyAlignment="1" applyProtection="1">
      <alignment horizontal="center" vertical="center" wrapText="1"/>
      <protection locked="0"/>
    </xf>
    <xf numFmtId="0" fontId="25" fillId="25" borderId="23" xfId="0" applyFont="1" applyFill="1" applyBorder="1" applyAlignment="1" applyProtection="1">
      <alignment horizontal="center" vertical="center" wrapText="1"/>
      <protection locked="0"/>
    </xf>
    <xf numFmtId="0" fontId="42" fillId="12" borderId="1" xfId="0" applyFont="1" applyFill="1" applyBorder="1" applyAlignment="1" applyProtection="1">
      <alignment vertical="top" wrapText="1"/>
      <protection locked="0"/>
    </xf>
    <xf numFmtId="0" fontId="10" fillId="29" borderId="72" xfId="0" applyFont="1" applyFill="1" applyBorder="1" applyAlignment="1" applyProtection="1">
      <alignment horizontal="center" vertical="center" wrapText="1"/>
      <protection locked="0"/>
    </xf>
    <xf numFmtId="0" fontId="10" fillId="29" borderId="69" xfId="0" applyFont="1" applyFill="1" applyBorder="1" applyAlignment="1" applyProtection="1">
      <alignment horizontal="center" vertical="center" wrapText="1"/>
      <protection locked="0"/>
    </xf>
    <xf numFmtId="0" fontId="0" fillId="29" borderId="10" xfId="0" applyFill="1" applyBorder="1" applyAlignment="1" applyProtection="1">
      <alignment vertical="top" wrapText="1"/>
      <protection locked="0"/>
    </xf>
    <xf numFmtId="0" fontId="15" fillId="29" borderId="1" xfId="0" applyFont="1" applyFill="1" applyBorder="1" applyAlignment="1" applyProtection="1">
      <alignment vertical="top" wrapText="1"/>
      <protection locked="0"/>
    </xf>
    <xf numFmtId="165" fontId="40" fillId="25" borderId="17" xfId="0" applyNumberFormat="1" applyFont="1" applyFill="1" applyBorder="1" applyAlignment="1" applyProtection="1">
      <alignment horizontal="center" vertical="center" wrapText="1"/>
      <protection locked="0"/>
    </xf>
    <xf numFmtId="165" fontId="40" fillId="25" borderId="19" xfId="0" applyNumberFormat="1" applyFont="1" applyFill="1" applyBorder="1" applyAlignment="1" applyProtection="1">
      <alignment horizontal="center" vertical="center" wrapText="1"/>
      <protection locked="0"/>
    </xf>
    <xf numFmtId="165" fontId="10" fillId="25" borderId="15" xfId="0" applyNumberFormat="1" applyFont="1" applyFill="1" applyBorder="1" applyAlignment="1" applyProtection="1">
      <alignment horizontal="center" vertical="center" wrapText="1"/>
      <protection locked="0"/>
    </xf>
    <xf numFmtId="165" fontId="10" fillId="25" borderId="20" xfId="0" applyNumberFormat="1" applyFont="1" applyFill="1" applyBorder="1" applyAlignment="1" applyProtection="1">
      <alignment horizontal="center" vertical="center" wrapText="1"/>
      <protection locked="0"/>
    </xf>
    <xf numFmtId="165" fontId="23" fillId="29" borderId="15" xfId="0" applyNumberFormat="1" applyFont="1" applyFill="1" applyBorder="1" applyAlignment="1" applyProtection="1">
      <alignment horizontal="center" vertical="center" wrapText="1"/>
      <protection locked="0"/>
    </xf>
    <xf numFmtId="165" fontId="23" fillId="29" borderId="20" xfId="0" applyNumberFormat="1" applyFont="1" applyFill="1" applyBorder="1" applyAlignment="1" applyProtection="1">
      <alignment horizontal="center" vertical="center" wrapText="1"/>
      <protection locked="0"/>
    </xf>
    <xf numFmtId="0" fontId="15" fillId="12" borderId="32" xfId="0" applyFont="1" applyFill="1" applyBorder="1" applyAlignment="1" applyProtection="1">
      <alignment wrapText="1"/>
      <protection locked="0"/>
    </xf>
    <xf numFmtId="2" fontId="17" fillId="24" borderId="6" xfId="0" applyNumberFormat="1" applyFont="1" applyFill="1" applyBorder="1" applyProtection="1">
      <protection locked="0"/>
    </xf>
    <xf numFmtId="0" fontId="24" fillId="8" borderId="29" xfId="0" applyFont="1" applyFill="1" applyBorder="1" applyAlignment="1" applyProtection="1">
      <alignment vertical="center" wrapText="1"/>
    </xf>
    <xf numFmtId="0" fontId="55" fillId="25" borderId="15" xfId="0" applyFont="1" applyFill="1" applyBorder="1" applyAlignment="1" applyProtection="1">
      <alignment horizontal="center" vertical="center" wrapText="1"/>
      <protection locked="0"/>
    </xf>
    <xf numFmtId="165" fontId="26" fillId="29" borderId="15" xfId="0" applyNumberFormat="1" applyFont="1" applyFill="1" applyBorder="1" applyAlignment="1" applyProtection="1">
      <alignment horizontal="center" vertical="center" wrapText="1"/>
      <protection locked="0"/>
    </xf>
    <xf numFmtId="165" fontId="26" fillId="29" borderId="20" xfId="0" applyNumberFormat="1" applyFont="1" applyFill="1" applyBorder="1" applyAlignment="1" applyProtection="1">
      <alignment horizontal="center" vertical="center" wrapText="1"/>
      <protection locked="0"/>
    </xf>
    <xf numFmtId="0" fontId="15" fillId="12" borderId="59" xfId="0" applyFont="1" applyFill="1" applyBorder="1" applyAlignment="1" applyProtection="1">
      <alignment vertical="top" wrapText="1"/>
      <protection locked="0"/>
    </xf>
    <xf numFmtId="0" fontId="15" fillId="12" borderId="1" xfId="0" applyFont="1" applyFill="1" applyBorder="1" applyAlignment="1" applyProtection="1">
      <alignment vertical="top" wrapText="1"/>
      <protection locked="0"/>
    </xf>
    <xf numFmtId="165" fontId="26" fillId="12" borderId="21" xfId="1" applyNumberFormat="1" applyFont="1" applyFill="1" applyBorder="1" applyAlignment="1" applyProtection="1">
      <alignment horizontal="center" vertical="center" wrapText="1"/>
      <protection locked="0"/>
    </xf>
    <xf numFmtId="165" fontId="26" fillId="12" borderId="23" xfId="1" applyNumberFormat="1" applyFont="1" applyFill="1" applyBorder="1" applyAlignment="1" applyProtection="1">
      <alignment horizontal="center" vertical="center" wrapText="1"/>
      <protection locked="0"/>
    </xf>
    <xf numFmtId="0" fontId="15" fillId="12" borderId="34" xfId="0" applyFont="1" applyFill="1" applyBorder="1" applyAlignment="1" applyProtection="1">
      <alignment horizontal="left" vertical="center" wrapText="1"/>
      <protection locked="0"/>
    </xf>
    <xf numFmtId="0" fontId="0" fillId="12" borderId="64" xfId="0" applyFill="1" applyBorder="1" applyProtection="1">
      <protection locked="0"/>
    </xf>
    <xf numFmtId="165" fontId="26" fillId="12" borderId="19" xfId="0" applyNumberFormat="1" applyFont="1" applyFill="1" applyBorder="1" applyAlignment="1" applyProtection="1">
      <alignment horizontal="center" vertical="center" wrapText="1"/>
      <protection locked="0"/>
    </xf>
    <xf numFmtId="0" fontId="15" fillId="0" borderId="41" xfId="0" applyFont="1" applyBorder="1" applyAlignment="1" applyProtection="1">
      <alignment horizontal="left" vertical="center" wrapText="1"/>
      <protection locked="0"/>
    </xf>
    <xf numFmtId="0" fontId="15" fillId="0" borderId="5" xfId="0" applyFont="1" applyBorder="1" applyAlignment="1" applyProtection="1">
      <alignment horizontal="left" vertical="center" wrapText="1"/>
      <protection locked="0"/>
    </xf>
    <xf numFmtId="0" fontId="15" fillId="12" borderId="33" xfId="0" applyFont="1" applyFill="1" applyBorder="1" applyAlignment="1" applyProtection="1">
      <alignment vertical="top"/>
      <protection locked="0"/>
    </xf>
    <xf numFmtId="0" fontId="26" fillId="26" borderId="52" xfId="0" applyFont="1" applyFill="1" applyBorder="1" applyAlignment="1" applyProtection="1">
      <alignment horizontal="center" vertical="center" wrapText="1"/>
      <protection locked="0"/>
    </xf>
    <xf numFmtId="0" fontId="15" fillId="25" borderId="32" xfId="0" applyFont="1" applyFill="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3" fontId="26" fillId="12" borderId="17" xfId="0" applyNumberFormat="1" applyFont="1" applyFill="1" applyBorder="1" applyAlignment="1" applyProtection="1">
      <alignment horizontal="center" vertical="center" wrapText="1"/>
      <protection locked="0"/>
    </xf>
    <xf numFmtId="4" fontId="26" fillId="12" borderId="46" xfId="0" applyNumberFormat="1" applyFont="1" applyFill="1" applyBorder="1" applyAlignment="1" applyProtection="1">
      <alignment horizontal="center" vertical="center" wrapText="1"/>
      <protection locked="0"/>
    </xf>
    <xf numFmtId="0" fontId="15" fillId="0" borderId="66" xfId="0" applyFont="1" applyBorder="1" applyProtection="1">
      <protection locked="0"/>
    </xf>
    <xf numFmtId="0" fontId="15" fillId="12" borderId="53" xfId="0" applyFont="1" applyFill="1" applyBorder="1" applyAlignment="1" applyProtection="1">
      <alignment vertical="top" wrapText="1"/>
      <protection locked="0"/>
    </xf>
    <xf numFmtId="0" fontId="0" fillId="0" borderId="66" xfId="0" applyBorder="1" applyProtection="1">
      <protection locked="0"/>
    </xf>
    <xf numFmtId="0" fontId="26" fillId="12" borderId="46" xfId="0" applyFont="1" applyFill="1" applyBorder="1" applyAlignment="1" applyProtection="1">
      <alignment horizontal="center" vertical="center" wrapText="1"/>
      <protection locked="0"/>
    </xf>
    <xf numFmtId="0" fontId="26" fillId="12" borderId="56" xfId="0" applyFont="1" applyFill="1" applyBorder="1" applyAlignment="1" applyProtection="1">
      <alignment horizontal="center" vertical="center" wrapText="1"/>
      <protection locked="0"/>
    </xf>
    <xf numFmtId="0" fontId="26" fillId="12" borderId="65" xfId="0" applyFont="1" applyFill="1" applyBorder="1" applyAlignment="1" applyProtection="1">
      <alignment horizontal="center" vertical="center" wrapText="1"/>
      <protection locked="0"/>
    </xf>
    <xf numFmtId="0" fontId="15" fillId="12" borderId="34" xfId="0" applyFont="1" applyFill="1" applyBorder="1" applyAlignment="1" applyProtection="1">
      <alignment vertical="center" wrapText="1"/>
      <protection locked="0"/>
    </xf>
    <xf numFmtId="0" fontId="44" fillId="12" borderId="34" xfId="0" applyFont="1" applyFill="1" applyBorder="1" applyAlignment="1" applyProtection="1">
      <alignment vertical="top" wrapText="1"/>
      <protection locked="0"/>
    </xf>
    <xf numFmtId="0" fontId="26" fillId="26" borderId="50" xfId="0" applyFont="1" applyFill="1" applyBorder="1" applyAlignment="1" applyProtection="1">
      <alignment horizontal="center" vertical="center" wrapText="1"/>
      <protection locked="0"/>
    </xf>
    <xf numFmtId="0" fontId="35" fillId="12" borderId="1" xfId="3" applyFont="1" applyFill="1" applyBorder="1" applyAlignment="1" applyProtection="1">
      <alignment vertical="top" wrapText="1"/>
      <protection locked="0"/>
    </xf>
    <xf numFmtId="0" fontId="26" fillId="26" borderId="17" xfId="0" applyFont="1" applyFill="1" applyBorder="1" applyAlignment="1" applyProtection="1">
      <alignment horizontal="center" vertical="center" wrapText="1"/>
      <protection locked="0"/>
    </xf>
    <xf numFmtId="0" fontId="35" fillId="12" borderId="34" xfId="3" applyFont="1" applyFill="1" applyBorder="1" applyAlignment="1" applyProtection="1">
      <alignment vertical="top" wrapText="1"/>
      <protection locked="0"/>
    </xf>
    <xf numFmtId="165" fontId="26" fillId="12" borderId="74" xfId="0" applyNumberFormat="1" applyFont="1" applyFill="1" applyBorder="1" applyAlignment="1" applyProtection="1">
      <alignment horizontal="center" vertical="center" wrapText="1"/>
      <protection locked="0"/>
    </xf>
    <xf numFmtId="0" fontId="36" fillId="12" borderId="33" xfId="3" applyFont="1" applyFill="1" applyBorder="1" applyAlignment="1" applyProtection="1">
      <alignment vertical="top" wrapText="1"/>
      <protection locked="0"/>
    </xf>
    <xf numFmtId="0" fontId="36" fillId="0" borderId="33" xfId="3" applyFont="1" applyBorder="1" applyAlignment="1" applyProtection="1">
      <alignment vertical="top" wrapText="1"/>
      <protection locked="0"/>
    </xf>
    <xf numFmtId="0" fontId="16" fillId="12" borderId="10" xfId="0" applyFont="1" applyFill="1" applyBorder="1" applyProtection="1">
      <protection locked="0"/>
    </xf>
    <xf numFmtId="2" fontId="26" fillId="12" borderId="50" xfId="0" applyNumberFormat="1" applyFont="1" applyFill="1" applyBorder="1" applyAlignment="1" applyProtection="1">
      <alignment horizontal="center" vertical="center" wrapText="1"/>
      <protection locked="0"/>
    </xf>
    <xf numFmtId="0" fontId="15" fillId="0" borderId="24" xfId="0" applyFont="1" applyBorder="1" applyAlignment="1" applyProtection="1">
      <alignment vertical="top" wrapText="1"/>
      <protection locked="0"/>
    </xf>
    <xf numFmtId="0" fontId="0" fillId="0" borderId="1" xfId="0" applyBorder="1" applyAlignment="1" applyProtection="1">
      <alignment vertical="top" wrapText="1"/>
      <protection locked="0"/>
    </xf>
    <xf numFmtId="0" fontId="0" fillId="11" borderId="42" xfId="0" applyFill="1" applyBorder="1" applyAlignment="1" applyProtection="1">
      <alignment vertical="top" wrapText="1"/>
      <protection locked="0"/>
    </xf>
    <xf numFmtId="0" fontId="0" fillId="11" borderId="10" xfId="0" applyFill="1" applyBorder="1" applyAlignment="1" applyProtection="1">
      <alignment vertical="top" wrapText="1"/>
      <protection locked="0"/>
    </xf>
    <xf numFmtId="0" fontId="15" fillId="0" borderId="26" xfId="0" applyFont="1" applyBorder="1" applyAlignment="1" applyProtection="1">
      <alignment vertical="top" wrapText="1"/>
      <protection locked="0"/>
    </xf>
    <xf numFmtId="0" fontId="0" fillId="0" borderId="24" xfId="0" applyBorder="1" applyAlignment="1" applyProtection="1">
      <alignment vertical="top" wrapText="1"/>
      <protection locked="0"/>
    </xf>
    <xf numFmtId="0" fontId="0" fillId="0" borderId="26" xfId="0" applyBorder="1" applyAlignment="1" applyProtection="1">
      <alignment vertical="top" wrapText="1"/>
      <protection locked="0"/>
    </xf>
    <xf numFmtId="0" fontId="0" fillId="0" borderId="5" xfId="0" applyBorder="1" applyAlignment="1" applyProtection="1">
      <alignment vertical="top" wrapText="1"/>
      <protection locked="0"/>
    </xf>
    <xf numFmtId="0" fontId="53" fillId="0" borderId="1" xfId="0" applyFont="1" applyBorder="1" applyAlignment="1" applyProtection="1">
      <alignment vertical="top" wrapText="1"/>
      <protection locked="0"/>
    </xf>
    <xf numFmtId="0" fontId="53" fillId="11" borderId="1" xfId="0" applyFont="1" applyFill="1" applyBorder="1" applyAlignment="1" applyProtection="1">
      <alignment vertical="top" wrapText="1"/>
      <protection locked="0"/>
    </xf>
    <xf numFmtId="0" fontId="53" fillId="12" borderId="10" xfId="0" applyFont="1" applyFill="1" applyBorder="1" applyAlignment="1" applyProtection="1">
      <alignment vertical="top" wrapText="1"/>
      <protection locked="0"/>
    </xf>
    <xf numFmtId="165" fontId="23" fillId="12" borderId="17" xfId="0" applyNumberFormat="1" applyFont="1" applyFill="1" applyBorder="1" applyAlignment="1" applyProtection="1">
      <alignment horizontal="center" vertical="center" wrapText="1"/>
      <protection locked="0"/>
    </xf>
    <xf numFmtId="0" fontId="53" fillId="0" borderId="32" xfId="0" applyFont="1" applyBorder="1" applyAlignment="1" applyProtection="1">
      <alignment vertical="top" wrapText="1"/>
      <protection locked="0"/>
    </xf>
    <xf numFmtId="0" fontId="53" fillId="0" borderId="33" xfId="0" applyFont="1" applyBorder="1" applyAlignment="1" applyProtection="1">
      <alignment vertical="top" wrapText="1"/>
      <protection locked="0"/>
    </xf>
    <xf numFmtId="0" fontId="59" fillId="0" borderId="7" xfId="0" applyFont="1" applyBorder="1" applyAlignment="1" applyProtection="1">
      <alignment vertical="top" wrapText="1"/>
      <protection locked="0"/>
    </xf>
    <xf numFmtId="0" fontId="53" fillId="11" borderId="10" xfId="0" applyFont="1" applyFill="1" applyBorder="1" applyAlignment="1" applyProtection="1">
      <alignment vertical="top" wrapText="1"/>
      <protection locked="0"/>
    </xf>
    <xf numFmtId="0" fontId="53" fillId="12" borderId="34" xfId="0" applyFont="1" applyFill="1" applyBorder="1" applyAlignment="1" applyProtection="1">
      <alignment vertical="top" wrapText="1"/>
      <protection locked="0"/>
    </xf>
    <xf numFmtId="0" fontId="53" fillId="0" borderId="26" xfId="0" applyFont="1" applyBorder="1" applyAlignment="1" applyProtection="1">
      <alignment vertical="top" wrapText="1"/>
      <protection locked="0"/>
    </xf>
    <xf numFmtId="0" fontId="53" fillId="9" borderId="1" xfId="0" applyFont="1" applyFill="1" applyBorder="1" applyAlignment="1" applyProtection="1">
      <alignment vertical="top" wrapText="1"/>
      <protection locked="0"/>
    </xf>
    <xf numFmtId="2" fontId="53" fillId="11" borderId="1" xfId="0" applyNumberFormat="1" applyFont="1" applyFill="1" applyBorder="1" applyAlignment="1" applyProtection="1">
      <alignment vertical="top" wrapText="1"/>
      <protection locked="0"/>
    </xf>
    <xf numFmtId="0" fontId="53" fillId="0" borderId="34" xfId="0" applyFont="1" applyBorder="1" applyAlignment="1" applyProtection="1">
      <alignment vertical="top" wrapText="1"/>
      <protection locked="0"/>
    </xf>
    <xf numFmtId="165" fontId="23" fillId="12" borderId="54" xfId="0" applyNumberFormat="1" applyFont="1" applyFill="1" applyBorder="1" applyAlignment="1" applyProtection="1">
      <alignment horizontal="center" vertical="center" wrapText="1"/>
      <protection locked="0"/>
    </xf>
    <xf numFmtId="0" fontId="53" fillId="0" borderId="53" xfId="0" applyFont="1" applyBorder="1" applyAlignment="1" applyProtection="1">
      <alignment vertical="top" wrapText="1"/>
      <protection locked="0"/>
    </xf>
    <xf numFmtId="0" fontId="60" fillId="11" borderId="10" xfId="0" applyFont="1" applyFill="1" applyBorder="1" applyAlignment="1" applyProtection="1">
      <alignment vertical="top" wrapText="1"/>
      <protection locked="0"/>
    </xf>
    <xf numFmtId="0" fontId="0" fillId="0" borderId="62" xfId="0" applyBorder="1" applyAlignment="1" applyProtection="1">
      <alignment wrapText="1"/>
      <protection locked="0"/>
    </xf>
    <xf numFmtId="0" fontId="0" fillId="0" borderId="64" xfId="0" applyBorder="1" applyAlignment="1" applyProtection="1">
      <alignment wrapText="1"/>
      <protection locked="0"/>
    </xf>
    <xf numFmtId="0" fontId="45" fillId="0" borderId="0" xfId="0" applyFont="1" applyAlignment="1">
      <alignment wrapText="1"/>
    </xf>
    <xf numFmtId="0" fontId="0" fillId="0" borderId="32" xfId="0" applyBorder="1" applyAlignment="1" applyProtection="1">
      <alignment wrapText="1"/>
      <protection locked="0"/>
    </xf>
    <xf numFmtId="0" fontId="0" fillId="0" borderId="31" xfId="0" applyBorder="1" applyAlignment="1" applyProtection="1">
      <alignment wrapText="1"/>
      <protection locked="0"/>
    </xf>
    <xf numFmtId="0" fontId="0" fillId="0" borderId="34" xfId="0" applyBorder="1" applyAlignment="1" applyProtection="1">
      <alignment vertical="center" wrapText="1"/>
      <protection locked="0"/>
    </xf>
    <xf numFmtId="0" fontId="0" fillId="11" borderId="8" xfId="0" applyFill="1" applyBorder="1" applyAlignment="1" applyProtection="1">
      <alignment vertical="center" wrapText="1"/>
      <protection locked="0"/>
    </xf>
    <xf numFmtId="0" fontId="0" fillId="11" borderId="10" xfId="0" applyFill="1" applyBorder="1" applyAlignment="1" applyProtection="1">
      <alignment vertical="center" wrapText="1"/>
      <protection locked="0"/>
    </xf>
    <xf numFmtId="0" fontId="15" fillId="26" borderId="1" xfId="0" applyFont="1" applyFill="1" applyBorder="1" applyAlignment="1" applyProtection="1">
      <alignment vertical="top" wrapText="1"/>
      <protection locked="0"/>
    </xf>
    <xf numFmtId="0" fontId="15" fillId="12" borderId="33" xfId="0" applyFont="1" applyFill="1" applyBorder="1" applyAlignment="1" applyProtection="1">
      <alignment wrapText="1"/>
      <protection locked="0"/>
    </xf>
    <xf numFmtId="0" fontId="27" fillId="25" borderId="38" xfId="0" applyFont="1" applyFill="1" applyBorder="1" applyAlignment="1" applyProtection="1">
      <alignment horizontal="center" vertical="center" wrapText="1"/>
      <protection locked="0"/>
    </xf>
    <xf numFmtId="0" fontId="27" fillId="25" borderId="55" xfId="0" applyFont="1" applyFill="1" applyBorder="1" applyAlignment="1" applyProtection="1">
      <alignment horizontal="center" vertical="center" wrapText="1"/>
      <protection locked="0"/>
    </xf>
    <xf numFmtId="0" fontId="27" fillId="12" borderId="21" xfId="0" applyFont="1" applyFill="1" applyBorder="1" applyAlignment="1" applyProtection="1">
      <alignment horizontal="center" vertical="center" wrapText="1"/>
      <protection locked="0"/>
    </xf>
    <xf numFmtId="0" fontId="27" fillId="12" borderId="34" xfId="0" applyFont="1" applyFill="1" applyBorder="1" applyAlignment="1" applyProtection="1">
      <alignment horizontal="center" vertical="center" wrapText="1"/>
      <protection locked="0"/>
    </xf>
    <xf numFmtId="165" fontId="23" fillId="12" borderId="36" xfId="0" applyNumberFormat="1" applyFont="1" applyFill="1" applyBorder="1" applyAlignment="1" applyProtection="1">
      <alignment horizontal="center" vertical="center" wrapText="1"/>
      <protection locked="0"/>
    </xf>
    <xf numFmtId="0" fontId="25" fillId="25" borderId="17" xfId="0" applyFont="1" applyFill="1" applyBorder="1" applyAlignment="1" applyProtection="1">
      <alignment horizontal="center" vertical="center" wrapText="1"/>
      <protection locked="0"/>
    </xf>
    <xf numFmtId="0" fontId="25" fillId="25" borderId="19" xfId="0" applyFont="1" applyFill="1" applyBorder="1" applyAlignment="1" applyProtection="1">
      <alignment horizontal="center" vertical="center" wrapText="1"/>
      <protection locked="0"/>
    </xf>
    <xf numFmtId="0" fontId="55" fillId="25" borderId="20" xfId="0" applyFont="1" applyFill="1" applyBorder="1" applyAlignment="1" applyProtection="1">
      <alignment horizontal="center" vertical="center" wrapText="1"/>
      <protection locked="0"/>
    </xf>
    <xf numFmtId="0" fontId="23" fillId="26" borderId="52" xfId="0" applyFont="1" applyFill="1" applyBorder="1" applyAlignment="1" applyProtection="1">
      <alignment horizontal="center" vertical="center" wrapText="1"/>
      <protection locked="0"/>
    </xf>
    <xf numFmtId="165" fontId="23" fillId="29" borderId="21" xfId="0" applyNumberFormat="1" applyFont="1" applyFill="1" applyBorder="1" applyAlignment="1" applyProtection="1">
      <alignment horizontal="center" vertical="center" wrapText="1"/>
      <protection locked="0"/>
    </xf>
    <xf numFmtId="165" fontId="23" fillId="29" borderId="23" xfId="0" applyNumberFormat="1" applyFont="1" applyFill="1" applyBorder="1" applyAlignment="1" applyProtection="1">
      <alignment horizontal="center" vertical="center" wrapText="1"/>
      <protection locked="0"/>
    </xf>
    <xf numFmtId="0" fontId="16" fillId="11" borderId="9" xfId="0" applyFont="1" applyFill="1" applyBorder="1" applyAlignment="1" applyProtection="1">
      <alignment vertical="center" wrapText="1"/>
      <protection locked="0"/>
    </xf>
    <xf numFmtId="0" fontId="15" fillId="12" borderId="4" xfId="0" applyFont="1" applyFill="1" applyBorder="1" applyAlignment="1" applyProtection="1">
      <alignment vertical="top" wrapText="1"/>
      <protection locked="0"/>
    </xf>
    <xf numFmtId="0" fontId="16" fillId="11" borderId="45" xfId="0" applyFont="1" applyFill="1" applyBorder="1" applyAlignment="1" applyProtection="1">
      <alignment vertical="center" wrapText="1"/>
      <protection locked="0"/>
    </xf>
    <xf numFmtId="0" fontId="16" fillId="0" borderId="7" xfId="0" applyFont="1" applyBorder="1" applyAlignment="1" applyProtection="1">
      <alignment vertical="center" wrapText="1"/>
      <protection locked="0"/>
    </xf>
    <xf numFmtId="0" fontId="16" fillId="11" borderId="4" xfId="0" applyFont="1" applyFill="1" applyBorder="1" applyAlignment="1" applyProtection="1">
      <alignment vertical="center" wrapText="1"/>
      <protection locked="0"/>
    </xf>
    <xf numFmtId="0" fontId="57" fillId="0" borderId="33" xfId="3" applyFont="1" applyBorder="1" applyAlignment="1" applyProtection="1">
      <alignment wrapText="1"/>
      <protection locked="0"/>
    </xf>
    <xf numFmtId="0" fontId="42" fillId="0" borderId="8" xfId="0" applyFont="1" applyBorder="1" applyAlignment="1" applyProtection="1">
      <alignment vertical="center" wrapText="1"/>
      <protection locked="0"/>
    </xf>
    <xf numFmtId="0" fontId="16" fillId="0" borderId="4" xfId="0" applyFont="1" applyBorder="1" applyAlignment="1" applyProtection="1">
      <alignment vertical="center" wrapText="1"/>
      <protection locked="0"/>
    </xf>
    <xf numFmtId="0" fontId="15" fillId="12" borderId="60" xfId="0" applyFont="1" applyFill="1" applyBorder="1" applyAlignment="1" applyProtection="1">
      <alignment vertical="top" wrapText="1"/>
      <protection locked="0"/>
    </xf>
    <xf numFmtId="0" fontId="15" fillId="12" borderId="58" xfId="0" applyFont="1" applyFill="1" applyBorder="1" applyAlignment="1" applyProtection="1">
      <alignment vertical="top" wrapText="1"/>
      <protection locked="0"/>
    </xf>
    <xf numFmtId="0" fontId="48" fillId="0" borderId="1" xfId="0" applyFont="1" applyBorder="1" applyAlignment="1" applyProtection="1">
      <alignment vertical="center" wrapText="1"/>
      <protection locked="0"/>
    </xf>
    <xf numFmtId="0" fontId="48" fillId="0" borderId="34" xfId="3" applyFont="1" applyBorder="1" applyAlignment="1" applyProtection="1">
      <alignment vertical="center" wrapText="1"/>
      <protection locked="0"/>
    </xf>
    <xf numFmtId="0" fontId="24" fillId="12" borderId="19" xfId="0" applyFont="1" applyFill="1" applyBorder="1" applyAlignment="1" applyProtection="1">
      <alignment horizontal="center" vertical="center" wrapText="1"/>
      <protection locked="0"/>
    </xf>
    <xf numFmtId="0" fontId="42" fillId="0" borderId="32" xfId="3" applyFont="1" applyBorder="1" applyAlignment="1" applyProtection="1">
      <alignment vertical="top" wrapText="1"/>
      <protection locked="0"/>
    </xf>
    <xf numFmtId="0" fontId="42" fillId="0" borderId="34" xfId="3" applyFont="1" applyBorder="1" applyAlignment="1" applyProtection="1">
      <alignment vertical="top" wrapText="1"/>
      <protection locked="0"/>
    </xf>
    <xf numFmtId="0" fontId="42" fillId="0" borderId="33" xfId="3" applyFont="1" applyBorder="1" applyAlignment="1" applyProtection="1">
      <alignment vertical="top" wrapText="1"/>
      <protection locked="0"/>
    </xf>
    <xf numFmtId="0" fontId="32" fillId="3" borderId="75" xfId="0" applyFont="1" applyFill="1" applyBorder="1" applyAlignment="1" applyProtection="1">
      <alignment horizontal="center" vertical="center" wrapText="1"/>
      <protection locked="0"/>
    </xf>
    <xf numFmtId="0" fontId="32" fillId="3" borderId="76" xfId="0" applyFont="1" applyFill="1" applyBorder="1" applyAlignment="1" applyProtection="1">
      <alignment horizontal="center" vertical="center" wrapText="1"/>
      <protection locked="0"/>
    </xf>
    <xf numFmtId="0" fontId="0" fillId="12" borderId="45" xfId="0" applyFill="1" applyBorder="1" applyAlignment="1" applyProtection="1">
      <alignment vertical="top" wrapText="1"/>
      <protection locked="0"/>
    </xf>
    <xf numFmtId="0" fontId="24" fillId="12" borderId="17" xfId="0" applyFont="1" applyFill="1" applyBorder="1" applyAlignment="1" applyProtection="1">
      <alignment horizontal="center" vertical="center" wrapText="1"/>
      <protection locked="0"/>
    </xf>
    <xf numFmtId="0" fontId="0" fillId="12" borderId="33" xfId="0" applyFill="1" applyBorder="1" applyAlignment="1" applyProtection="1">
      <alignment wrapText="1"/>
      <protection locked="0"/>
    </xf>
    <xf numFmtId="0" fontId="42" fillId="29" borderId="4" xfId="0" applyFont="1" applyFill="1" applyBorder="1" applyAlignment="1" applyProtection="1">
      <alignment vertical="top" wrapText="1"/>
      <protection locked="0"/>
    </xf>
    <xf numFmtId="0" fontId="15" fillId="12" borderId="64" xfId="0" applyFont="1" applyFill="1" applyBorder="1" applyAlignment="1" applyProtection="1">
      <alignment vertical="top" wrapText="1"/>
      <protection locked="0"/>
    </xf>
    <xf numFmtId="0" fontId="42" fillId="12" borderId="32" xfId="3" applyFont="1" applyFill="1" applyBorder="1" applyAlignment="1" applyProtection="1">
      <alignment vertical="top" wrapText="1"/>
      <protection locked="0"/>
    </xf>
    <xf numFmtId="0" fontId="16" fillId="0" borderId="10" xfId="0" applyFont="1" applyBorder="1" applyAlignment="1" applyProtection="1">
      <alignment vertical="center" wrapText="1"/>
      <protection locked="0"/>
    </xf>
    <xf numFmtId="0" fontId="34" fillId="0" borderId="32" xfId="3" applyFont="1" applyBorder="1" applyAlignment="1" applyProtection="1">
      <alignment vertical="top" wrapText="1"/>
      <protection locked="0"/>
    </xf>
    <xf numFmtId="2" fontId="26" fillId="0" borderId="15" xfId="0" applyNumberFormat="1" applyFont="1" applyBorder="1" applyAlignment="1" applyProtection="1">
      <alignment horizontal="center" vertical="center" wrapText="1"/>
      <protection locked="0"/>
    </xf>
    <xf numFmtId="2" fontId="26" fillId="0" borderId="20" xfId="0" applyNumberFormat="1" applyFont="1" applyBorder="1" applyAlignment="1" applyProtection="1">
      <alignment horizontal="center" vertical="center" wrapText="1"/>
      <protection locked="0"/>
    </xf>
    <xf numFmtId="2" fontId="26" fillId="0" borderId="21" xfId="0" applyNumberFormat="1" applyFont="1" applyBorder="1" applyAlignment="1" applyProtection="1">
      <alignment horizontal="center" vertical="center" wrapText="1"/>
      <protection locked="0"/>
    </xf>
    <xf numFmtId="2" fontId="26" fillId="0" borderId="23" xfId="0" applyNumberFormat="1" applyFont="1" applyBorder="1" applyAlignment="1" applyProtection="1">
      <alignment horizontal="center" vertical="center" wrapText="1"/>
      <protection locked="0"/>
    </xf>
    <xf numFmtId="0" fontId="57" fillId="0" borderId="24" xfId="3" applyFont="1" applyBorder="1" applyAlignment="1" applyProtection="1">
      <alignment vertical="top" wrapText="1"/>
      <protection locked="0"/>
    </xf>
    <xf numFmtId="2" fontId="26" fillId="12" borderId="21" xfId="0" applyNumberFormat="1" applyFont="1" applyFill="1" applyBorder="1" applyAlignment="1" applyProtection="1">
      <alignment horizontal="center" vertical="center" wrapText="1"/>
      <protection locked="0"/>
    </xf>
    <xf numFmtId="2" fontId="26" fillId="12" borderId="23" xfId="0" applyNumberFormat="1" applyFont="1" applyFill="1" applyBorder="1" applyAlignment="1" applyProtection="1">
      <alignment horizontal="center" vertical="center" wrapText="1"/>
      <protection locked="0"/>
    </xf>
    <xf numFmtId="1" fontId="26" fillId="12" borderId="20" xfId="0" applyNumberFormat="1" applyFont="1" applyFill="1" applyBorder="1" applyAlignment="1" applyProtection="1">
      <alignment horizontal="center" vertical="center" wrapText="1"/>
      <protection locked="0"/>
    </xf>
    <xf numFmtId="0" fontId="4" fillId="11" borderId="47" xfId="0" applyFont="1" applyFill="1" applyBorder="1" applyAlignment="1" applyProtection="1">
      <alignment vertical="center" wrapText="1"/>
    </xf>
    <xf numFmtId="0" fontId="42" fillId="0" borderId="32" xfId="0" applyFont="1" applyBorder="1" applyAlignment="1" applyProtection="1">
      <alignment horizontal="left" vertical="top" wrapText="1"/>
      <protection locked="0"/>
    </xf>
    <xf numFmtId="0" fontId="42" fillId="0" borderId="32" xfId="0" applyFont="1" applyBorder="1" applyAlignment="1" applyProtection="1">
      <alignment vertical="top" wrapText="1"/>
      <protection locked="0"/>
    </xf>
    <xf numFmtId="0" fontId="42" fillId="0" borderId="34" xfId="0" applyFont="1" applyBorder="1" applyAlignment="1" applyProtection="1">
      <alignment horizontal="left" vertical="top" wrapText="1"/>
      <protection locked="0"/>
    </xf>
    <xf numFmtId="0" fontId="61" fillId="0" borderId="53" xfId="3" applyFont="1" applyBorder="1" applyAlignment="1" applyProtection="1">
      <alignment vertical="top" wrapText="1"/>
      <protection locked="0"/>
    </xf>
    <xf numFmtId="0" fontId="16" fillId="0" borderId="62" xfId="0" applyFont="1" applyBorder="1" applyAlignment="1" applyProtection="1">
      <alignment vertical="top" wrapText="1"/>
      <protection locked="0"/>
    </xf>
    <xf numFmtId="0" fontId="61" fillId="0" borderId="41" xfId="3" applyFont="1" applyBorder="1" applyAlignment="1" applyProtection="1">
      <alignment vertical="top" wrapText="1"/>
      <protection locked="0"/>
    </xf>
    <xf numFmtId="0" fontId="16" fillId="0" borderId="64" xfId="0" applyFont="1" applyBorder="1" applyAlignment="1" applyProtection="1">
      <alignment vertical="top" wrapText="1"/>
      <protection locked="0"/>
    </xf>
    <xf numFmtId="0" fontId="48" fillId="0" borderId="29" xfId="0" applyFont="1" applyBorder="1" applyAlignment="1" applyProtection="1">
      <alignment vertical="top" wrapText="1"/>
      <protection locked="0"/>
    </xf>
    <xf numFmtId="0" fontId="16" fillId="0" borderId="32" xfId="0" applyFont="1" applyBorder="1" applyAlignment="1" applyProtection="1">
      <alignment vertical="top" wrapText="1"/>
      <protection locked="0"/>
    </xf>
    <xf numFmtId="0" fontId="48" fillId="0" borderId="30" xfId="0" applyFont="1" applyBorder="1" applyAlignment="1" applyProtection="1">
      <alignment horizontal="left" vertical="top" wrapText="1"/>
      <protection locked="0"/>
    </xf>
    <xf numFmtId="0" fontId="16" fillId="0" borderId="33" xfId="0" applyFont="1" applyBorder="1" applyAlignment="1" applyProtection="1">
      <alignment vertical="top" wrapText="1"/>
      <protection locked="0"/>
    </xf>
    <xf numFmtId="0" fontId="16" fillId="0" borderId="31" xfId="0" applyFont="1" applyBorder="1" applyAlignment="1" applyProtection="1">
      <alignment vertical="top" wrapText="1"/>
      <protection locked="0"/>
    </xf>
    <xf numFmtId="0" fontId="16" fillId="0" borderId="34" xfId="0" applyFont="1" applyBorder="1" applyAlignment="1" applyProtection="1">
      <alignment vertical="top" wrapText="1"/>
      <protection locked="0"/>
    </xf>
    <xf numFmtId="0" fontId="0" fillId="11" borderId="5" xfId="0" applyFill="1" applyBorder="1" applyAlignment="1" applyProtection="1">
      <alignment vertical="top" wrapText="1"/>
      <protection locked="0"/>
    </xf>
    <xf numFmtId="0" fontId="0" fillId="11" borderId="8" xfId="0" applyFill="1" applyBorder="1" applyAlignment="1" applyProtection="1">
      <alignment vertical="top" wrapText="1"/>
      <protection locked="0"/>
    </xf>
    <xf numFmtId="0" fontId="57" fillId="0" borderId="58" xfId="3" applyFont="1" applyBorder="1" applyAlignment="1" applyProtection="1">
      <alignment vertical="top" wrapText="1"/>
      <protection locked="0"/>
    </xf>
    <xf numFmtId="0" fontId="42" fillId="0" borderId="59" xfId="0" applyFont="1" applyBorder="1" applyAlignment="1" applyProtection="1">
      <alignment vertical="top" wrapText="1"/>
      <protection locked="0"/>
    </xf>
    <xf numFmtId="0" fontId="22" fillId="25" borderId="1" xfId="0" applyFont="1" applyFill="1" applyBorder="1" applyAlignment="1" applyProtection="1">
      <alignment vertical="top" wrapText="1"/>
      <protection locked="0"/>
    </xf>
    <xf numFmtId="0" fontId="57" fillId="0" borderId="60" xfId="3" applyFont="1" applyBorder="1" applyAlignment="1" applyProtection="1">
      <alignment vertical="top" wrapText="1"/>
      <protection locked="0"/>
    </xf>
    <xf numFmtId="0" fontId="57" fillId="0" borderId="25" xfId="3" applyFont="1" applyBorder="1" applyAlignment="1" applyProtection="1">
      <alignment vertical="top" wrapText="1"/>
      <protection locked="0"/>
    </xf>
    <xf numFmtId="0" fontId="42" fillId="0" borderId="25" xfId="0" applyFont="1" applyBorder="1" applyAlignment="1" applyProtection="1">
      <alignment vertical="top" wrapText="1"/>
      <protection locked="0"/>
    </xf>
    <xf numFmtId="0" fontId="57" fillId="0" borderId="26" xfId="3" applyFont="1" applyBorder="1" applyAlignment="1" applyProtection="1">
      <alignment vertical="top" wrapText="1"/>
      <protection locked="0"/>
    </xf>
    <xf numFmtId="165" fontId="23" fillId="12" borderId="19" xfId="0" applyNumberFormat="1" applyFont="1" applyFill="1" applyBorder="1" applyAlignment="1" applyProtection="1">
      <alignment horizontal="center" vertical="center" wrapText="1"/>
      <protection locked="0"/>
    </xf>
    <xf numFmtId="0" fontId="57" fillId="0" borderId="2" xfId="3" applyFont="1" applyBorder="1" applyAlignment="1" applyProtection="1">
      <alignment horizontal="left" vertical="top" wrapText="1"/>
      <protection locked="0"/>
    </xf>
    <xf numFmtId="0" fontId="57" fillId="0" borderId="2" xfId="3" applyFont="1" applyBorder="1" applyAlignment="1" applyProtection="1">
      <alignment vertical="top" wrapText="1"/>
      <protection locked="0"/>
    </xf>
    <xf numFmtId="0" fontId="42" fillId="0" borderId="26" xfId="0" applyFont="1" applyBorder="1" applyAlignment="1" applyProtection="1">
      <alignment vertical="top" wrapText="1"/>
      <protection locked="0"/>
    </xf>
    <xf numFmtId="0" fontId="40" fillId="0" borderId="17" xfId="0" applyFont="1" applyBorder="1" applyAlignment="1" applyProtection="1">
      <alignment horizontal="center" vertical="center" wrapText="1"/>
      <protection locked="0"/>
    </xf>
    <xf numFmtId="0" fontId="40" fillId="0" borderId="46" xfId="0" applyFont="1" applyBorder="1" applyAlignment="1" applyProtection="1">
      <alignment horizontal="center" vertical="center" wrapText="1"/>
      <protection locked="0"/>
    </xf>
    <xf numFmtId="0" fontId="25" fillId="0" borderId="56" xfId="0" applyFont="1" applyBorder="1" applyAlignment="1" applyProtection="1">
      <alignment horizontal="center" vertical="center" wrapText="1"/>
      <protection locked="0"/>
    </xf>
    <xf numFmtId="0" fontId="25" fillId="0" borderId="65" xfId="0" applyFont="1" applyBorder="1" applyAlignment="1" applyProtection="1">
      <alignment horizontal="center" vertical="center" wrapText="1"/>
      <protection locked="0"/>
    </xf>
    <xf numFmtId="0" fontId="0" fillId="11" borderId="1" xfId="0" applyFill="1" applyBorder="1" applyAlignment="1" applyProtection="1">
      <alignment vertical="top" wrapText="1"/>
      <protection locked="0"/>
    </xf>
    <xf numFmtId="0" fontId="2" fillId="0" borderId="5" xfId="0" applyFont="1" applyBorder="1" applyAlignment="1" applyProtection="1">
      <alignment vertical="top" wrapText="1"/>
      <protection locked="0"/>
    </xf>
    <xf numFmtId="0" fontId="2" fillId="0" borderId="7" xfId="0" applyFont="1" applyBorder="1" applyAlignment="1" applyProtection="1">
      <alignment vertical="top" wrapText="1"/>
      <protection locked="0"/>
    </xf>
    <xf numFmtId="0" fontId="22" fillId="25" borderId="32" xfId="0" applyFont="1" applyFill="1" applyBorder="1" applyAlignment="1" applyProtection="1">
      <alignment vertical="top" wrapText="1"/>
      <protection locked="0"/>
    </xf>
    <xf numFmtId="0" fontId="22" fillId="25" borderId="33" xfId="0" applyFont="1" applyFill="1" applyBorder="1" applyAlignment="1" applyProtection="1">
      <alignment vertical="top" wrapText="1"/>
      <protection locked="0"/>
    </xf>
    <xf numFmtId="0" fontId="22" fillId="25" borderId="34" xfId="0" applyFont="1" applyFill="1" applyBorder="1" applyAlignment="1" applyProtection="1">
      <alignment vertical="top" wrapText="1"/>
      <protection locked="0"/>
    </xf>
    <xf numFmtId="0" fontId="43" fillId="9" borderId="2" xfId="0" applyFont="1" applyFill="1" applyBorder="1" applyAlignment="1" applyProtection="1">
      <alignment vertical="center" wrapText="1"/>
      <protection locked="0"/>
    </xf>
    <xf numFmtId="0" fontId="43" fillId="9" borderId="4" xfId="0" applyFont="1" applyFill="1" applyBorder="1" applyAlignment="1" applyProtection="1">
      <alignment vertical="center" wrapText="1"/>
      <protection locked="0"/>
    </xf>
    <xf numFmtId="0" fontId="0" fillId="9" borderId="2" xfId="0" applyFill="1" applyBorder="1" applyAlignment="1" applyProtection="1">
      <alignment vertical="top" wrapText="1"/>
      <protection locked="0"/>
    </xf>
    <xf numFmtId="0" fontId="0" fillId="9" borderId="1" xfId="0" applyFill="1" applyBorder="1" applyAlignment="1" applyProtection="1">
      <alignment vertical="top" wrapText="1"/>
      <protection locked="0"/>
    </xf>
    <xf numFmtId="0" fontId="0" fillId="0" borderId="0" xfId="0" applyAlignment="1" applyProtection="1">
      <alignment vertical="top" wrapText="1"/>
      <protection locked="0"/>
    </xf>
    <xf numFmtId="0" fontId="26" fillId="12" borderId="1" xfId="0" applyFont="1" applyFill="1" applyBorder="1" applyAlignment="1" applyProtection="1">
      <alignment horizontal="center" vertical="center" wrapText="1"/>
      <protection locked="0"/>
    </xf>
    <xf numFmtId="0" fontId="57" fillId="0" borderId="46" xfId="3" applyFont="1" applyBorder="1" applyAlignment="1" applyProtection="1">
      <alignment vertical="top" wrapText="1"/>
      <protection locked="0"/>
    </xf>
    <xf numFmtId="0" fontId="57" fillId="0" borderId="48" xfId="3" applyFont="1" applyBorder="1" applyAlignment="1" applyProtection="1">
      <alignment vertical="top" wrapText="1"/>
      <protection locked="0"/>
    </xf>
    <xf numFmtId="0" fontId="57" fillId="12" borderId="66" xfId="3" applyFont="1" applyFill="1" applyBorder="1" applyAlignment="1" applyProtection="1">
      <alignment vertical="top" wrapText="1"/>
      <protection locked="0"/>
    </xf>
    <xf numFmtId="0" fontId="42" fillId="12" borderId="25" xfId="0" applyFont="1" applyFill="1" applyBorder="1" applyAlignment="1" applyProtection="1">
      <alignment vertical="top" wrapText="1"/>
      <protection locked="0"/>
    </xf>
    <xf numFmtId="0" fontId="42" fillId="12" borderId="33" xfId="0" applyFont="1" applyFill="1" applyBorder="1" applyAlignment="1" applyProtection="1">
      <alignment vertical="top" wrapText="1"/>
      <protection locked="0"/>
    </xf>
    <xf numFmtId="0" fontId="42" fillId="12" borderId="37" xfId="0" applyFont="1" applyFill="1" applyBorder="1" applyAlignment="1" applyProtection="1">
      <alignment vertical="top" wrapText="1"/>
      <protection locked="0"/>
    </xf>
    <xf numFmtId="0" fontId="43" fillId="0" borderId="66" xfId="0" applyFont="1" applyBorder="1" applyAlignment="1" applyProtection="1">
      <alignment vertical="top" wrapText="1"/>
      <protection locked="0"/>
    </xf>
    <xf numFmtId="0" fontId="42" fillId="0" borderId="53" xfId="0" applyFont="1" applyBorder="1" applyAlignment="1" applyProtection="1">
      <alignment vertical="top" wrapText="1"/>
      <protection locked="0"/>
    </xf>
    <xf numFmtId="0" fontId="62" fillId="0" borderId="25" xfId="3" applyFont="1" applyBorder="1" applyAlignment="1" applyProtection="1">
      <alignment vertical="top" wrapText="1"/>
      <protection locked="0"/>
    </xf>
    <xf numFmtId="0" fontId="43" fillId="2" borderId="2" xfId="0" applyFont="1" applyFill="1" applyBorder="1" applyAlignment="1" applyProtection="1">
      <alignment vertical="center" wrapText="1"/>
      <protection locked="0"/>
    </xf>
    <xf numFmtId="0" fontId="43" fillId="2" borderId="4" xfId="0" applyFont="1" applyFill="1" applyBorder="1" applyAlignment="1" applyProtection="1">
      <alignment vertical="center" wrapText="1"/>
      <protection locked="0"/>
    </xf>
    <xf numFmtId="0" fontId="16" fillId="11" borderId="10" xfId="0" applyFont="1" applyFill="1" applyBorder="1" applyAlignment="1" applyProtection="1">
      <alignment vertical="top" wrapText="1"/>
      <protection locked="0"/>
    </xf>
    <xf numFmtId="0" fontId="0" fillId="0" borderId="2" xfId="0" applyBorder="1" applyAlignment="1" applyProtection="1">
      <alignment vertical="top" wrapText="1"/>
      <protection locked="0"/>
    </xf>
    <xf numFmtId="0" fontId="23" fillId="12" borderId="54" xfId="0" applyFont="1" applyFill="1" applyBorder="1" applyAlignment="1" applyProtection="1">
      <alignment horizontal="center" vertical="center" wrapText="1"/>
      <protection locked="0"/>
    </xf>
    <xf numFmtId="0" fontId="23" fillId="12" borderId="53" xfId="0" applyFont="1" applyFill="1" applyBorder="1" applyAlignment="1" applyProtection="1">
      <alignment horizontal="center" vertical="center" wrapText="1"/>
      <protection locked="0"/>
    </xf>
    <xf numFmtId="0" fontId="23" fillId="12" borderId="70" xfId="0" applyFont="1" applyFill="1" applyBorder="1" applyAlignment="1" applyProtection="1">
      <alignment horizontal="center" vertical="center" wrapText="1"/>
      <protection locked="0"/>
    </xf>
    <xf numFmtId="165" fontId="26" fillId="25" borderId="11" xfId="0" applyNumberFormat="1" applyFont="1" applyFill="1" applyBorder="1" applyAlignment="1" applyProtection="1">
      <alignment horizontal="center" vertical="center" wrapText="1"/>
      <protection locked="0"/>
    </xf>
    <xf numFmtId="0" fontId="57" fillId="0" borderId="32" xfId="3" applyFont="1" applyBorder="1" applyAlignment="1" applyProtection="1">
      <alignment vertical="top" wrapText="1"/>
      <protection locked="0"/>
    </xf>
    <xf numFmtId="0" fontId="22" fillId="25" borderId="27" xfId="0" applyFont="1" applyFill="1" applyBorder="1" applyAlignment="1" applyProtection="1">
      <alignment vertical="top" wrapText="1"/>
      <protection locked="0"/>
    </xf>
    <xf numFmtId="0" fontId="57" fillId="0" borderId="33" xfId="3" applyFont="1" applyBorder="1" applyAlignment="1" applyProtection="1">
      <alignment vertical="top" wrapText="1"/>
      <protection locked="0"/>
    </xf>
    <xf numFmtId="0" fontId="16" fillId="0" borderId="27" xfId="0" applyFont="1" applyBorder="1" applyAlignment="1" applyProtection="1">
      <alignment vertical="top" wrapText="1"/>
      <protection locked="0"/>
    </xf>
    <xf numFmtId="0" fontId="57" fillId="0" borderId="34" xfId="3" applyFont="1" applyBorder="1" applyAlignment="1" applyProtection="1">
      <alignment vertical="top" wrapText="1"/>
      <protection locked="0"/>
    </xf>
    <xf numFmtId="0" fontId="35" fillId="0" borderId="32" xfId="3" applyFont="1" applyBorder="1" applyAlignment="1" applyProtection="1">
      <alignment vertical="top" wrapText="1"/>
      <protection locked="0"/>
    </xf>
    <xf numFmtId="0" fontId="22" fillId="25" borderId="58" xfId="0" applyFont="1" applyFill="1" applyBorder="1" applyAlignment="1" applyProtection="1">
      <alignment vertical="top" wrapText="1"/>
      <protection locked="0"/>
    </xf>
    <xf numFmtId="0" fontId="35" fillId="0" borderId="33" xfId="3" applyFont="1" applyBorder="1" applyAlignment="1" applyProtection="1">
      <alignment vertical="top" wrapText="1"/>
      <protection locked="0"/>
    </xf>
    <xf numFmtId="0" fontId="22" fillId="25" borderId="59" xfId="0" applyFont="1" applyFill="1" applyBorder="1" applyAlignment="1" applyProtection="1">
      <alignment vertical="top" wrapText="1"/>
      <protection locked="0"/>
    </xf>
    <xf numFmtId="165" fontId="23" fillId="25" borderId="20" xfId="0" applyNumberFormat="1" applyFont="1" applyFill="1" applyBorder="1" applyAlignment="1" applyProtection="1">
      <alignment horizontal="center" vertical="center" wrapText="1"/>
      <protection locked="0"/>
    </xf>
    <xf numFmtId="0" fontId="35" fillId="0" borderId="34" xfId="3" applyFont="1" applyBorder="1" applyAlignment="1" applyProtection="1">
      <alignment vertical="top" wrapText="1"/>
      <protection locked="0"/>
    </xf>
    <xf numFmtId="0" fontId="22" fillId="25" borderId="60" xfId="0" applyFont="1" applyFill="1" applyBorder="1" applyAlignment="1" applyProtection="1">
      <alignment vertical="top" wrapText="1"/>
      <protection locked="0"/>
    </xf>
    <xf numFmtId="165" fontId="23" fillId="25" borderId="15" xfId="0" applyNumberFormat="1" applyFont="1" applyFill="1" applyBorder="1" applyAlignment="1" applyProtection="1">
      <alignment horizontal="center" vertical="center" wrapText="1"/>
      <protection locked="0"/>
    </xf>
    <xf numFmtId="0" fontId="0" fillId="11" borderId="43" xfId="0" applyFill="1" applyBorder="1" applyAlignment="1" applyProtection="1">
      <alignment vertical="top" wrapText="1"/>
      <protection locked="0"/>
    </xf>
    <xf numFmtId="165" fontId="23" fillId="25" borderId="19" xfId="0" applyNumberFormat="1" applyFont="1" applyFill="1" applyBorder="1" applyAlignment="1" applyProtection="1">
      <alignment horizontal="center" vertical="center" wrapText="1"/>
      <protection locked="0"/>
    </xf>
    <xf numFmtId="0" fontId="0" fillId="12" borderId="24" xfId="0" applyFill="1" applyBorder="1" applyAlignment="1" applyProtection="1">
      <alignment vertical="top" wrapText="1"/>
      <protection locked="0"/>
    </xf>
    <xf numFmtId="0" fontId="0" fillId="0" borderId="25" xfId="0" applyBorder="1" applyAlignment="1" applyProtection="1">
      <alignment vertical="top" wrapText="1"/>
      <protection locked="0"/>
    </xf>
    <xf numFmtId="0" fontId="15" fillId="0" borderId="47" xfId="0" applyFont="1" applyBorder="1" applyAlignment="1" applyProtection="1">
      <alignment vertical="top" wrapText="1"/>
      <protection locked="0"/>
    </xf>
    <xf numFmtId="0" fontId="26" fillId="12" borderId="33" xfId="0" applyFont="1" applyFill="1" applyBorder="1" applyAlignment="1" applyProtection="1">
      <alignment horizontal="center" vertical="center" wrapText="1"/>
      <protection locked="0"/>
    </xf>
    <xf numFmtId="0" fontId="35" fillId="0" borderId="47" xfId="3" applyFont="1" applyBorder="1" applyAlignment="1" applyProtection="1">
      <alignment vertical="top" wrapText="1"/>
      <protection locked="0"/>
    </xf>
    <xf numFmtId="0" fontId="26" fillId="25" borderId="33" xfId="0" applyFont="1" applyFill="1" applyBorder="1" applyAlignment="1" applyProtection="1">
      <alignment horizontal="center" vertical="center" wrapText="1"/>
      <protection locked="0"/>
    </xf>
    <xf numFmtId="0" fontId="26" fillId="25" borderId="1" xfId="0" applyFont="1" applyFill="1" applyBorder="1" applyAlignment="1" applyProtection="1">
      <alignment horizontal="center" vertical="center" wrapText="1"/>
      <protection locked="0"/>
    </xf>
    <xf numFmtId="0" fontId="22" fillId="12" borderId="53" xfId="0" applyFont="1" applyFill="1" applyBorder="1" applyAlignment="1" applyProtection="1">
      <alignment vertical="top" wrapText="1"/>
      <protection locked="0"/>
    </xf>
    <xf numFmtId="0" fontId="26" fillId="25" borderId="54" xfId="0" applyFont="1" applyFill="1" applyBorder="1" applyAlignment="1" applyProtection="1">
      <alignment horizontal="center" vertical="center" wrapText="1"/>
      <protection locked="0"/>
    </xf>
    <xf numFmtId="165" fontId="23" fillId="25" borderId="74" xfId="0" applyNumberFormat="1" applyFont="1" applyFill="1" applyBorder="1" applyAlignment="1" applyProtection="1">
      <alignment horizontal="center" vertical="center" wrapText="1"/>
      <protection locked="0"/>
    </xf>
    <xf numFmtId="0" fontId="26" fillId="25" borderId="74" xfId="0" applyFont="1" applyFill="1" applyBorder="1" applyAlignment="1" applyProtection="1">
      <alignment horizontal="center" vertical="center" wrapText="1"/>
      <protection locked="0"/>
    </xf>
    <xf numFmtId="0" fontId="22" fillId="25" borderId="53" xfId="0" applyFont="1" applyFill="1" applyBorder="1" applyAlignment="1" applyProtection="1">
      <alignment vertical="top" wrapText="1"/>
      <protection locked="0"/>
    </xf>
    <xf numFmtId="0" fontId="15" fillId="12" borderId="37" xfId="0" applyFont="1" applyFill="1" applyBorder="1" applyAlignment="1" applyProtection="1">
      <alignment vertical="top" wrapText="1"/>
      <protection locked="0"/>
    </xf>
    <xf numFmtId="0" fontId="36" fillId="0" borderId="32" xfId="3" applyFont="1" applyBorder="1" applyAlignment="1" applyProtection="1">
      <alignment vertical="top" wrapText="1"/>
      <protection locked="0"/>
    </xf>
    <xf numFmtId="0" fontId="36" fillId="0" borderId="34" xfId="3" applyFont="1" applyBorder="1" applyAlignment="1" applyProtection="1">
      <alignment vertical="top" wrapText="1"/>
      <protection locked="0"/>
    </xf>
    <xf numFmtId="0" fontId="0" fillId="0" borderId="60" xfId="0" applyBorder="1" applyAlignment="1" applyProtection="1">
      <alignment vertical="top" wrapText="1"/>
      <protection locked="0"/>
    </xf>
    <xf numFmtId="165" fontId="23" fillId="25" borderId="54" xfId="0" applyNumberFormat="1" applyFont="1" applyFill="1" applyBorder="1" applyAlignment="1" applyProtection="1">
      <alignment horizontal="center" vertical="center" wrapText="1"/>
      <protection locked="0"/>
    </xf>
    <xf numFmtId="0" fontId="22" fillId="25" borderId="41" xfId="0" applyFont="1" applyFill="1" applyBorder="1" applyAlignment="1" applyProtection="1">
      <alignment vertical="top" wrapText="1"/>
      <protection locked="0"/>
    </xf>
    <xf numFmtId="0" fontId="63" fillId="0" borderId="44" xfId="0" applyFont="1" applyBorder="1" applyAlignment="1" applyProtection="1">
      <alignment vertical="center" wrapText="1"/>
    </xf>
    <xf numFmtId="9" fontId="63" fillId="11" borderId="1" xfId="1" applyFont="1" applyFill="1" applyBorder="1" applyAlignment="1" applyProtection="1">
      <alignment horizontal="center" vertical="center" wrapText="1"/>
    </xf>
    <xf numFmtId="9" fontId="63" fillId="11" borderId="32" xfId="1" applyFont="1" applyFill="1" applyBorder="1" applyAlignment="1" applyProtection="1">
      <alignment horizontal="center" vertical="center" wrapText="1"/>
    </xf>
    <xf numFmtId="9" fontId="63" fillId="11" borderId="33" xfId="1" applyFont="1" applyFill="1" applyBorder="1" applyAlignment="1" applyProtection="1">
      <alignment horizontal="center" vertical="center" wrapText="1"/>
    </xf>
    <xf numFmtId="9" fontId="63" fillId="11" borderId="34" xfId="1" applyFont="1" applyFill="1" applyBorder="1" applyAlignment="1" applyProtection="1">
      <alignment horizontal="center" vertical="center" wrapText="1"/>
    </xf>
    <xf numFmtId="9" fontId="63" fillId="11" borderId="8" xfId="1" applyFont="1" applyFill="1" applyBorder="1" applyAlignment="1" applyProtection="1">
      <alignment horizontal="center" vertical="center" wrapText="1"/>
    </xf>
    <xf numFmtId="9" fontId="63" fillId="11" borderId="53" xfId="1" applyFont="1" applyFill="1" applyBorder="1" applyAlignment="1" applyProtection="1">
      <alignment horizontal="center" vertical="center" wrapText="1"/>
    </xf>
    <xf numFmtId="9" fontId="63" fillId="11" borderId="10" xfId="1" applyFont="1" applyFill="1" applyBorder="1" applyAlignment="1" applyProtection="1">
      <alignment horizontal="center" vertical="center" wrapText="1"/>
    </xf>
    <xf numFmtId="9" fontId="63" fillId="11" borderId="5" xfId="1" applyFont="1" applyFill="1" applyBorder="1" applyAlignment="1" applyProtection="1">
      <alignment horizontal="center" vertical="center" wrapText="1"/>
    </xf>
    <xf numFmtId="0" fontId="22" fillId="0" borderId="24" xfId="0" applyFont="1" applyBorder="1" applyAlignment="1" applyProtection="1">
      <alignment vertical="center" wrapText="1"/>
    </xf>
    <xf numFmtId="0" fontId="24" fillId="0" borderId="33" xfId="0" applyFont="1" applyBorder="1" applyAlignment="1" applyProtection="1">
      <alignment vertical="center" wrapText="1"/>
    </xf>
    <xf numFmtId="0" fontId="24" fillId="0" borderId="33" xfId="0" applyFont="1" applyFill="1" applyBorder="1" applyAlignment="1" applyProtection="1">
      <alignment vertical="center" wrapText="1"/>
    </xf>
    <xf numFmtId="0" fontId="24" fillId="0" borderId="32" xfId="0" applyFont="1" applyBorder="1" applyAlignment="1" applyProtection="1">
      <alignment vertical="center" wrapText="1"/>
    </xf>
    <xf numFmtId="0" fontId="24" fillId="0" borderId="34" xfId="0" applyFont="1" applyBorder="1" applyAlignment="1" applyProtection="1">
      <alignment vertical="center" wrapText="1"/>
    </xf>
    <xf numFmtId="0" fontId="24" fillId="0" borderId="53" xfId="0" applyFont="1" applyBorder="1" applyAlignment="1" applyProtection="1">
      <alignment vertical="center" wrapText="1"/>
    </xf>
    <xf numFmtId="0" fontId="20" fillId="24" borderId="44" xfId="0" applyFont="1" applyFill="1" applyBorder="1"/>
    <xf numFmtId="0" fontId="0" fillId="24" borderId="0" xfId="0" applyFill="1"/>
    <xf numFmtId="0" fontId="20" fillId="24" borderId="43" xfId="0" applyFont="1" applyFill="1" applyBorder="1"/>
    <xf numFmtId="0" fontId="20" fillId="24" borderId="0" xfId="0" applyFont="1" applyFill="1"/>
    <xf numFmtId="0" fontId="21" fillId="24" borderId="0" xfId="0" applyFont="1" applyFill="1"/>
    <xf numFmtId="0" fontId="20" fillId="24" borderId="0" xfId="0" applyFont="1" applyFill="1" applyProtection="1">
      <protection locked="0"/>
    </xf>
    <xf numFmtId="0" fontId="17" fillId="24" borderId="43" xfId="0" applyFont="1" applyFill="1" applyBorder="1"/>
    <xf numFmtId="0" fontId="17" fillId="24" borderId="0" xfId="0" applyFont="1" applyFill="1"/>
    <xf numFmtId="0" fontId="17" fillId="24" borderId="0" xfId="0" applyFont="1" applyFill="1" applyProtection="1">
      <protection locked="0"/>
    </xf>
    <xf numFmtId="0" fontId="19" fillId="23" borderId="1" xfId="0" applyFont="1" applyFill="1" applyBorder="1" applyAlignment="1">
      <alignment horizontal="center" vertical="center"/>
    </xf>
    <xf numFmtId="9" fontId="37" fillId="11" borderId="1" xfId="1" applyFont="1" applyFill="1" applyBorder="1" applyAlignment="1">
      <alignment horizontal="center" vertical="center" wrapText="1"/>
    </xf>
    <xf numFmtId="1" fontId="37" fillId="11" borderId="1" xfId="1" applyNumberFormat="1" applyFont="1" applyFill="1" applyBorder="1" applyAlignment="1">
      <alignment horizontal="center" vertical="center" wrapText="1"/>
    </xf>
    <xf numFmtId="165" fontId="0" fillId="15" borderId="5" xfId="0" applyNumberFormat="1" applyFill="1" applyBorder="1" applyAlignment="1">
      <alignment horizontal="center" vertical="center"/>
    </xf>
    <xf numFmtId="0" fontId="17" fillId="24" borderId="6" xfId="0" applyFont="1" applyFill="1" applyBorder="1"/>
    <xf numFmtId="0" fontId="0" fillId="2" borderId="3" xfId="0" applyFill="1" applyBorder="1" applyAlignment="1">
      <alignment vertical="center" wrapText="1"/>
    </xf>
    <xf numFmtId="0" fontId="0" fillId="9" borderId="3" xfId="0" applyFill="1" applyBorder="1" applyAlignment="1">
      <alignment vertical="center" wrapText="1"/>
    </xf>
    <xf numFmtId="2" fontId="0" fillId="9" borderId="3" xfId="0" applyNumberFormat="1" applyFill="1" applyBorder="1" applyAlignment="1">
      <alignment vertical="center" wrapText="1"/>
    </xf>
    <xf numFmtId="0" fontId="0" fillId="11" borderId="43" xfId="0" applyFill="1" applyBorder="1" applyAlignment="1">
      <alignment vertical="center" wrapText="1"/>
    </xf>
    <xf numFmtId="0" fontId="2" fillId="11" borderId="70" xfId="0" applyFont="1" applyFill="1" applyBorder="1" applyAlignment="1">
      <alignment horizontal="center" vertical="center" wrapText="1"/>
    </xf>
    <xf numFmtId="0" fontId="2" fillId="11" borderId="71" xfId="0" applyFont="1" applyFill="1" applyBorder="1" applyAlignment="1">
      <alignment horizontal="center" vertical="center" wrapText="1"/>
    </xf>
    <xf numFmtId="0" fontId="2" fillId="11" borderId="75" xfId="0" applyFont="1" applyFill="1" applyBorder="1" applyAlignment="1">
      <alignment horizontal="center" vertical="center" wrapText="1"/>
    </xf>
    <xf numFmtId="0" fontId="2" fillId="11" borderId="68" xfId="0" applyFont="1" applyFill="1" applyBorder="1" applyAlignment="1">
      <alignment horizontal="center" vertical="center" wrapText="1"/>
    </xf>
    <xf numFmtId="2" fontId="2" fillId="11" borderId="9" xfId="0" applyNumberFormat="1" applyFont="1" applyFill="1" applyBorder="1" applyAlignment="1">
      <alignment horizontal="center" vertical="center" wrapText="1"/>
    </xf>
    <xf numFmtId="0" fontId="2" fillId="11" borderId="9" xfId="0" applyFont="1" applyFill="1" applyBorder="1" applyAlignment="1">
      <alignment horizontal="center" vertical="center"/>
    </xf>
    <xf numFmtId="0" fontId="2" fillId="9" borderId="8" xfId="0" applyFont="1" applyFill="1" applyBorder="1" applyAlignment="1">
      <alignment horizontal="center" vertical="center" wrapText="1"/>
    </xf>
    <xf numFmtId="0" fontId="2" fillId="0" borderId="8" xfId="0" applyFont="1" applyBorder="1" applyAlignment="1">
      <alignment horizontal="center" vertical="center"/>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vertical="center" wrapText="1"/>
    </xf>
    <xf numFmtId="0" fontId="0" fillId="0" borderId="1" xfId="0" applyBorder="1"/>
    <xf numFmtId="2" fontId="0" fillId="0" borderId="1" xfId="0" applyNumberFormat="1" applyBorder="1"/>
    <xf numFmtId="2" fontId="0" fillId="0" borderId="4" xfId="0" applyNumberFormat="1" applyBorder="1"/>
    <xf numFmtId="0" fontId="2" fillId="5" borderId="17" xfId="0" applyFont="1" applyFill="1" applyBorder="1"/>
    <xf numFmtId="0" fontId="0" fillId="5" borderId="18" xfId="0" applyFill="1" applyBorder="1"/>
    <xf numFmtId="0" fontId="0" fillId="5" borderId="19" xfId="0" applyFill="1" applyBorder="1"/>
    <xf numFmtId="0" fontId="4" fillId="9" borderId="10" xfId="0" applyFont="1" applyFill="1" applyBorder="1" applyAlignment="1">
      <alignment vertical="center" wrapText="1"/>
    </xf>
    <xf numFmtId="0" fontId="4" fillId="9" borderId="42" xfId="0" applyFont="1" applyFill="1" applyBorder="1" applyAlignment="1">
      <alignment vertical="center" wrapText="1"/>
    </xf>
    <xf numFmtId="0" fontId="4" fillId="9" borderId="45" xfId="0" applyFont="1" applyFill="1" applyBorder="1" applyAlignment="1">
      <alignment vertical="center" wrapText="1"/>
    </xf>
    <xf numFmtId="0" fontId="4" fillId="9" borderId="44" xfId="0" applyFont="1" applyFill="1" applyBorder="1" applyAlignment="1">
      <alignment vertical="center" wrapText="1"/>
    </xf>
    <xf numFmtId="9" fontId="23" fillId="11" borderId="4" xfId="1" applyFont="1" applyFill="1" applyBorder="1" applyAlignment="1">
      <alignment horizontal="center" vertical="center" wrapText="1"/>
    </xf>
    <xf numFmtId="2" fontId="23" fillId="11" borderId="4" xfId="1" applyNumberFormat="1" applyFont="1" applyFill="1" applyBorder="1" applyAlignment="1">
      <alignment horizontal="center" vertical="center" wrapText="1"/>
    </xf>
    <xf numFmtId="9" fontId="23" fillId="11" borderId="1" xfId="1" applyFont="1" applyFill="1" applyBorder="1" applyAlignment="1">
      <alignment horizontal="center" vertical="center" wrapText="1"/>
    </xf>
    <xf numFmtId="0" fontId="0" fillId="9" borderId="10" xfId="0" applyFill="1" applyBorder="1"/>
    <xf numFmtId="0" fontId="0" fillId="9" borderId="0" xfId="0" applyFill="1"/>
    <xf numFmtId="0" fontId="2" fillId="9" borderId="54" xfId="0" applyFont="1" applyFill="1" applyBorder="1"/>
    <xf numFmtId="0" fontId="0" fillId="9" borderId="14" xfId="0" applyFill="1" applyBorder="1"/>
    <xf numFmtId="0" fontId="0" fillId="9" borderId="74" xfId="0" applyFill="1" applyBorder="1"/>
    <xf numFmtId="0" fontId="4" fillId="11" borderId="10" xfId="0" applyFont="1" applyFill="1" applyBorder="1" applyAlignment="1">
      <alignment vertical="center" wrapText="1"/>
    </xf>
    <xf numFmtId="0" fontId="4" fillId="11" borderId="42" xfId="0" applyFont="1" applyFill="1" applyBorder="1" applyAlignment="1">
      <alignment vertical="center" wrapText="1"/>
    </xf>
    <xf numFmtId="0" fontId="4" fillId="11" borderId="45" xfId="0" applyFont="1" applyFill="1" applyBorder="1" applyAlignment="1">
      <alignment vertical="center" wrapText="1"/>
    </xf>
    <xf numFmtId="0" fontId="4" fillId="11" borderId="44" xfId="0" applyFont="1" applyFill="1" applyBorder="1" applyAlignment="1">
      <alignment vertical="center" wrapText="1"/>
    </xf>
    <xf numFmtId="0" fontId="0" fillId="11" borderId="10" xfId="0" applyFill="1" applyBorder="1"/>
    <xf numFmtId="0" fontId="0" fillId="11" borderId="0" xfId="0" applyFill="1"/>
    <xf numFmtId="0" fontId="2" fillId="11" borderId="54" xfId="0" applyFont="1" applyFill="1" applyBorder="1"/>
    <xf numFmtId="0" fontId="0" fillId="11" borderId="14" xfId="0" applyFill="1" applyBorder="1"/>
    <xf numFmtId="0" fontId="0" fillId="11" borderId="74" xfId="0" applyFill="1" applyBorder="1"/>
    <xf numFmtId="0" fontId="22" fillId="0" borderId="29" xfId="0" applyFont="1" applyBorder="1" applyAlignment="1">
      <alignment vertical="center" wrapText="1"/>
    </xf>
    <xf numFmtId="165" fontId="23" fillId="20" borderId="32" xfId="0" applyNumberFormat="1" applyFont="1" applyFill="1" applyBorder="1" applyAlignment="1">
      <alignment horizontal="center" vertical="center" wrapText="1"/>
    </xf>
    <xf numFmtId="0" fontId="24" fillId="0" borderId="29" xfId="0" applyFont="1" applyBorder="1" applyAlignment="1">
      <alignment vertical="center" wrapText="1"/>
    </xf>
    <xf numFmtId="165" fontId="25" fillId="4" borderId="32" xfId="0" applyNumberFormat="1" applyFont="1" applyFill="1" applyBorder="1" applyAlignment="1">
      <alignment horizontal="center" vertical="center" wrapText="1"/>
    </xf>
    <xf numFmtId="165" fontId="24" fillId="0" borderId="49" xfId="1" applyNumberFormat="1" applyFont="1" applyBorder="1" applyAlignment="1">
      <alignment horizontal="center" vertical="center" wrapText="1"/>
    </xf>
    <xf numFmtId="165" fontId="24" fillId="0" borderId="18" xfId="1" applyNumberFormat="1" applyFont="1" applyBorder="1" applyAlignment="1">
      <alignment horizontal="center" vertical="center" wrapText="1"/>
    </xf>
    <xf numFmtId="165" fontId="24" fillId="0" borderId="46" xfId="1" applyNumberFormat="1" applyFont="1" applyBorder="1" applyAlignment="1">
      <alignment horizontal="center" vertical="center" wrapText="1"/>
    </xf>
    <xf numFmtId="9" fontId="24" fillId="11" borderId="32" xfId="1" applyFont="1" applyFill="1" applyBorder="1" applyAlignment="1">
      <alignment horizontal="center" vertical="center" wrapText="1"/>
    </xf>
    <xf numFmtId="0" fontId="24" fillId="8" borderId="29" xfId="0" applyFont="1" applyFill="1" applyBorder="1" applyAlignment="1">
      <alignment vertical="center" wrapText="1"/>
    </xf>
    <xf numFmtId="0" fontId="2" fillId="5" borderId="15" xfId="0" applyFont="1" applyFill="1" applyBorder="1"/>
    <xf numFmtId="2" fontId="2" fillId="5" borderId="11" xfId="0" applyNumberFormat="1" applyFont="1" applyFill="1" applyBorder="1"/>
    <xf numFmtId="0" fontId="0" fillId="5" borderId="11" xfId="0" applyFill="1" applyBorder="1"/>
    <xf numFmtId="0" fontId="0" fillId="5" borderId="20" xfId="0" applyFill="1" applyBorder="1"/>
    <xf numFmtId="0" fontId="22" fillId="0" borderId="31" xfId="0" applyFont="1" applyBorder="1" applyAlignment="1">
      <alignment vertical="center" wrapText="1"/>
    </xf>
    <xf numFmtId="165" fontId="23" fillId="20" borderId="34" xfId="0" applyNumberFormat="1" applyFont="1" applyFill="1" applyBorder="1" applyAlignment="1">
      <alignment horizontal="center" vertical="center" wrapText="1"/>
    </xf>
    <xf numFmtId="0" fontId="24" fillId="0" borderId="31" xfId="0" applyFont="1" applyBorder="1" applyAlignment="1">
      <alignment vertical="center" wrapText="1"/>
    </xf>
    <xf numFmtId="165" fontId="25" fillId="4" borderId="34" xfId="0" applyNumberFormat="1" applyFont="1" applyFill="1" applyBorder="1" applyAlignment="1">
      <alignment horizontal="center" vertical="center" wrapText="1"/>
    </xf>
    <xf numFmtId="165" fontId="26" fillId="0" borderId="38" xfId="1" applyNumberFormat="1" applyFont="1" applyBorder="1" applyAlignment="1" applyProtection="1">
      <alignment horizontal="center" vertical="center" wrapText="1"/>
      <protection locked="0"/>
    </xf>
    <xf numFmtId="165" fontId="26" fillId="0" borderId="39" xfId="1" applyNumberFormat="1" applyFont="1" applyBorder="1" applyAlignment="1" applyProtection="1">
      <alignment horizontal="center" vertical="center" wrapText="1"/>
      <protection locked="0"/>
    </xf>
    <xf numFmtId="165" fontId="24" fillId="0" borderId="28" xfId="1" applyNumberFormat="1" applyFont="1" applyBorder="1" applyAlignment="1">
      <alignment horizontal="center" vertical="center" wrapText="1"/>
    </xf>
    <xf numFmtId="165" fontId="24" fillId="0" borderId="22" xfId="1" applyNumberFormat="1" applyFont="1" applyBorder="1" applyAlignment="1">
      <alignment horizontal="center" vertical="center" wrapText="1"/>
    </xf>
    <xf numFmtId="165" fontId="24" fillId="0" borderId="48" xfId="1" applyNumberFormat="1" applyFont="1" applyBorder="1" applyAlignment="1">
      <alignment horizontal="center" vertical="center" wrapText="1"/>
    </xf>
    <xf numFmtId="9" fontId="24" fillId="11" borderId="34" xfId="1" applyFont="1" applyFill="1" applyBorder="1" applyAlignment="1">
      <alignment horizontal="center" vertical="center" wrapText="1"/>
    </xf>
    <xf numFmtId="0" fontId="24" fillId="8" borderId="31" xfId="0" applyFont="1" applyFill="1" applyBorder="1" applyAlignment="1">
      <alignment vertical="center" wrapText="1"/>
    </xf>
    <xf numFmtId="0" fontId="13" fillId="5" borderId="15" xfId="0" applyFont="1" applyFill="1" applyBorder="1" applyAlignment="1">
      <alignment vertical="center"/>
    </xf>
    <xf numFmtId="2" fontId="14" fillId="5" borderId="11" xfId="0" applyNumberFormat="1" applyFont="1" applyFill="1" applyBorder="1" applyAlignment="1">
      <alignment horizontal="center" vertical="center"/>
    </xf>
    <xf numFmtId="0" fontId="22" fillId="0" borderId="61" xfId="0" applyFont="1" applyBorder="1" applyAlignment="1">
      <alignment vertical="center" wrapText="1"/>
    </xf>
    <xf numFmtId="165" fontId="23" fillId="4" borderId="53" xfId="0" applyNumberFormat="1" applyFont="1" applyFill="1" applyBorder="1" applyAlignment="1">
      <alignment horizontal="center" vertical="center" wrapText="1"/>
    </xf>
    <xf numFmtId="0" fontId="24" fillId="0" borderId="53" xfId="0" applyFont="1" applyBorder="1" applyAlignment="1">
      <alignment vertical="center" wrapText="1"/>
    </xf>
    <xf numFmtId="165" fontId="12" fillId="4" borderId="53" xfId="0" applyNumberFormat="1" applyFont="1" applyFill="1" applyBorder="1" applyAlignment="1">
      <alignment horizontal="center" vertical="center" wrapText="1"/>
    </xf>
    <xf numFmtId="165" fontId="10" fillId="0" borderId="19" xfId="1" applyNumberFormat="1" applyFont="1" applyBorder="1" applyAlignment="1" applyProtection="1">
      <alignment horizontal="center" vertical="center" wrapText="1"/>
      <protection locked="0"/>
    </xf>
    <xf numFmtId="1" fontId="24" fillId="0" borderId="73" xfId="1" applyNumberFormat="1" applyFont="1" applyBorder="1" applyAlignment="1">
      <alignment horizontal="center" vertical="center" wrapText="1"/>
    </xf>
    <xf numFmtId="165" fontId="24" fillId="0" borderId="14" xfId="0" applyNumberFormat="1" applyFont="1" applyBorder="1" applyAlignment="1">
      <alignment horizontal="center" vertical="center" wrapText="1"/>
    </xf>
    <xf numFmtId="165" fontId="24" fillId="0" borderId="12" xfId="1" applyNumberFormat="1" applyFont="1" applyBorder="1" applyAlignment="1">
      <alignment horizontal="center" vertical="center" wrapText="1"/>
    </xf>
    <xf numFmtId="9" fontId="24" fillId="11" borderId="53" xfId="1" applyFont="1" applyFill="1" applyBorder="1" applyAlignment="1">
      <alignment horizontal="center" vertical="center" wrapText="1"/>
    </xf>
    <xf numFmtId="0" fontId="24" fillId="9" borderId="62" xfId="0" applyFont="1" applyFill="1" applyBorder="1" applyAlignment="1">
      <alignment vertical="center" wrapText="1"/>
    </xf>
    <xf numFmtId="9" fontId="0" fillId="5" borderId="11" xfId="1" applyFont="1" applyFill="1" applyBorder="1"/>
    <xf numFmtId="165" fontId="23" fillId="4" borderId="33" xfId="0" applyNumberFormat="1" applyFont="1" applyFill="1" applyBorder="1" applyAlignment="1">
      <alignment horizontal="center" vertical="center" wrapText="1"/>
    </xf>
    <xf numFmtId="0" fontId="24" fillId="0" borderId="41" xfId="0" applyFont="1" applyBorder="1" applyAlignment="1">
      <alignment vertical="center" wrapText="1"/>
    </xf>
    <xf numFmtId="165" fontId="12" fillId="4" borderId="41" xfId="0" applyNumberFormat="1" applyFont="1" applyFill="1" applyBorder="1" applyAlignment="1">
      <alignment horizontal="center" vertical="center" wrapText="1"/>
    </xf>
    <xf numFmtId="165" fontId="24" fillId="0" borderId="63" xfId="0" applyNumberFormat="1" applyFont="1" applyBorder="1" applyAlignment="1">
      <alignment horizontal="center" vertical="center" wrapText="1"/>
    </xf>
    <xf numFmtId="0" fontId="24" fillId="0" borderId="13" xfId="0" applyFont="1" applyBorder="1" applyAlignment="1">
      <alignment horizontal="center" vertical="center" wrapText="1"/>
    </xf>
    <xf numFmtId="165" fontId="24" fillId="0" borderId="55" xfId="0" applyNumberFormat="1" applyFont="1" applyBorder="1" applyAlignment="1">
      <alignment horizontal="center" vertical="center" wrapText="1"/>
    </xf>
    <xf numFmtId="9" fontId="24" fillId="11" borderId="41" xfId="1" applyFont="1" applyFill="1" applyBorder="1" applyAlignment="1">
      <alignment horizontal="center" vertical="center" wrapText="1"/>
    </xf>
    <xf numFmtId="0" fontId="24" fillId="9" borderId="64" xfId="0" applyFont="1" applyFill="1" applyBorder="1" applyAlignment="1">
      <alignment vertical="center" wrapText="1"/>
    </xf>
    <xf numFmtId="0" fontId="13" fillId="5" borderId="21" xfId="0" applyFont="1" applyFill="1" applyBorder="1" applyAlignment="1">
      <alignment vertical="center"/>
    </xf>
    <xf numFmtId="2" fontId="14" fillId="5" borderId="22" xfId="0" applyNumberFormat="1" applyFont="1" applyFill="1" applyBorder="1" applyAlignment="1">
      <alignment horizontal="center" vertical="center"/>
    </xf>
    <xf numFmtId="2" fontId="0" fillId="5" borderId="22" xfId="0" applyNumberFormat="1" applyFill="1" applyBorder="1"/>
    <xf numFmtId="0" fontId="0" fillId="5" borderId="23" xfId="0" applyFill="1" applyBorder="1"/>
    <xf numFmtId="0" fontId="24" fillId="0" borderId="24" xfId="0" applyFont="1" applyBorder="1" applyAlignment="1">
      <alignment vertical="center" wrapText="1"/>
    </xf>
    <xf numFmtId="165" fontId="25" fillId="4" borderId="24" xfId="0" applyNumberFormat="1" applyFont="1" applyFill="1" applyBorder="1" applyAlignment="1">
      <alignment horizontal="center" vertical="center" wrapText="1"/>
    </xf>
    <xf numFmtId="165" fontId="24" fillId="0" borderId="49" xfId="0" applyNumberFormat="1" applyFont="1" applyBorder="1" applyAlignment="1">
      <alignment horizontal="center" vertical="center" wrapText="1"/>
    </xf>
    <xf numFmtId="165" fontId="24" fillId="0" borderId="18" xfId="0" applyNumberFormat="1" applyFont="1" applyBorder="1" applyAlignment="1">
      <alignment horizontal="center" vertical="center" wrapText="1"/>
    </xf>
    <xf numFmtId="0" fontId="24" fillId="10" borderId="58" xfId="0" applyFont="1" applyFill="1" applyBorder="1" applyAlignment="1">
      <alignment vertical="center" wrapText="1"/>
    </xf>
    <xf numFmtId="0" fontId="24" fillId="0" borderId="25" xfId="0" applyFont="1" applyBorder="1" applyAlignment="1">
      <alignment vertical="center" wrapText="1"/>
    </xf>
    <xf numFmtId="165" fontId="25" fillId="4" borderId="25" xfId="0" applyNumberFormat="1" applyFont="1" applyFill="1" applyBorder="1" applyAlignment="1">
      <alignment horizontal="center" vertical="center" wrapText="1"/>
    </xf>
    <xf numFmtId="165" fontId="26" fillId="0" borderId="15" xfId="1" applyNumberFormat="1" applyFont="1" applyBorder="1" applyAlignment="1" applyProtection="1">
      <alignment horizontal="center" vertical="center" wrapText="1"/>
      <protection locked="0"/>
    </xf>
    <xf numFmtId="165" fontId="26" fillId="0" borderId="20" xfId="1" applyNumberFormat="1" applyFont="1" applyBorder="1" applyAlignment="1" applyProtection="1">
      <alignment horizontal="center" vertical="center" wrapText="1"/>
      <protection locked="0"/>
    </xf>
    <xf numFmtId="165" fontId="24" fillId="0" borderId="27" xfId="0" applyNumberFormat="1" applyFont="1" applyBorder="1" applyAlignment="1">
      <alignment horizontal="center" vertical="center" wrapText="1"/>
    </xf>
    <xf numFmtId="165" fontId="24" fillId="0" borderId="11" xfId="0" applyNumberFormat="1" applyFont="1" applyBorder="1" applyAlignment="1">
      <alignment horizontal="center" vertical="center" wrapText="1"/>
    </xf>
    <xf numFmtId="165" fontId="24" fillId="0" borderId="47" xfId="1" applyNumberFormat="1" applyFont="1" applyBorder="1" applyAlignment="1">
      <alignment horizontal="center" vertical="center" wrapText="1"/>
    </xf>
    <xf numFmtId="9" fontId="24" fillId="11" borderId="33" xfId="1" applyFont="1" applyFill="1" applyBorder="1" applyAlignment="1">
      <alignment horizontal="center" vertical="center" wrapText="1"/>
    </xf>
    <xf numFmtId="0" fontId="24" fillId="10" borderId="59" xfId="0" applyFont="1" applyFill="1" applyBorder="1" applyAlignment="1">
      <alignment vertical="center" wrapText="1"/>
    </xf>
    <xf numFmtId="0" fontId="24" fillId="0" borderId="26" xfId="0" applyFont="1" applyBorder="1" applyAlignment="1">
      <alignment vertical="center" wrapText="1"/>
    </xf>
    <xf numFmtId="165" fontId="25" fillId="4" borderId="26" xfId="0" applyNumberFormat="1" applyFont="1" applyFill="1" applyBorder="1" applyAlignment="1">
      <alignment horizontal="center" vertical="center" wrapText="1"/>
    </xf>
    <xf numFmtId="165" fontId="24" fillId="0" borderId="28" xfId="0" applyNumberFormat="1" applyFont="1" applyBorder="1" applyAlignment="1">
      <alignment horizontal="center" vertical="center" wrapText="1"/>
    </xf>
    <xf numFmtId="165" fontId="24" fillId="0" borderId="22" xfId="0" applyNumberFormat="1" applyFont="1" applyBorder="1" applyAlignment="1">
      <alignment horizontal="center" vertical="center" wrapText="1"/>
    </xf>
    <xf numFmtId="0" fontId="24" fillId="10" borderId="60" xfId="0" applyFont="1" applyFill="1" applyBorder="1" applyAlignment="1">
      <alignment vertical="center" wrapText="1"/>
    </xf>
    <xf numFmtId="0" fontId="3" fillId="3" borderId="1" xfId="0" applyFont="1" applyFill="1" applyBorder="1" applyAlignment="1">
      <alignment vertical="center" wrapText="1"/>
    </xf>
    <xf numFmtId="0" fontId="3" fillId="3" borderId="0" xfId="0" applyFont="1" applyFill="1" applyAlignment="1">
      <alignment vertical="center" wrapText="1"/>
    </xf>
    <xf numFmtId="0" fontId="3" fillId="3" borderId="8" xfId="0" applyFont="1" applyFill="1" applyBorder="1" applyAlignment="1">
      <alignment vertical="center" wrapText="1"/>
    </xf>
    <xf numFmtId="0" fontId="24" fillId="0" borderId="32" xfId="0" applyFont="1" applyBorder="1" applyAlignment="1">
      <alignment vertical="center" wrapText="1"/>
    </xf>
    <xf numFmtId="0" fontId="24" fillId="0" borderId="19" xfId="0" applyFont="1" applyBorder="1" applyAlignment="1">
      <alignment vertical="center" wrapText="1"/>
    </xf>
    <xf numFmtId="0" fontId="24" fillId="0" borderId="49" xfId="0" applyFont="1" applyBorder="1" applyAlignment="1">
      <alignment horizontal="center" vertical="center" wrapText="1"/>
    </xf>
    <xf numFmtId="165" fontId="24" fillId="0" borderId="46" xfId="0" applyNumberFormat="1" applyFont="1" applyBorder="1" applyAlignment="1">
      <alignment horizontal="center" vertical="center" wrapText="1"/>
    </xf>
    <xf numFmtId="0" fontId="27" fillId="22" borderId="58" xfId="0" applyFont="1" applyFill="1" applyBorder="1" applyAlignment="1">
      <alignment vertical="center" wrapText="1"/>
    </xf>
    <xf numFmtId="0" fontId="24" fillId="0" borderId="33" xfId="0" applyFont="1" applyBorder="1" applyAlignment="1">
      <alignment vertical="center" wrapText="1"/>
    </xf>
    <xf numFmtId="165" fontId="25" fillId="4" borderId="33" xfId="0" applyNumberFormat="1" applyFont="1" applyFill="1" applyBorder="1" applyAlignment="1">
      <alignment horizontal="center" vertical="center" wrapText="1"/>
    </xf>
    <xf numFmtId="0" fontId="24" fillId="0" borderId="20" xfId="0" applyFont="1" applyBorder="1" applyAlignment="1">
      <alignment vertical="center" wrapText="1"/>
    </xf>
    <xf numFmtId="0" fontId="24" fillId="0" borderId="27" xfId="0" applyFont="1" applyBorder="1" applyAlignment="1">
      <alignment horizontal="center" vertical="center" wrapText="1"/>
    </xf>
    <xf numFmtId="165" fontId="24" fillId="0" borderId="47" xfId="0" applyNumberFormat="1" applyFont="1" applyBorder="1" applyAlignment="1">
      <alignment horizontal="center" vertical="center" wrapText="1"/>
    </xf>
    <xf numFmtId="0" fontId="27" fillId="22" borderId="59" xfId="0" applyFont="1" applyFill="1" applyBorder="1" applyAlignment="1">
      <alignment vertical="center" wrapText="1"/>
    </xf>
    <xf numFmtId="165" fontId="25" fillId="4" borderId="41" xfId="0" applyNumberFormat="1" applyFont="1" applyFill="1" applyBorder="1" applyAlignment="1">
      <alignment horizontal="center" vertical="center" wrapText="1"/>
    </xf>
    <xf numFmtId="0" fontId="24" fillId="0" borderId="39" xfId="0" applyFont="1" applyBorder="1" applyAlignment="1">
      <alignment vertical="center" wrapText="1"/>
    </xf>
    <xf numFmtId="165" fontId="25" fillId="4" borderId="37" xfId="0" applyNumberFormat="1" applyFont="1" applyFill="1" applyBorder="1" applyAlignment="1">
      <alignment horizontal="center" vertical="center" wrapText="1"/>
    </xf>
    <xf numFmtId="0" fontId="24" fillId="0" borderId="28" xfId="0" applyFont="1" applyBorder="1" applyAlignment="1">
      <alignment horizontal="center" vertical="center" wrapText="1"/>
    </xf>
    <xf numFmtId="165" fontId="24" fillId="0" borderId="48" xfId="0" applyNumberFormat="1" applyFont="1" applyBorder="1" applyAlignment="1">
      <alignment horizontal="center" vertical="center" wrapText="1"/>
    </xf>
    <xf numFmtId="0" fontId="27" fillId="22" borderId="60" xfId="0" applyFont="1" applyFill="1" applyBorder="1" applyAlignment="1">
      <alignment vertical="center" wrapText="1"/>
    </xf>
    <xf numFmtId="0" fontId="3" fillId="3" borderId="42" xfId="0" applyFont="1" applyFill="1" applyBorder="1" applyAlignment="1">
      <alignment vertical="center" wrapText="1"/>
    </xf>
    <xf numFmtId="0" fontId="3" fillId="3" borderId="44" xfId="0" applyFont="1" applyFill="1" applyBorder="1" applyAlignment="1">
      <alignment vertical="center" wrapText="1"/>
    </xf>
    <xf numFmtId="0" fontId="3" fillId="3" borderId="10" xfId="0" applyFont="1" applyFill="1" applyBorder="1" applyAlignment="1">
      <alignment vertical="center" wrapText="1"/>
    </xf>
    <xf numFmtId="0" fontId="26" fillId="0" borderId="33" xfId="0" applyFont="1" applyBorder="1" applyAlignment="1" applyProtection="1">
      <alignment horizontal="center" vertical="center" wrapText="1"/>
      <protection locked="0"/>
    </xf>
    <xf numFmtId="165" fontId="24" fillId="0" borderId="17" xfId="0" applyNumberFormat="1" applyFont="1" applyBorder="1" applyAlignment="1">
      <alignment horizontal="center" vertical="center" wrapText="1"/>
    </xf>
    <xf numFmtId="0" fontId="24" fillId="8" borderId="58" xfId="0" applyFont="1" applyFill="1" applyBorder="1" applyAlignment="1">
      <alignment vertical="center" wrapText="1"/>
    </xf>
    <xf numFmtId="0" fontId="24" fillId="0" borderId="15" xfId="0" applyFont="1" applyBorder="1" applyAlignment="1">
      <alignment horizontal="center" vertical="center" wrapText="1"/>
    </xf>
    <xf numFmtId="0" fontId="24" fillId="8" borderId="59" xfId="0" applyFont="1" applyFill="1" applyBorder="1" applyAlignment="1">
      <alignment vertical="center" wrapText="1"/>
    </xf>
    <xf numFmtId="0" fontId="24" fillId="0" borderId="34" xfId="0" applyFont="1" applyBorder="1" applyAlignment="1">
      <alignment vertical="center" wrapText="1"/>
    </xf>
    <xf numFmtId="0" fontId="24" fillId="12" borderId="34" xfId="0" applyFont="1" applyFill="1" applyBorder="1" applyAlignment="1">
      <alignment vertical="center" wrapText="1"/>
    </xf>
    <xf numFmtId="0" fontId="24" fillId="0" borderId="21" xfId="0" applyFont="1" applyBorder="1" applyAlignment="1">
      <alignment horizontal="center" vertical="center" wrapText="1"/>
    </xf>
    <xf numFmtId="0" fontId="24" fillId="8" borderId="60" xfId="0" applyFont="1" applyFill="1" applyBorder="1" applyAlignment="1">
      <alignment vertical="center" wrapText="1"/>
    </xf>
    <xf numFmtId="0" fontId="3" fillId="3" borderId="70" xfId="0" applyFont="1" applyFill="1" applyBorder="1" applyAlignment="1">
      <alignment vertical="center" wrapText="1"/>
    </xf>
    <xf numFmtId="0" fontId="3" fillId="3" borderId="68" xfId="0" applyFont="1" applyFill="1" applyBorder="1" applyAlignment="1">
      <alignment vertical="center" wrapText="1"/>
    </xf>
    <xf numFmtId="0" fontId="3" fillId="3" borderId="76" xfId="0" applyFont="1" applyFill="1" applyBorder="1" applyAlignment="1">
      <alignment vertical="center" wrapText="1"/>
    </xf>
    <xf numFmtId="9" fontId="5" fillId="11" borderId="1" xfId="1" applyFont="1" applyFill="1" applyBorder="1" applyAlignment="1">
      <alignment horizontal="center" vertical="center" wrapText="1"/>
    </xf>
    <xf numFmtId="0" fontId="24" fillId="0" borderId="2" xfId="0" applyFont="1" applyBorder="1" applyAlignment="1">
      <alignment vertical="center" wrapText="1"/>
    </xf>
    <xf numFmtId="165" fontId="25" fillId="4" borderId="2" xfId="0" applyNumberFormat="1" applyFont="1" applyFill="1" applyBorder="1" applyAlignment="1">
      <alignment horizontal="center" vertical="center" wrapText="1"/>
    </xf>
    <xf numFmtId="0" fontId="24" fillId="12" borderId="2" xfId="0" applyFont="1" applyFill="1" applyBorder="1" applyAlignment="1">
      <alignment vertical="center" wrapText="1"/>
    </xf>
    <xf numFmtId="165" fontId="25" fillId="4" borderId="1" xfId="0" applyNumberFormat="1" applyFont="1" applyFill="1" applyBorder="1" applyAlignment="1">
      <alignment horizontal="center" vertical="center" wrapText="1"/>
    </xf>
    <xf numFmtId="165" fontId="22" fillId="12" borderId="50" xfId="0" applyNumberFormat="1" applyFont="1" applyFill="1" applyBorder="1" applyAlignment="1">
      <alignment horizontal="center" vertical="center" wrapText="1"/>
    </xf>
    <xf numFmtId="165" fontId="22" fillId="12" borderId="35" xfId="0" applyNumberFormat="1" applyFont="1" applyFill="1" applyBorder="1" applyAlignment="1">
      <alignment horizontal="center" vertical="center" wrapText="1"/>
    </xf>
    <xf numFmtId="165" fontId="24" fillId="12" borderId="52" xfId="0" applyNumberFormat="1" applyFont="1" applyFill="1" applyBorder="1" applyAlignment="1">
      <alignment horizontal="center" vertical="center" wrapText="1"/>
    </xf>
    <xf numFmtId="9" fontId="24" fillId="11" borderId="1" xfId="1" applyFont="1" applyFill="1" applyBorder="1" applyAlignment="1">
      <alignment horizontal="center" vertical="center" wrapText="1"/>
    </xf>
    <xf numFmtId="9" fontId="22" fillId="11" borderId="4" xfId="1" applyFont="1" applyFill="1" applyBorder="1" applyAlignment="1">
      <alignment horizontal="center" vertical="center" wrapText="1"/>
    </xf>
    <xf numFmtId="2" fontId="23" fillId="11" borderId="1" xfId="1" applyNumberFormat="1" applyFont="1" applyFill="1" applyBorder="1" applyAlignment="1">
      <alignment horizontal="center" vertical="center" wrapText="1"/>
    </xf>
    <xf numFmtId="0" fontId="24" fillId="4" borderId="51" xfId="0" applyFont="1" applyFill="1" applyBorder="1" applyAlignment="1">
      <alignment vertical="center" wrapText="1"/>
    </xf>
    <xf numFmtId="165" fontId="26" fillId="0" borderId="36" xfId="0" applyNumberFormat="1" applyFont="1" applyBorder="1" applyAlignment="1" applyProtection="1">
      <alignment horizontal="center" vertical="center" wrapText="1"/>
      <protection locked="0"/>
    </xf>
    <xf numFmtId="0" fontId="22" fillId="0" borderId="68" xfId="0" applyFont="1" applyBorder="1" applyAlignment="1">
      <alignment horizontal="center" vertical="center" wrapText="1"/>
    </xf>
    <xf numFmtId="165" fontId="24" fillId="0" borderId="68" xfId="0" applyNumberFormat="1" applyFont="1" applyBorder="1" applyAlignment="1">
      <alignment horizontal="center" vertical="center" wrapText="1"/>
    </xf>
    <xf numFmtId="165" fontId="24" fillId="0" borderId="76" xfId="0" applyNumberFormat="1" applyFont="1" applyBorder="1" applyAlignment="1">
      <alignment horizontal="center" vertical="center" wrapText="1"/>
    </xf>
    <xf numFmtId="0" fontId="22" fillId="12" borderId="50" xfId="0" applyFont="1" applyFill="1" applyBorder="1" applyAlignment="1">
      <alignment horizontal="center" vertical="center" wrapText="1"/>
    </xf>
    <xf numFmtId="165" fontId="24" fillId="12" borderId="35" xfId="0" applyNumberFormat="1" applyFont="1" applyFill="1" applyBorder="1" applyAlignment="1">
      <alignment horizontal="center" vertical="center" wrapText="1"/>
    </xf>
    <xf numFmtId="0" fontId="22" fillId="0" borderId="2" xfId="0" applyFont="1" applyBorder="1" applyAlignment="1">
      <alignment vertical="center" wrapText="1"/>
    </xf>
    <xf numFmtId="0" fontId="22" fillId="0" borderId="50" xfId="0" applyFont="1" applyBorder="1" applyAlignment="1">
      <alignment horizontal="center" vertical="center" wrapText="1"/>
    </xf>
    <xf numFmtId="165" fontId="24" fillId="0" borderId="35" xfId="0" applyNumberFormat="1" applyFont="1" applyBorder="1" applyAlignment="1">
      <alignment horizontal="center" vertical="center" wrapText="1"/>
    </xf>
    <xf numFmtId="165" fontId="24" fillId="0" borderId="52" xfId="0" applyNumberFormat="1" applyFont="1" applyBorder="1" applyAlignment="1">
      <alignment horizontal="center" vertical="center" wrapText="1"/>
    </xf>
    <xf numFmtId="0" fontId="22" fillId="4" borderId="51" xfId="0" applyFont="1" applyFill="1" applyBorder="1" applyAlignment="1">
      <alignment vertical="center" wrapText="1"/>
    </xf>
    <xf numFmtId="0" fontId="6" fillId="3" borderId="1" xfId="0" applyFont="1" applyFill="1" applyBorder="1" applyAlignment="1">
      <alignment vertical="center" wrapText="1"/>
    </xf>
    <xf numFmtId="0" fontId="6" fillId="3" borderId="16" xfId="0" applyFont="1" applyFill="1" applyBorder="1" applyAlignment="1">
      <alignment vertical="center" wrapText="1"/>
    </xf>
    <xf numFmtId="0" fontId="6" fillId="3" borderId="6" xfId="0" applyFont="1" applyFill="1" applyBorder="1" applyAlignment="1">
      <alignment vertical="center" wrapText="1"/>
    </xf>
    <xf numFmtId="0" fontId="31" fillId="3" borderId="1" xfId="0" applyFont="1" applyFill="1" applyBorder="1" applyAlignment="1">
      <alignment vertical="center" wrapText="1"/>
    </xf>
    <xf numFmtId="0" fontId="6" fillId="3" borderId="7" xfId="0" applyFont="1" applyFill="1" applyBorder="1" applyAlignment="1">
      <alignment vertical="center" wrapText="1"/>
    </xf>
    <xf numFmtId="0" fontId="24" fillId="0" borderId="58" xfId="0" applyFont="1" applyBorder="1" applyAlignment="1">
      <alignment vertical="center" wrapText="1"/>
    </xf>
    <xf numFmtId="4" fontId="24" fillId="0" borderId="17" xfId="0" applyNumberFormat="1" applyFont="1" applyBorder="1" applyAlignment="1">
      <alignment horizontal="center" vertical="center" wrapText="1"/>
    </xf>
    <xf numFmtId="4" fontId="24" fillId="0" borderId="18" xfId="1" applyNumberFormat="1" applyFont="1" applyBorder="1" applyAlignment="1">
      <alignment horizontal="center" vertical="center" wrapText="1"/>
    </xf>
    <xf numFmtId="4" fontId="24" fillId="0" borderId="46" xfId="0" applyNumberFormat="1" applyFont="1" applyBorder="1" applyAlignment="1">
      <alignment horizontal="center" vertical="center" wrapText="1"/>
    </xf>
    <xf numFmtId="0" fontId="24" fillId="22" borderId="58" xfId="0" applyFont="1" applyFill="1" applyBorder="1" applyAlignment="1">
      <alignment vertical="center" wrapText="1"/>
    </xf>
    <xf numFmtId="0" fontId="24" fillId="0" borderId="59" xfId="0" applyFont="1" applyBorder="1" applyAlignment="1">
      <alignment vertical="center" wrapText="1"/>
    </xf>
    <xf numFmtId="0" fontId="24" fillId="12" borderId="15" xfId="0" applyFont="1" applyFill="1" applyBorder="1" applyAlignment="1">
      <alignment horizontal="center" vertical="center" wrapText="1"/>
    </xf>
    <xf numFmtId="0" fontId="24" fillId="12" borderId="11" xfId="0" applyFont="1" applyFill="1" applyBorder="1" applyAlignment="1">
      <alignment horizontal="center" vertical="center" wrapText="1"/>
    </xf>
    <xf numFmtId="4" fontId="24" fillId="0" borderId="47" xfId="0" applyNumberFormat="1" applyFont="1" applyBorder="1" applyAlignment="1">
      <alignment horizontal="center" vertical="center" wrapText="1"/>
    </xf>
    <xf numFmtId="0" fontId="24" fillId="22" borderId="59" xfId="0" applyFont="1" applyFill="1" applyBorder="1" applyAlignment="1">
      <alignment vertical="center" wrapText="1"/>
    </xf>
    <xf numFmtId="0" fontId="6" fillId="3" borderId="2" xfId="0" applyFont="1" applyFill="1" applyBorder="1" applyAlignment="1">
      <alignment vertical="center" wrapText="1"/>
    </xf>
    <xf numFmtId="0" fontId="6" fillId="3" borderId="3" xfId="0" applyFont="1" applyFill="1" applyBorder="1" applyAlignment="1">
      <alignment vertical="center" wrapText="1"/>
    </xf>
    <xf numFmtId="0" fontId="31" fillId="3" borderId="5" xfId="0" applyFont="1" applyFill="1" applyBorder="1" applyAlignment="1">
      <alignment vertical="center" wrapText="1"/>
    </xf>
    <xf numFmtId="0" fontId="6" fillId="3" borderId="45" xfId="0" applyFont="1" applyFill="1" applyBorder="1" applyAlignment="1">
      <alignment vertical="center" wrapText="1"/>
    </xf>
    <xf numFmtId="0" fontId="24" fillId="0" borderId="66" xfId="0" applyFont="1" applyBorder="1" applyAlignment="1">
      <alignment vertical="center" wrapText="1"/>
    </xf>
    <xf numFmtId="165" fontId="25" fillId="4" borderId="53" xfId="0" applyNumberFormat="1" applyFont="1" applyFill="1" applyBorder="1" applyAlignment="1">
      <alignment horizontal="center" vertical="center" wrapText="1"/>
    </xf>
    <xf numFmtId="165" fontId="26" fillId="4" borderId="61" xfId="0" applyNumberFormat="1" applyFont="1" applyFill="1" applyBorder="1" applyAlignment="1">
      <alignment horizontal="center" vertical="center" wrapText="1"/>
    </xf>
    <xf numFmtId="0" fontId="24" fillId="0" borderId="54" xfId="0" applyFont="1" applyBorder="1" applyAlignment="1">
      <alignment horizontal="center" vertical="center" wrapText="1"/>
    </xf>
    <xf numFmtId="0" fontId="24" fillId="0" borderId="14" xfId="0" applyFont="1" applyBorder="1" applyAlignment="1">
      <alignment horizontal="center" vertical="center" wrapText="1"/>
    </xf>
    <xf numFmtId="167" fontId="24" fillId="0" borderId="12" xfId="0" applyNumberFormat="1" applyFont="1" applyBorder="1" applyAlignment="1">
      <alignment horizontal="center" vertical="center" wrapText="1"/>
    </xf>
    <xf numFmtId="0" fontId="24" fillId="5" borderId="27" xfId="0" applyFont="1" applyFill="1" applyBorder="1" applyAlignment="1">
      <alignment vertical="center" wrapText="1"/>
    </xf>
    <xf numFmtId="0" fontId="24" fillId="0" borderId="37" xfId="0" applyFont="1" applyBorder="1" applyAlignment="1">
      <alignment vertical="center" wrapText="1"/>
    </xf>
    <xf numFmtId="165" fontId="26" fillId="4" borderId="40" xfId="0" applyNumberFormat="1" applyFont="1" applyFill="1" applyBorder="1" applyAlignment="1">
      <alignment horizontal="center" vertical="center" wrapText="1"/>
    </xf>
    <xf numFmtId="0" fontId="24" fillId="0" borderId="38" xfId="0" applyFont="1" applyBorder="1" applyAlignment="1">
      <alignment horizontal="center" vertical="center" wrapText="1"/>
    </xf>
    <xf numFmtId="167" fontId="24" fillId="0" borderId="55" xfId="0" applyNumberFormat="1" applyFont="1" applyBorder="1" applyAlignment="1">
      <alignment horizontal="center" vertical="center" wrapText="1"/>
    </xf>
    <xf numFmtId="0" fontId="3" fillId="3" borderId="2" xfId="0" applyFont="1" applyFill="1" applyBorder="1" applyAlignment="1">
      <alignment vertical="center" wrapText="1"/>
    </xf>
    <xf numFmtId="0" fontId="3" fillId="3" borderId="3" xfId="0" applyFont="1" applyFill="1" applyBorder="1" applyAlignment="1">
      <alignment vertical="center" wrapText="1"/>
    </xf>
    <xf numFmtId="0" fontId="3" fillId="3" borderId="45" xfId="0" applyFont="1" applyFill="1" applyBorder="1" applyAlignment="1">
      <alignment vertical="center" wrapText="1"/>
    </xf>
    <xf numFmtId="165" fontId="25" fillId="4" borderId="49" xfId="0" applyNumberFormat="1" applyFont="1" applyFill="1" applyBorder="1" applyAlignment="1">
      <alignment horizontal="center" vertical="center" wrapText="1"/>
    </xf>
    <xf numFmtId="1" fontId="24" fillId="0" borderId="49" xfId="1" applyNumberFormat="1" applyFont="1" applyBorder="1" applyAlignment="1">
      <alignment horizontal="center" vertical="center" wrapText="1"/>
    </xf>
    <xf numFmtId="166" fontId="24" fillId="0" borderId="46" xfId="0" applyNumberFormat="1" applyFont="1" applyBorder="1" applyAlignment="1">
      <alignment horizontal="center" vertical="center" wrapText="1"/>
    </xf>
    <xf numFmtId="165" fontId="25" fillId="4" borderId="28" xfId="0" applyNumberFormat="1" applyFont="1" applyFill="1" applyBorder="1" applyAlignment="1">
      <alignment horizontal="center" vertical="center" wrapText="1"/>
    </xf>
    <xf numFmtId="1" fontId="24" fillId="0" borderId="77" xfId="1" applyNumberFormat="1" applyFont="1" applyBorder="1" applyAlignment="1">
      <alignment horizontal="center" vertical="center" wrapText="1"/>
    </xf>
    <xf numFmtId="165" fontId="24" fillId="0" borderId="67" xfId="0" applyNumberFormat="1" applyFont="1" applyBorder="1" applyAlignment="1">
      <alignment horizontal="center" vertical="center" wrapText="1"/>
    </xf>
    <xf numFmtId="166" fontId="24" fillId="0" borderId="65" xfId="0" applyNumberFormat="1" applyFont="1" applyBorder="1" applyAlignment="1">
      <alignment horizontal="center" vertical="center" wrapText="1"/>
    </xf>
    <xf numFmtId="9" fontId="24" fillId="11" borderId="5" xfId="1" applyFont="1" applyFill="1" applyBorder="1" applyAlignment="1">
      <alignment horizontal="center" vertical="center" wrapText="1"/>
    </xf>
    <xf numFmtId="0" fontId="0" fillId="2" borderId="5" xfId="0" applyFill="1" applyBorder="1" applyAlignment="1">
      <alignment vertical="center" wrapText="1"/>
    </xf>
    <xf numFmtId="0" fontId="0" fillId="2" borderId="43" xfId="0" applyFill="1" applyBorder="1" applyAlignment="1">
      <alignment vertical="center" wrapText="1"/>
    </xf>
    <xf numFmtId="0" fontId="0" fillId="2" borderId="0" xfId="0" applyFill="1" applyAlignment="1">
      <alignment vertical="center" wrapText="1"/>
    </xf>
    <xf numFmtId="0" fontId="0" fillId="2" borderId="8" xfId="0" applyFill="1" applyBorder="1" applyAlignment="1">
      <alignment vertical="center" wrapText="1"/>
    </xf>
    <xf numFmtId="0" fontId="0" fillId="2" borderId="7" xfId="0" applyFill="1" applyBorder="1" applyAlignment="1">
      <alignment vertical="center" wrapText="1"/>
    </xf>
    <xf numFmtId="0" fontId="4" fillId="3" borderId="1" xfId="0" applyFont="1" applyFill="1" applyBorder="1" applyAlignment="1">
      <alignment vertical="center" wrapText="1"/>
    </xf>
    <xf numFmtId="0" fontId="4" fillId="3" borderId="2" xfId="0" applyFont="1" applyFill="1" applyBorder="1" applyAlignment="1">
      <alignment vertical="center" wrapText="1"/>
    </xf>
    <xf numFmtId="0" fontId="4" fillId="3" borderId="3" xfId="0" applyFont="1" applyFill="1" applyBorder="1" applyAlignment="1">
      <alignment vertical="center" wrapText="1"/>
    </xf>
    <xf numFmtId="0" fontId="27" fillId="0" borderId="32" xfId="0" applyFont="1" applyBorder="1" applyAlignment="1">
      <alignment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19" xfId="0" applyFont="1" applyBorder="1" applyAlignment="1">
      <alignment horizontal="center" vertical="center" wrapText="1"/>
    </xf>
    <xf numFmtId="0" fontId="24" fillId="0" borderId="22" xfId="0" applyFont="1" applyBorder="1" applyAlignment="1">
      <alignment horizontal="center" vertical="center" wrapText="1"/>
    </xf>
    <xf numFmtId="166" fontId="24" fillId="0" borderId="23" xfId="0" applyNumberFormat="1" applyFont="1" applyBorder="1" applyAlignment="1">
      <alignment horizontal="center" vertical="center" wrapText="1"/>
    </xf>
    <xf numFmtId="0" fontId="0" fillId="3" borderId="1" xfId="0" applyFill="1" applyBorder="1" applyAlignment="1">
      <alignment vertical="center" wrapText="1"/>
    </xf>
    <xf numFmtId="0" fontId="0" fillId="3" borderId="3" xfId="0" applyFill="1" applyBorder="1" applyAlignment="1">
      <alignment vertical="center" wrapText="1"/>
    </xf>
    <xf numFmtId="0" fontId="0" fillId="3" borderId="5" xfId="0" applyFill="1" applyBorder="1" applyAlignment="1">
      <alignment vertical="center" wrapText="1"/>
    </xf>
    <xf numFmtId="0" fontId="0" fillId="3" borderId="0" xfId="0" applyFill="1" applyAlignment="1">
      <alignment vertical="center" wrapText="1"/>
    </xf>
    <xf numFmtId="0" fontId="22" fillId="0" borderId="0" xfId="0" applyFont="1" applyAlignment="1">
      <alignment wrapText="1"/>
    </xf>
    <xf numFmtId="165" fontId="23" fillId="4" borderId="10" xfId="0" applyNumberFormat="1" applyFont="1" applyFill="1" applyBorder="1" applyAlignment="1">
      <alignment horizontal="center" vertical="center" wrapText="1"/>
    </xf>
    <xf numFmtId="0" fontId="22" fillId="0" borderId="0" xfId="0" applyFont="1" applyAlignment="1">
      <alignment vertical="center"/>
    </xf>
    <xf numFmtId="165" fontId="25" fillId="4" borderId="10" xfId="0" applyNumberFormat="1" applyFont="1" applyFill="1" applyBorder="1" applyAlignment="1">
      <alignment horizontal="center" vertical="center" wrapText="1"/>
    </xf>
    <xf numFmtId="0" fontId="24" fillId="12" borderId="45" xfId="0" applyFont="1" applyFill="1" applyBorder="1" applyAlignment="1">
      <alignment vertical="center" wrapText="1"/>
    </xf>
    <xf numFmtId="165" fontId="25" fillId="12" borderId="42" xfId="0" applyNumberFormat="1" applyFont="1" applyFill="1" applyBorder="1" applyAlignment="1">
      <alignment horizontal="center" vertical="center" wrapText="1"/>
    </xf>
    <xf numFmtId="2" fontId="24" fillId="0" borderId="50" xfId="0" applyNumberFormat="1" applyFont="1" applyBorder="1" applyAlignment="1">
      <alignment horizontal="center" vertical="center" wrapText="1"/>
    </xf>
    <xf numFmtId="0" fontId="24" fillId="12" borderId="35" xfId="0" applyFont="1" applyFill="1" applyBorder="1" applyAlignment="1">
      <alignment horizontal="center" vertical="center" wrapText="1"/>
    </xf>
    <xf numFmtId="0" fontId="24" fillId="0" borderId="36" xfId="0" applyFont="1" applyBorder="1" applyAlignment="1">
      <alignment horizontal="center" vertical="center" wrapText="1"/>
    </xf>
    <xf numFmtId="0" fontId="5" fillId="12" borderId="45" xfId="0" applyFont="1" applyFill="1" applyBorder="1" applyAlignment="1">
      <alignment vertical="center" wrapText="1"/>
    </xf>
    <xf numFmtId="0" fontId="3" fillId="3" borderId="4" xfId="0" applyFont="1" applyFill="1" applyBorder="1" applyAlignment="1">
      <alignment vertical="center" wrapText="1"/>
    </xf>
    <xf numFmtId="0" fontId="24" fillId="12" borderId="32" xfId="0" applyFont="1" applyFill="1" applyBorder="1" applyAlignment="1">
      <alignment vertical="center" wrapText="1"/>
    </xf>
    <xf numFmtId="165" fontId="25" fillId="13" borderId="32" xfId="0" applyNumberFormat="1" applyFont="1" applyFill="1" applyBorder="1" applyAlignment="1">
      <alignment horizontal="center" vertical="center" wrapText="1"/>
    </xf>
    <xf numFmtId="0" fontId="24" fillId="12" borderId="29" xfId="0" applyFont="1" applyFill="1" applyBorder="1" applyAlignment="1">
      <alignment vertical="center" wrapText="1"/>
    </xf>
    <xf numFmtId="0" fontId="24" fillId="19" borderId="58" xfId="0" applyFont="1" applyFill="1" applyBorder="1" applyAlignment="1">
      <alignment vertical="center" wrapText="1"/>
    </xf>
    <xf numFmtId="0" fontId="24" fillId="12" borderId="33" xfId="0" applyFont="1" applyFill="1" applyBorder="1" applyAlignment="1">
      <alignment vertical="center" wrapText="1"/>
    </xf>
    <xf numFmtId="165" fontId="25" fillId="13" borderId="33" xfId="0" applyNumberFormat="1" applyFont="1" applyFill="1" applyBorder="1" applyAlignment="1">
      <alignment horizontal="center" vertical="center" wrapText="1"/>
    </xf>
    <xf numFmtId="0" fontId="24" fillId="0" borderId="30" xfId="0" applyFont="1" applyBorder="1" applyAlignment="1">
      <alignment vertical="center" wrapText="1"/>
    </xf>
    <xf numFmtId="0" fontId="24" fillId="19" borderId="59" xfId="0" applyFont="1" applyFill="1" applyBorder="1" applyAlignment="1">
      <alignment vertical="center" wrapText="1"/>
    </xf>
    <xf numFmtId="2" fontId="24" fillId="12" borderId="11" xfId="0" applyNumberFormat="1" applyFont="1" applyFill="1" applyBorder="1" applyAlignment="1">
      <alignment horizontal="center" vertical="center" wrapText="1"/>
    </xf>
    <xf numFmtId="0" fontId="24" fillId="0" borderId="11" xfId="0" applyFont="1" applyBorder="1" applyAlignment="1">
      <alignment horizontal="center" vertical="center" wrapText="1"/>
    </xf>
    <xf numFmtId="4" fontId="24" fillId="0" borderId="48" xfId="0" applyNumberFormat="1" applyFont="1" applyBorder="1" applyAlignment="1">
      <alignment horizontal="center" vertical="center" wrapText="1"/>
    </xf>
    <xf numFmtId="0" fontId="24" fillId="19" borderId="60" xfId="0" applyFont="1" applyFill="1" applyBorder="1" applyAlignment="1">
      <alignment vertical="center" wrapText="1"/>
    </xf>
    <xf numFmtId="0" fontId="2" fillId="2" borderId="1" xfId="0" applyFont="1" applyFill="1" applyBorder="1" applyAlignment="1">
      <alignment vertical="center" wrapText="1"/>
    </xf>
    <xf numFmtId="0" fontId="2" fillId="2" borderId="0" xfId="0" applyFont="1" applyFill="1" applyAlignment="1">
      <alignment vertical="center" wrapText="1"/>
    </xf>
    <xf numFmtId="0" fontId="2" fillId="2" borderId="7" xfId="0" applyFont="1" applyFill="1" applyBorder="1" applyAlignment="1">
      <alignment vertical="center" wrapText="1"/>
    </xf>
    <xf numFmtId="1" fontId="26" fillId="0" borderId="17" xfId="0" applyNumberFormat="1" applyFont="1" applyBorder="1" applyAlignment="1" applyProtection="1">
      <alignment horizontal="center" vertical="center" wrapText="1"/>
      <protection locked="0"/>
    </xf>
    <xf numFmtId="4" fontId="24" fillId="12" borderId="46" xfId="0" applyNumberFormat="1" applyFont="1" applyFill="1" applyBorder="1" applyAlignment="1">
      <alignment horizontal="center" vertical="center" wrapText="1"/>
    </xf>
    <xf numFmtId="1" fontId="24" fillId="0" borderId="27" xfId="1" applyNumberFormat="1" applyFont="1" applyBorder="1" applyAlignment="1">
      <alignment horizontal="center" vertical="center" wrapText="1"/>
    </xf>
    <xf numFmtId="4" fontId="24" fillId="12" borderId="47" xfId="0" applyNumberFormat="1" applyFont="1" applyFill="1" applyBorder="1" applyAlignment="1">
      <alignment horizontal="center" vertical="center" wrapText="1"/>
    </xf>
    <xf numFmtId="0" fontId="22" fillId="0" borderId="33" xfId="0" applyFont="1" applyBorder="1" applyAlignment="1">
      <alignment vertical="center" wrapText="1"/>
    </xf>
    <xf numFmtId="165" fontId="23" fillId="4" borderId="25" xfId="0" applyNumberFormat="1" applyFont="1" applyFill="1" applyBorder="1" applyAlignment="1">
      <alignment horizontal="center" vertical="center" wrapText="1"/>
    </xf>
    <xf numFmtId="165" fontId="24" fillId="12" borderId="27" xfId="0" applyNumberFormat="1" applyFont="1" applyFill="1" applyBorder="1" applyAlignment="1">
      <alignment horizontal="center" vertical="center" wrapText="1"/>
    </xf>
    <xf numFmtId="165" fontId="24" fillId="12" borderId="11" xfId="0" applyNumberFormat="1" applyFont="1" applyFill="1" applyBorder="1" applyAlignment="1">
      <alignment horizontal="center" vertical="center" wrapText="1"/>
    </xf>
    <xf numFmtId="0" fontId="22" fillId="0" borderId="34" xfId="0" applyFont="1" applyBorder="1" applyAlignment="1">
      <alignment vertical="center" wrapText="1"/>
    </xf>
    <xf numFmtId="165" fontId="23" fillId="4" borderId="26" xfId="0" applyNumberFormat="1" applyFont="1" applyFill="1" applyBorder="1" applyAlignment="1">
      <alignment horizontal="center" vertical="center" wrapText="1"/>
    </xf>
    <xf numFmtId="165" fontId="24" fillId="12" borderId="28" xfId="0" applyNumberFormat="1" applyFont="1" applyFill="1" applyBorder="1" applyAlignment="1">
      <alignment horizontal="center" vertical="center" wrapText="1"/>
    </xf>
    <xf numFmtId="165" fontId="24" fillId="12" borderId="22" xfId="0" applyNumberFormat="1" applyFont="1" applyFill="1" applyBorder="1" applyAlignment="1">
      <alignment horizontal="center" vertical="center" wrapText="1"/>
    </xf>
    <xf numFmtId="4" fontId="24" fillId="12" borderId="48" xfId="0" applyNumberFormat="1" applyFont="1" applyFill="1" applyBorder="1" applyAlignment="1">
      <alignment horizontal="center" vertical="center" wrapText="1"/>
    </xf>
    <xf numFmtId="0" fontId="24" fillId="22" borderId="60" xfId="0" applyFont="1" applyFill="1" applyBorder="1" applyAlignment="1">
      <alignment vertical="center" wrapText="1"/>
    </xf>
    <xf numFmtId="0" fontId="3" fillId="3" borderId="7" xfId="0" applyFont="1" applyFill="1" applyBorder="1" applyAlignment="1">
      <alignment vertical="center" wrapText="1"/>
    </xf>
    <xf numFmtId="0" fontId="22" fillId="0" borderId="1" xfId="0" applyFont="1" applyBorder="1" applyAlignment="1">
      <alignment vertical="center" wrapText="1"/>
    </xf>
    <xf numFmtId="165" fontId="23" fillId="4" borderId="1" xfId="0" applyNumberFormat="1" applyFont="1" applyFill="1" applyBorder="1" applyAlignment="1">
      <alignment horizontal="center" vertical="center" wrapText="1"/>
    </xf>
    <xf numFmtId="165" fontId="23" fillId="4" borderId="5" xfId="0" applyNumberFormat="1" applyFont="1" applyFill="1" applyBorder="1" applyAlignment="1">
      <alignment horizontal="center" vertical="center" wrapText="1"/>
    </xf>
    <xf numFmtId="1" fontId="24" fillId="0" borderId="50" xfId="1" applyNumberFormat="1" applyFont="1" applyBorder="1" applyAlignment="1">
      <alignment horizontal="center" vertical="center" wrapText="1"/>
    </xf>
    <xf numFmtId="0" fontId="24" fillId="12" borderId="52" xfId="0" applyFont="1" applyFill="1" applyBorder="1" applyAlignment="1">
      <alignment horizontal="center" vertical="center" wrapText="1"/>
    </xf>
    <xf numFmtId="9" fontId="24" fillId="6" borderId="4" xfId="1" applyFont="1" applyFill="1" applyBorder="1" applyAlignment="1">
      <alignment horizontal="center" vertical="center" wrapText="1"/>
    </xf>
    <xf numFmtId="0" fontId="22" fillId="0" borderId="3" xfId="0" applyFont="1" applyBorder="1" applyAlignment="1">
      <alignment horizontal="left" vertical="center" wrapText="1"/>
    </xf>
    <xf numFmtId="0" fontId="0" fillId="9" borderId="1" xfId="0" applyFill="1" applyBorder="1" applyAlignment="1" applyProtection="1">
      <alignment vertical="center" wrapText="1"/>
      <protection locked="0"/>
    </xf>
    <xf numFmtId="0" fontId="3" fillId="3" borderId="5" xfId="0" applyFont="1" applyFill="1" applyBorder="1" applyAlignment="1">
      <alignment vertical="center" wrapText="1"/>
    </xf>
    <xf numFmtId="0" fontId="24" fillId="0" borderId="1" xfId="0" applyFont="1" applyBorder="1" applyAlignment="1">
      <alignment vertical="center" wrapText="1"/>
    </xf>
    <xf numFmtId="165" fontId="25" fillId="7" borderId="7" xfId="0" applyNumberFormat="1" applyFont="1" applyFill="1" applyBorder="1" applyAlignment="1">
      <alignment horizontal="center" vertical="center" wrapText="1"/>
    </xf>
    <xf numFmtId="0" fontId="24" fillId="12" borderId="1" xfId="0" applyFont="1" applyFill="1" applyBorder="1" applyAlignment="1">
      <alignment vertical="center" wrapText="1"/>
    </xf>
    <xf numFmtId="165" fontId="25" fillId="7" borderId="1" xfId="0" applyNumberFormat="1" applyFont="1" applyFill="1" applyBorder="1" applyAlignment="1">
      <alignment horizontal="center" vertical="center" wrapText="1"/>
    </xf>
    <xf numFmtId="0" fontId="22" fillId="12" borderId="1" xfId="0" applyFont="1" applyFill="1" applyBorder="1" applyAlignment="1">
      <alignment vertical="center" wrapText="1"/>
    </xf>
    <xf numFmtId="165" fontId="23" fillId="7" borderId="1" xfId="0" applyNumberFormat="1" applyFont="1" applyFill="1" applyBorder="1" applyAlignment="1">
      <alignment horizontal="center" vertical="center" wrapText="1"/>
    </xf>
    <xf numFmtId="2" fontId="24" fillId="12" borderId="50" xfId="0" applyNumberFormat="1" applyFont="1" applyFill="1" applyBorder="1" applyAlignment="1">
      <alignment horizontal="center" vertical="center" wrapText="1"/>
    </xf>
    <xf numFmtId="0" fontId="22" fillId="9" borderId="27" xfId="0" applyFont="1" applyFill="1" applyBorder="1" applyAlignment="1">
      <alignment vertical="center" wrapText="1"/>
    </xf>
    <xf numFmtId="0" fontId="6" fillId="3" borderId="4" xfId="0" applyFont="1" applyFill="1" applyBorder="1" applyAlignment="1">
      <alignment vertical="center" wrapText="1"/>
    </xf>
    <xf numFmtId="0" fontId="24" fillId="0" borderId="5" xfId="0" applyFont="1" applyBorder="1" applyAlignment="1">
      <alignment vertical="center" wrapText="1"/>
    </xf>
    <xf numFmtId="165" fontId="25" fillId="14" borderId="7" xfId="0" applyNumberFormat="1" applyFont="1" applyFill="1" applyBorder="1" applyAlignment="1">
      <alignment horizontal="center" vertical="center" wrapText="1"/>
    </xf>
    <xf numFmtId="0" fontId="24" fillId="12" borderId="7" xfId="0" applyFont="1" applyFill="1" applyBorder="1" applyAlignment="1">
      <alignment vertical="center" wrapText="1"/>
    </xf>
    <xf numFmtId="0" fontId="24" fillId="12" borderId="6" xfId="0" applyFont="1" applyFill="1" applyBorder="1" applyAlignment="1">
      <alignment vertical="center" wrapText="1"/>
    </xf>
    <xf numFmtId="165" fontId="23" fillId="7" borderId="2" xfId="0" applyNumberFormat="1" applyFont="1" applyFill="1" applyBorder="1" applyAlignment="1">
      <alignment horizontal="center" vertical="center" wrapText="1"/>
    </xf>
    <xf numFmtId="2" fontId="24" fillId="12" borderId="56" xfId="0" applyNumberFormat="1" applyFont="1" applyFill="1" applyBorder="1" applyAlignment="1">
      <alignment horizontal="center" vertical="center" wrapText="1"/>
    </xf>
    <xf numFmtId="0" fontId="24" fillId="12" borderId="67" xfId="0" applyFont="1" applyFill="1" applyBorder="1" applyAlignment="1">
      <alignment horizontal="center" vertical="center" wrapText="1"/>
    </xf>
    <xf numFmtId="0" fontId="24" fillId="12" borderId="65" xfId="0" applyFont="1" applyFill="1" applyBorder="1" applyAlignment="1">
      <alignment horizontal="center" vertical="center" wrapText="1"/>
    </xf>
    <xf numFmtId="0" fontId="24" fillId="21" borderId="4" xfId="0" applyFont="1" applyFill="1" applyBorder="1" applyAlignment="1">
      <alignment vertical="center" wrapText="1"/>
    </xf>
    <xf numFmtId="165" fontId="25" fillId="4" borderId="7" xfId="0" applyNumberFormat="1" applyFont="1" applyFill="1" applyBorder="1" applyAlignment="1">
      <alignment horizontal="center" vertical="center" wrapText="1"/>
    </xf>
    <xf numFmtId="0" fontId="24" fillId="0" borderId="52" xfId="0" applyFont="1" applyBorder="1" applyAlignment="1">
      <alignment horizontal="center" vertical="center" wrapText="1"/>
    </xf>
    <xf numFmtId="9" fontId="24" fillId="11" borderId="53" xfId="1" quotePrefix="1" applyFont="1" applyFill="1" applyBorder="1" applyAlignment="1">
      <alignment horizontal="center" vertical="center" wrapText="1"/>
    </xf>
    <xf numFmtId="0" fontId="24" fillId="17" borderId="27" xfId="0" applyFont="1" applyFill="1" applyBorder="1" applyAlignment="1">
      <alignment vertical="center" wrapText="1"/>
    </xf>
    <xf numFmtId="0" fontId="0" fillId="2" borderId="1" xfId="0" applyFill="1" applyBorder="1" applyAlignment="1">
      <alignment vertical="center" wrapText="1"/>
    </xf>
    <xf numFmtId="0" fontId="0" fillId="2" borderId="2" xfId="0" applyFill="1" applyBorder="1" applyAlignment="1">
      <alignment vertical="center" wrapText="1"/>
    </xf>
    <xf numFmtId="0" fontId="0" fillId="2" borderId="4" xfId="0" applyFill="1" applyBorder="1" applyAlignment="1">
      <alignment vertical="center" wrapText="1"/>
    </xf>
    <xf numFmtId="0" fontId="24" fillId="0" borderId="7" xfId="0" applyFont="1" applyBorder="1" applyAlignment="1">
      <alignment vertical="center" wrapText="1"/>
    </xf>
    <xf numFmtId="0" fontId="24" fillId="8" borderId="27" xfId="0" applyFont="1" applyFill="1" applyBorder="1" applyAlignment="1">
      <alignment vertical="center" wrapText="1"/>
    </xf>
    <xf numFmtId="0" fontId="0" fillId="2" borderId="16" xfId="0" applyFill="1" applyBorder="1" applyAlignment="1">
      <alignment vertical="center" wrapText="1"/>
    </xf>
    <xf numFmtId="0" fontId="0" fillId="2" borderId="6" xfId="0" applyFill="1" applyBorder="1" applyAlignment="1">
      <alignment vertical="center" wrapText="1"/>
    </xf>
    <xf numFmtId="0" fontId="3" fillId="11" borderId="45" xfId="0" applyFont="1" applyFill="1" applyBorder="1" applyAlignment="1">
      <alignment vertical="center" wrapText="1"/>
    </xf>
    <xf numFmtId="1" fontId="24" fillId="12" borderId="46" xfId="0" applyNumberFormat="1" applyFont="1" applyFill="1" applyBorder="1" applyAlignment="1">
      <alignment horizontal="center" vertical="center" wrapText="1"/>
    </xf>
    <xf numFmtId="0" fontId="24" fillId="9" borderId="49" xfId="0" applyFont="1" applyFill="1" applyBorder="1" applyAlignment="1">
      <alignment vertical="center" wrapText="1"/>
    </xf>
    <xf numFmtId="1" fontId="24" fillId="0" borderId="28" xfId="1" applyNumberFormat="1" applyFont="1" applyBorder="1" applyAlignment="1">
      <alignment horizontal="center" vertical="center" wrapText="1"/>
    </xf>
    <xf numFmtId="1" fontId="24" fillId="12" borderId="48" xfId="0" applyNumberFormat="1" applyFont="1" applyFill="1" applyBorder="1" applyAlignment="1">
      <alignment horizontal="center" vertical="center" wrapText="1"/>
    </xf>
    <xf numFmtId="0" fontId="24" fillId="9" borderId="28" xfId="0" applyFont="1" applyFill="1" applyBorder="1" applyAlignment="1">
      <alignment vertical="center" wrapText="1"/>
    </xf>
    <xf numFmtId="0" fontId="24" fillId="0" borderId="61" xfId="0" applyFont="1" applyBorder="1" applyAlignment="1">
      <alignment vertical="center" wrapText="1"/>
    </xf>
    <xf numFmtId="2" fontId="24" fillId="12" borderId="73" xfId="0" applyNumberFormat="1" applyFont="1" applyFill="1" applyBorder="1" applyAlignment="1">
      <alignment horizontal="center" vertical="center" wrapText="1"/>
    </xf>
    <xf numFmtId="0" fontId="24" fillId="12" borderId="12" xfId="0" applyFont="1" applyFill="1" applyBorder="1" applyAlignment="1">
      <alignment horizontal="center" vertical="center" wrapText="1"/>
    </xf>
    <xf numFmtId="0" fontId="24" fillId="9" borderId="58" xfId="0" applyFont="1" applyFill="1" applyBorder="1" applyAlignment="1">
      <alignment vertical="center" wrapText="1"/>
    </xf>
    <xf numFmtId="0" fontId="24" fillId="12" borderId="30" xfId="0" applyFont="1" applyFill="1" applyBorder="1" applyAlignment="1">
      <alignment vertical="center" wrapText="1"/>
    </xf>
    <xf numFmtId="2" fontId="24" fillId="12" borderId="27" xfId="0" applyNumberFormat="1" applyFont="1" applyFill="1" applyBorder="1" applyAlignment="1">
      <alignment horizontal="center" vertical="center" wrapText="1"/>
    </xf>
    <xf numFmtId="0" fontId="24" fillId="12" borderId="47" xfId="0" applyFont="1" applyFill="1" applyBorder="1" applyAlignment="1">
      <alignment horizontal="center" vertical="center" wrapText="1"/>
    </xf>
    <xf numFmtId="0" fontId="24" fillId="9" borderId="59" xfId="0" applyFont="1" applyFill="1" applyBorder="1" applyAlignment="1">
      <alignment vertical="center" wrapText="1"/>
    </xf>
    <xf numFmtId="0" fontId="24" fillId="12" borderId="31" xfId="0" applyFont="1" applyFill="1" applyBorder="1" applyAlignment="1">
      <alignment vertical="center" wrapText="1"/>
    </xf>
    <xf numFmtId="2" fontId="24" fillId="12" borderId="28" xfId="0" applyNumberFormat="1" applyFont="1" applyFill="1" applyBorder="1" applyAlignment="1">
      <alignment horizontal="center" vertical="center" wrapText="1"/>
    </xf>
    <xf numFmtId="0" fontId="24" fillId="12" borderId="22" xfId="0" applyFont="1" applyFill="1" applyBorder="1" applyAlignment="1">
      <alignment horizontal="center" vertical="center" wrapText="1"/>
    </xf>
    <xf numFmtId="0" fontId="24" fillId="12" borderId="48" xfId="0" applyFont="1" applyFill="1" applyBorder="1" applyAlignment="1">
      <alignment horizontal="center" vertical="center" wrapText="1"/>
    </xf>
    <xf numFmtId="0" fontId="24" fillId="9" borderId="60" xfId="0" applyFont="1" applyFill="1" applyBorder="1" applyAlignment="1">
      <alignment vertical="center" wrapText="1"/>
    </xf>
    <xf numFmtId="0" fontId="3" fillId="3" borderId="16" xfId="0" applyFont="1" applyFill="1" applyBorder="1" applyAlignment="1">
      <alignment vertical="center" wrapText="1"/>
    </xf>
    <xf numFmtId="0" fontId="3" fillId="3" borderId="6" xfId="0" applyFont="1" applyFill="1" applyBorder="1" applyAlignment="1">
      <alignment vertical="center" wrapText="1"/>
    </xf>
    <xf numFmtId="0" fontId="24" fillId="0" borderId="74" xfId="0" applyFont="1" applyBorder="1" applyAlignment="1">
      <alignment vertical="center" wrapText="1"/>
    </xf>
    <xf numFmtId="165" fontId="25" fillId="4" borderId="61" xfId="0" applyNumberFormat="1" applyFont="1" applyFill="1" applyBorder="1" applyAlignment="1">
      <alignment horizontal="center" vertical="center" wrapText="1"/>
    </xf>
    <xf numFmtId="2" fontId="24" fillId="12" borderId="54" xfId="0" applyNumberFormat="1" applyFont="1" applyFill="1" applyBorder="1" applyAlignment="1">
      <alignment horizontal="center" vertical="center" wrapText="1"/>
    </xf>
    <xf numFmtId="1" fontId="24" fillId="0" borderId="14" xfId="1" applyNumberFormat="1" applyFont="1" applyBorder="1" applyAlignment="1">
      <alignment horizontal="center" vertical="center" wrapText="1"/>
    </xf>
    <xf numFmtId="1" fontId="24" fillId="0" borderId="12" xfId="1" applyNumberFormat="1" applyFont="1" applyBorder="1" applyAlignment="1">
      <alignment horizontal="center" vertical="center" wrapText="1"/>
    </xf>
    <xf numFmtId="0" fontId="24" fillId="16" borderId="62" xfId="0" applyFont="1" applyFill="1" applyBorder="1" applyAlignment="1">
      <alignment vertical="center" wrapText="1"/>
    </xf>
    <xf numFmtId="165" fontId="25" fillId="4" borderId="30" xfId="0" applyNumberFormat="1" applyFont="1" applyFill="1" applyBorder="1" applyAlignment="1">
      <alignment horizontal="center" vertical="center" wrapText="1"/>
    </xf>
    <xf numFmtId="2" fontId="24" fillId="12" borderId="15" xfId="0" applyNumberFormat="1" applyFont="1" applyFill="1" applyBorder="1" applyAlignment="1">
      <alignment horizontal="center" vertical="center" wrapText="1"/>
    </xf>
    <xf numFmtId="1" fontId="24" fillId="0" borderId="11" xfId="1" applyNumberFormat="1" applyFont="1" applyBorder="1" applyAlignment="1">
      <alignment horizontal="center" vertical="center" wrapText="1"/>
    </xf>
    <xf numFmtId="1" fontId="24" fillId="0" borderId="47" xfId="1" applyNumberFormat="1" applyFont="1" applyBorder="1" applyAlignment="1">
      <alignment horizontal="center" vertical="center" wrapText="1"/>
    </xf>
    <xf numFmtId="0" fontId="24" fillId="16" borderId="59" xfId="0" applyFont="1" applyFill="1" applyBorder="1" applyAlignment="1">
      <alignment vertical="center" wrapText="1"/>
    </xf>
    <xf numFmtId="1" fontId="24" fillId="12" borderId="11" xfId="1" applyNumberFormat="1" applyFont="1" applyFill="1" applyBorder="1" applyAlignment="1">
      <alignment horizontal="center" vertical="center" wrapText="1"/>
    </xf>
    <xf numFmtId="1" fontId="24" fillId="12" borderId="47" xfId="1" applyNumberFormat="1" applyFont="1" applyFill="1" applyBorder="1" applyAlignment="1">
      <alignment horizontal="center" vertical="center" wrapText="1"/>
    </xf>
    <xf numFmtId="0" fontId="22" fillId="16" borderId="59" xfId="0" applyFont="1" applyFill="1" applyBorder="1" applyAlignment="1">
      <alignment vertical="center" wrapText="1"/>
    </xf>
    <xf numFmtId="0" fontId="24" fillId="0" borderId="23" xfId="0" applyFont="1" applyBorder="1" applyAlignment="1">
      <alignment vertical="center" wrapText="1"/>
    </xf>
    <xf numFmtId="165" fontId="25" fillId="4" borderId="31" xfId="0" applyNumberFormat="1" applyFont="1" applyFill="1" applyBorder="1" applyAlignment="1">
      <alignment horizontal="center" vertical="center" wrapText="1"/>
    </xf>
    <xf numFmtId="2" fontId="24" fillId="12" borderId="21" xfId="0" applyNumberFormat="1" applyFont="1" applyFill="1" applyBorder="1" applyAlignment="1">
      <alignment horizontal="center" vertical="center" wrapText="1"/>
    </xf>
    <xf numFmtId="165" fontId="24" fillId="12" borderId="48" xfId="0" applyNumberFormat="1" applyFont="1" applyFill="1" applyBorder="1" applyAlignment="1">
      <alignment horizontal="center" vertical="center" wrapText="1"/>
    </xf>
    <xf numFmtId="0" fontId="24" fillId="16" borderId="60" xfId="0" applyFont="1" applyFill="1" applyBorder="1" applyAlignment="1">
      <alignment vertical="center" wrapText="1"/>
    </xf>
    <xf numFmtId="165" fontId="25" fillId="4" borderId="29" xfId="0" applyNumberFormat="1" applyFont="1" applyFill="1" applyBorder="1" applyAlignment="1">
      <alignment horizontal="center" vertical="center" wrapText="1"/>
    </xf>
    <xf numFmtId="2" fontId="24" fillId="12" borderId="17" xfId="0" applyNumberFormat="1" applyFont="1" applyFill="1" applyBorder="1" applyAlignment="1">
      <alignment horizontal="center" vertical="center" wrapText="1"/>
    </xf>
    <xf numFmtId="0" fontId="24" fillId="12" borderId="18" xfId="0" applyFont="1" applyFill="1" applyBorder="1" applyAlignment="1">
      <alignment horizontal="center" vertical="center" wrapText="1"/>
    </xf>
    <xf numFmtId="165" fontId="24" fillId="12" borderId="46" xfId="0" applyNumberFormat="1" applyFont="1" applyFill="1" applyBorder="1" applyAlignment="1">
      <alignment horizontal="center" vertical="center" wrapText="1"/>
    </xf>
    <xf numFmtId="0" fontId="24" fillId="18" borderId="58" xfId="0" applyFont="1" applyFill="1" applyBorder="1" applyAlignment="1">
      <alignment vertical="center" wrapText="1"/>
    </xf>
    <xf numFmtId="165" fontId="25" fillId="4" borderId="27" xfId="0" applyNumberFormat="1" applyFont="1" applyFill="1" applyBorder="1" applyAlignment="1">
      <alignment horizontal="center" vertical="center" wrapText="1"/>
    </xf>
    <xf numFmtId="165" fontId="24" fillId="12" borderId="47" xfId="0" applyNumberFormat="1" applyFont="1" applyFill="1" applyBorder="1" applyAlignment="1">
      <alignment horizontal="center" vertical="center" wrapText="1"/>
    </xf>
    <xf numFmtId="0" fontId="24" fillId="18" borderId="59" xfId="0" applyFont="1" applyFill="1" applyBorder="1" applyAlignment="1">
      <alignment vertical="center" wrapText="1"/>
    </xf>
    <xf numFmtId="0" fontId="24" fillId="18" borderId="60" xfId="0" applyFont="1" applyFill="1" applyBorder="1" applyAlignment="1">
      <alignment vertical="center" wrapText="1"/>
    </xf>
    <xf numFmtId="0" fontId="10" fillId="11" borderId="42" xfId="0" applyFont="1" applyFill="1" applyBorder="1" applyAlignment="1">
      <alignment vertical="center" wrapText="1"/>
    </xf>
    <xf numFmtId="0" fontId="10" fillId="11" borderId="44" xfId="0" applyFont="1" applyFill="1" applyBorder="1" applyAlignment="1">
      <alignment vertical="center" wrapText="1"/>
    </xf>
    <xf numFmtId="0" fontId="32" fillId="11" borderId="5" xfId="0" applyFont="1" applyFill="1" applyBorder="1" applyAlignment="1">
      <alignment vertical="center" wrapText="1"/>
    </xf>
    <xf numFmtId="9" fontId="23" fillId="11" borderId="45" xfId="1" applyFont="1" applyFill="1" applyBorder="1" applyAlignment="1">
      <alignment horizontal="center" vertical="center" wrapText="1"/>
    </xf>
    <xf numFmtId="2" fontId="23" fillId="11" borderId="45" xfId="1" applyNumberFormat="1" applyFont="1" applyFill="1" applyBorder="1" applyAlignment="1">
      <alignment horizontal="center" vertical="center" wrapText="1"/>
    </xf>
    <xf numFmtId="0" fontId="10" fillId="11" borderId="45" xfId="0" applyFont="1" applyFill="1" applyBorder="1" applyAlignment="1">
      <alignment vertical="center" wrapText="1"/>
    </xf>
    <xf numFmtId="0" fontId="26" fillId="0" borderId="1" xfId="0" applyFont="1" applyBorder="1" applyAlignment="1" applyProtection="1">
      <alignment horizontal="center" vertical="center" wrapText="1"/>
      <protection locked="0"/>
    </xf>
    <xf numFmtId="1" fontId="24" fillId="0" borderId="35" xfId="1" applyNumberFormat="1" applyFont="1" applyBorder="1" applyAlignment="1">
      <alignment horizontal="center" vertical="center" wrapText="1"/>
    </xf>
    <xf numFmtId="0" fontId="5" fillId="5" borderId="4" xfId="0" applyFont="1" applyFill="1" applyBorder="1" applyAlignment="1">
      <alignment vertical="center" wrapText="1"/>
    </xf>
    <xf numFmtId="9" fontId="24" fillId="11" borderId="10" xfId="1" applyFont="1" applyFill="1" applyBorder="1" applyAlignment="1">
      <alignment horizontal="center" vertical="center" wrapText="1"/>
    </xf>
    <xf numFmtId="0" fontId="26" fillId="0" borderId="32" xfId="0" applyFont="1" applyBorder="1" applyAlignment="1" applyProtection="1">
      <alignment horizontal="center" vertical="center" wrapText="1"/>
      <protection locked="0"/>
    </xf>
    <xf numFmtId="1" fontId="24" fillId="0" borderId="18" xfId="1" applyNumberFormat="1" applyFont="1" applyBorder="1" applyAlignment="1">
      <alignment horizontal="center" vertical="center" wrapText="1"/>
    </xf>
    <xf numFmtId="0" fontId="24" fillId="0" borderId="46" xfId="0" applyFont="1" applyBorder="1" applyAlignment="1">
      <alignment horizontal="center" vertical="center" wrapText="1"/>
    </xf>
    <xf numFmtId="0" fontId="5" fillId="5" borderId="58" xfId="0" applyFont="1" applyFill="1" applyBorder="1" applyAlignment="1">
      <alignment vertical="center" wrapText="1"/>
    </xf>
    <xf numFmtId="1" fontId="24" fillId="0" borderId="22" xfId="1" applyNumberFormat="1" applyFont="1" applyBorder="1" applyAlignment="1">
      <alignment horizontal="center" vertical="center" wrapText="1"/>
    </xf>
    <xf numFmtId="0" fontId="24" fillId="0" borderId="48" xfId="0" applyFont="1" applyBorder="1" applyAlignment="1">
      <alignment horizontal="center" vertical="center" wrapText="1"/>
    </xf>
    <xf numFmtId="0" fontId="5" fillId="5" borderId="60" xfId="0" applyFont="1" applyFill="1" applyBorder="1" applyAlignment="1">
      <alignment vertical="center" wrapText="1"/>
    </xf>
    <xf numFmtId="0" fontId="2" fillId="14" borderId="2" xfId="0" applyFont="1" applyFill="1" applyBorder="1" applyAlignment="1">
      <alignment horizontal="center" vertical="center"/>
    </xf>
    <xf numFmtId="1" fontId="2" fillId="14" borderId="5" xfId="0" applyNumberFormat="1" applyFont="1" applyFill="1" applyBorder="1" applyAlignment="1">
      <alignment horizontal="center" vertical="center"/>
    </xf>
    <xf numFmtId="0" fontId="0" fillId="14" borderId="6" xfId="0" applyFill="1" applyBorder="1"/>
    <xf numFmtId="0" fontId="0" fillId="14" borderId="65" xfId="0" applyFill="1" applyBorder="1"/>
    <xf numFmtId="0" fontId="0" fillId="14" borderId="56" xfId="0" applyFill="1" applyBorder="1"/>
    <xf numFmtId="0" fontId="0" fillId="14" borderId="57" xfId="0" applyFill="1" applyBorder="1"/>
    <xf numFmtId="0" fontId="0" fillId="14" borderId="67" xfId="0" applyFill="1" applyBorder="1"/>
    <xf numFmtId="0" fontId="0" fillId="14" borderId="5" xfId="0" applyFill="1" applyBorder="1"/>
    <xf numFmtId="9" fontId="0" fillId="14" borderId="7" xfId="0" applyNumberFormat="1" applyFill="1" applyBorder="1"/>
    <xf numFmtId="9" fontId="0" fillId="14" borderId="6" xfId="0" applyNumberFormat="1" applyFill="1" applyBorder="1"/>
    <xf numFmtId="0" fontId="0" fillId="14" borderId="35" xfId="0" applyFill="1" applyBorder="1"/>
    <xf numFmtId="0" fontId="2" fillId="23" borderId="0" xfId="0" applyFont="1" applyFill="1" applyAlignment="1">
      <alignment horizontal="center"/>
    </xf>
    <xf numFmtId="0" fontId="2" fillId="0" borderId="0" xfId="0" applyFont="1"/>
    <xf numFmtId="165" fontId="10" fillId="0" borderId="17" xfId="1" applyNumberFormat="1" applyFont="1" applyBorder="1" applyAlignment="1" applyProtection="1">
      <alignment horizontal="center" vertical="center" wrapText="1"/>
      <protection locked="0"/>
    </xf>
    <xf numFmtId="165" fontId="10" fillId="0" borderId="21" xfId="1" applyNumberFormat="1" applyFont="1" applyBorder="1" applyAlignment="1" applyProtection="1">
      <alignment horizontal="center" vertical="center" wrapText="1"/>
      <protection locked="0"/>
    </xf>
    <xf numFmtId="165" fontId="10" fillId="0" borderId="23" xfId="1" applyNumberFormat="1" applyFont="1" applyBorder="1" applyAlignment="1" applyProtection="1">
      <alignment horizontal="center" vertical="center" wrapText="1"/>
      <protection locked="0"/>
    </xf>
    <xf numFmtId="0" fontId="32" fillId="3" borderId="0" xfId="0" applyFont="1" applyFill="1" applyAlignment="1" applyProtection="1">
      <alignment vertical="center" wrapText="1"/>
      <protection locked="0"/>
    </xf>
    <xf numFmtId="0" fontId="28" fillId="0" borderId="1" xfId="0" applyFont="1" applyBorder="1" applyProtection="1">
      <protection locked="0"/>
    </xf>
    <xf numFmtId="0" fontId="15" fillId="0" borderId="10" xfId="0" applyFont="1" applyBorder="1" applyProtection="1">
      <protection locked="0"/>
    </xf>
    <xf numFmtId="0" fontId="10" fillId="3" borderId="0" xfId="0" applyFont="1" applyFill="1" applyAlignment="1" applyProtection="1">
      <alignment vertical="center" wrapText="1"/>
      <protection locked="0"/>
    </xf>
    <xf numFmtId="0" fontId="26" fillId="0" borderId="52" xfId="0" applyFont="1" applyBorder="1" applyAlignment="1" applyProtection="1">
      <alignment horizontal="center" vertical="center" wrapText="1"/>
      <protection locked="0"/>
    </xf>
    <xf numFmtId="0" fontId="26" fillId="0" borderId="51" xfId="0" applyFont="1" applyBorder="1" applyAlignment="1" applyProtection="1">
      <alignment horizontal="center" vertical="center" wrapText="1"/>
      <protection locked="0"/>
    </xf>
    <xf numFmtId="165" fontId="26" fillId="0" borderId="46" xfId="0" applyNumberFormat="1" applyFont="1" applyBorder="1" applyAlignment="1" applyProtection="1">
      <alignment horizontal="center" vertical="center" wrapText="1"/>
      <protection locked="0"/>
    </xf>
    <xf numFmtId="0" fontId="26" fillId="0" borderId="48" xfId="0" applyFont="1" applyBorder="1" applyAlignment="1" applyProtection="1">
      <alignment horizontal="center" vertical="center" wrapText="1"/>
      <protection locked="0"/>
    </xf>
    <xf numFmtId="165" fontId="23" fillId="0" borderId="17" xfId="1" applyNumberFormat="1" applyFont="1" applyBorder="1" applyAlignment="1" applyProtection="1">
      <alignment horizontal="center" vertical="center" wrapText="1"/>
      <protection locked="0"/>
    </xf>
    <xf numFmtId="165" fontId="23" fillId="0" borderId="19" xfId="1" applyNumberFormat="1" applyFont="1" applyBorder="1" applyAlignment="1" applyProtection="1">
      <alignment horizontal="center" vertical="center" wrapText="1"/>
      <protection locked="0"/>
    </xf>
    <xf numFmtId="165" fontId="23" fillId="0" borderId="21" xfId="1" applyNumberFormat="1" applyFont="1" applyBorder="1" applyAlignment="1" applyProtection="1">
      <alignment horizontal="center" vertical="center" wrapText="1"/>
      <protection locked="0"/>
    </xf>
    <xf numFmtId="165" fontId="23" fillId="0" borderId="23" xfId="1" applyNumberFormat="1" applyFont="1" applyBorder="1" applyAlignment="1" applyProtection="1">
      <alignment horizontal="center" vertical="center" wrapText="1"/>
      <protection locked="0"/>
    </xf>
    <xf numFmtId="165" fontId="4" fillId="0" borderId="54" xfId="1" applyNumberFormat="1" applyFont="1" applyBorder="1" applyAlignment="1" applyProtection="1">
      <alignment horizontal="center" vertical="center" wrapText="1"/>
      <protection locked="0"/>
    </xf>
    <xf numFmtId="165" fontId="4" fillId="0" borderId="74" xfId="1" applyNumberFormat="1" applyFont="1" applyBorder="1" applyAlignment="1" applyProtection="1">
      <alignment horizontal="center" vertical="center" wrapText="1"/>
      <protection locked="0"/>
    </xf>
    <xf numFmtId="165" fontId="4" fillId="0" borderId="38" xfId="1" applyNumberFormat="1" applyFont="1" applyBorder="1" applyAlignment="1" applyProtection="1">
      <alignment horizontal="center" vertical="center" wrapText="1"/>
      <protection locked="0"/>
    </xf>
    <xf numFmtId="165" fontId="4" fillId="0" borderId="39" xfId="1" applyNumberFormat="1" applyFont="1" applyBorder="1" applyAlignment="1" applyProtection="1">
      <alignment horizontal="center" vertical="center" wrapText="1"/>
      <protection locked="0"/>
    </xf>
    <xf numFmtId="165" fontId="23" fillId="0" borderId="17" xfId="0" applyNumberFormat="1" applyFont="1" applyBorder="1" applyAlignment="1" applyProtection="1">
      <alignment horizontal="center" vertical="center" wrapText="1"/>
      <protection locked="0"/>
    </xf>
    <xf numFmtId="165" fontId="23" fillId="0" borderId="19" xfId="0" applyNumberFormat="1" applyFont="1" applyBorder="1" applyAlignment="1" applyProtection="1">
      <alignment horizontal="center" vertical="center" wrapText="1"/>
      <protection locked="0"/>
    </xf>
    <xf numFmtId="0" fontId="10" fillId="3" borderId="0" xfId="0" applyFont="1" applyFill="1" applyAlignment="1">
      <alignment vertical="center" wrapText="1"/>
    </xf>
    <xf numFmtId="165" fontId="23" fillId="0" borderId="36" xfId="0" applyNumberFormat="1" applyFont="1" applyBorder="1" applyAlignment="1" applyProtection="1">
      <alignment horizontal="center" vertical="center" wrapText="1"/>
      <protection locked="0"/>
    </xf>
    <xf numFmtId="0" fontId="10" fillId="3" borderId="75" xfId="0" applyFont="1" applyFill="1" applyBorder="1" applyAlignment="1">
      <alignment vertical="center" wrapText="1"/>
    </xf>
    <xf numFmtId="0" fontId="10" fillId="3" borderId="76" xfId="0" applyFont="1" applyFill="1" applyBorder="1" applyAlignment="1">
      <alignment vertical="center" wrapText="1"/>
    </xf>
    <xf numFmtId="165" fontId="23" fillId="0" borderId="50" xfId="0" applyNumberFormat="1" applyFont="1" applyBorder="1" applyAlignment="1" applyProtection="1">
      <alignment horizontal="center" vertical="center" wrapText="1"/>
      <protection locked="0"/>
    </xf>
    <xf numFmtId="165" fontId="23" fillId="0" borderId="52" xfId="0" applyNumberFormat="1" applyFont="1" applyBorder="1" applyAlignment="1" applyProtection="1">
      <alignment horizontal="center" vertical="center" wrapText="1"/>
      <protection locked="0"/>
    </xf>
    <xf numFmtId="0" fontId="10" fillId="3" borderId="2" xfId="0" applyFont="1" applyFill="1" applyBorder="1" applyAlignment="1">
      <alignment vertical="center" wrapText="1"/>
    </xf>
    <xf numFmtId="0" fontId="10" fillId="3" borderId="4" xfId="0" applyFont="1" applyFill="1" applyBorder="1" applyAlignment="1">
      <alignment vertical="center" wrapText="1"/>
    </xf>
    <xf numFmtId="0" fontId="33" fillId="2" borderId="16" xfId="0" applyFont="1" applyFill="1" applyBorder="1" applyAlignment="1">
      <alignment vertical="center" wrapText="1"/>
    </xf>
    <xf numFmtId="0" fontId="33" fillId="2" borderId="7" xfId="0" applyFont="1" applyFill="1" applyBorder="1" applyAlignment="1">
      <alignment vertical="center" wrapText="1"/>
    </xf>
    <xf numFmtId="0" fontId="10" fillId="3" borderId="3" xfId="0" applyFont="1" applyFill="1" applyBorder="1" applyAlignment="1">
      <alignment vertical="center" wrapText="1"/>
    </xf>
    <xf numFmtId="0" fontId="33" fillId="3" borderId="3" xfId="0" applyFont="1" applyFill="1" applyBorder="1" applyAlignment="1">
      <alignment vertical="center" wrapText="1"/>
    </xf>
    <xf numFmtId="0" fontId="10" fillId="12" borderId="72" xfId="0" applyFont="1" applyFill="1" applyBorder="1" applyAlignment="1">
      <alignment horizontal="center" vertical="center" wrapText="1"/>
    </xf>
    <xf numFmtId="0" fontId="10" fillId="12" borderId="69" xfId="0" applyFont="1" applyFill="1" applyBorder="1" applyAlignment="1">
      <alignment horizontal="center" vertical="center" wrapText="1"/>
    </xf>
    <xf numFmtId="0" fontId="10" fillId="3" borderId="44" xfId="0" applyFont="1" applyFill="1" applyBorder="1" applyAlignment="1">
      <alignment vertical="center" wrapText="1"/>
    </xf>
    <xf numFmtId="0" fontId="33" fillId="2" borderId="6" xfId="0" applyFont="1" applyFill="1" applyBorder="1" applyAlignment="1">
      <alignment vertical="center" wrapText="1"/>
    </xf>
    <xf numFmtId="0" fontId="10" fillId="3" borderId="6" xfId="0" applyFont="1" applyFill="1" applyBorder="1" applyAlignment="1">
      <alignment vertical="center" wrapText="1"/>
    </xf>
    <xf numFmtId="0" fontId="53" fillId="11" borderId="1" xfId="0" applyFont="1" applyFill="1" applyBorder="1" applyAlignment="1">
      <alignment vertical="top" wrapText="1"/>
    </xf>
    <xf numFmtId="0" fontId="0" fillId="11" borderId="1" xfId="0" applyFill="1" applyBorder="1"/>
    <xf numFmtId="2" fontId="53" fillId="11" borderId="1" xfId="0" applyNumberFormat="1" applyFont="1" applyFill="1" applyBorder="1" applyAlignment="1">
      <alignment vertical="top" wrapText="1"/>
    </xf>
    <xf numFmtId="165" fontId="23" fillId="0" borderId="51" xfId="0" applyNumberFormat="1" applyFont="1" applyBorder="1" applyAlignment="1" applyProtection="1">
      <alignment horizontal="center" vertical="center" wrapText="1"/>
      <protection locked="0"/>
    </xf>
    <xf numFmtId="0" fontId="33" fillId="2" borderId="2" xfId="0" applyFont="1" applyFill="1" applyBorder="1" applyAlignment="1">
      <alignment vertical="center" wrapText="1"/>
    </xf>
    <xf numFmtId="0" fontId="33" fillId="2" borderId="4" xfId="0" applyFont="1" applyFill="1" applyBorder="1" applyAlignment="1">
      <alignment vertical="center" wrapText="1"/>
    </xf>
    <xf numFmtId="0" fontId="10" fillId="3" borderId="42" xfId="0" applyFont="1" applyFill="1" applyBorder="1" applyAlignment="1">
      <alignment vertical="center" wrapText="1"/>
    </xf>
    <xf numFmtId="0" fontId="10" fillId="3" borderId="45" xfId="0" applyFont="1" applyFill="1" applyBorder="1" applyAlignment="1">
      <alignment vertical="center" wrapText="1"/>
    </xf>
    <xf numFmtId="165" fontId="23" fillId="0" borderId="74" xfId="0" applyNumberFormat="1" applyFont="1" applyBorder="1" applyAlignment="1" applyProtection="1">
      <alignment horizontal="center" vertical="center" wrapText="1"/>
      <protection locked="0"/>
    </xf>
    <xf numFmtId="0" fontId="10" fillId="3" borderId="43" xfId="0" applyFont="1" applyFill="1" applyBorder="1" applyAlignment="1">
      <alignment vertical="center" wrapText="1"/>
    </xf>
    <xf numFmtId="0" fontId="10" fillId="3" borderId="9" xfId="0" applyFont="1" applyFill="1" applyBorder="1" applyAlignment="1">
      <alignment vertical="center" wrapText="1"/>
    </xf>
    <xf numFmtId="0" fontId="10" fillId="11" borderId="43" xfId="0" applyFont="1" applyFill="1" applyBorder="1" applyAlignment="1">
      <alignment vertical="center" wrapText="1"/>
    </xf>
    <xf numFmtId="0" fontId="10" fillId="11" borderId="9" xfId="0" applyFont="1" applyFill="1" applyBorder="1" applyAlignment="1">
      <alignment vertical="center" wrapText="1"/>
    </xf>
    <xf numFmtId="165" fontId="26" fillId="0" borderId="21" xfId="1" applyNumberFormat="1" applyFont="1" applyBorder="1" applyAlignment="1" applyProtection="1">
      <alignment horizontal="center" vertical="center" wrapText="1"/>
      <protection locked="0"/>
    </xf>
    <xf numFmtId="165" fontId="26" fillId="0" borderId="23" xfId="1" applyNumberFormat="1" applyFont="1" applyBorder="1" applyAlignment="1" applyProtection="1">
      <alignment horizontal="center" vertical="center" wrapText="1"/>
      <protection locked="0"/>
    </xf>
    <xf numFmtId="0" fontId="15" fillId="0" borderId="34" xfId="0" applyFont="1" applyBorder="1" applyAlignment="1" applyProtection="1">
      <alignment vertical="center" wrapText="1"/>
      <protection locked="0"/>
    </xf>
    <xf numFmtId="0" fontId="28" fillId="0" borderId="1" xfId="0" applyFont="1" applyBorder="1" applyAlignment="1" applyProtection="1">
      <alignment wrapText="1"/>
      <protection locked="0"/>
    </xf>
    <xf numFmtId="0" fontId="26" fillId="30" borderId="23" xfId="0" applyFont="1" applyFill="1" applyBorder="1" applyAlignment="1" applyProtection="1">
      <alignment horizontal="center" vertical="center" wrapText="1"/>
      <protection locked="0"/>
    </xf>
    <xf numFmtId="0" fontId="26" fillId="30" borderId="50" xfId="0" applyFont="1" applyFill="1" applyBorder="1" applyAlignment="1" applyProtection="1">
      <alignment horizontal="center" vertical="center" wrapText="1"/>
      <protection locked="0"/>
    </xf>
    <xf numFmtId="0" fontId="26" fillId="30" borderId="52" xfId="0" applyFont="1" applyFill="1" applyBorder="1" applyAlignment="1" applyProtection="1">
      <alignment horizontal="center" vertical="center" wrapText="1"/>
      <protection locked="0"/>
    </xf>
    <xf numFmtId="0" fontId="26" fillId="30" borderId="19" xfId="0" applyFont="1" applyFill="1" applyBorder="1" applyAlignment="1" applyProtection="1">
      <alignment horizontal="center" vertical="center" wrapText="1"/>
      <protection locked="0"/>
    </xf>
    <xf numFmtId="1" fontId="10" fillId="12" borderId="72" xfId="0" applyNumberFormat="1" applyFont="1" applyFill="1" applyBorder="1" applyAlignment="1">
      <alignment horizontal="center" vertical="center" wrapText="1"/>
    </xf>
    <xf numFmtId="0" fontId="10" fillId="3" borderId="3" xfId="0" applyFont="1" applyFill="1" applyBorder="1" applyAlignment="1">
      <alignment horizontal="center" vertical="center" wrapText="1"/>
    </xf>
    <xf numFmtId="0" fontId="26" fillId="30" borderId="20" xfId="0" applyFont="1" applyFill="1" applyBorder="1" applyAlignment="1" applyProtection="1">
      <alignment horizontal="center" vertical="center" wrapText="1"/>
      <protection locked="0"/>
    </xf>
    <xf numFmtId="4" fontId="24" fillId="12" borderId="19" xfId="0" applyNumberFormat="1" applyFont="1" applyFill="1" applyBorder="1" applyAlignment="1">
      <alignment horizontal="center" vertical="center" wrapText="1"/>
    </xf>
    <xf numFmtId="4" fontId="24" fillId="12" borderId="20" xfId="0" applyNumberFormat="1" applyFont="1" applyFill="1" applyBorder="1" applyAlignment="1">
      <alignment horizontal="center" vertical="center" wrapText="1"/>
    </xf>
    <xf numFmtId="165" fontId="26" fillId="30" borderId="21" xfId="0" applyNumberFormat="1" applyFont="1" applyFill="1" applyBorder="1" applyAlignment="1" applyProtection="1">
      <alignment horizontal="center" vertical="center" wrapText="1"/>
      <protection locked="0"/>
    </xf>
    <xf numFmtId="165" fontId="26" fillId="30" borderId="23" xfId="0" applyNumberFormat="1" applyFont="1" applyFill="1" applyBorder="1" applyAlignment="1" applyProtection="1">
      <alignment horizontal="center" vertical="center" wrapText="1"/>
      <protection locked="0"/>
    </xf>
    <xf numFmtId="4" fontId="24" fillId="12" borderId="23" xfId="0" applyNumberFormat="1" applyFont="1" applyFill="1" applyBorder="1" applyAlignment="1">
      <alignment horizontal="center" vertical="center" wrapText="1"/>
    </xf>
    <xf numFmtId="0" fontId="15" fillId="12" borderId="11" xfId="0" applyFont="1" applyFill="1" applyBorder="1" applyAlignment="1" applyProtection="1">
      <alignment horizontal="left" vertical="center" wrapText="1"/>
      <protection locked="0"/>
    </xf>
    <xf numFmtId="0" fontId="10" fillId="3" borderId="16" xfId="0" applyFont="1" applyFill="1" applyBorder="1" applyAlignment="1">
      <alignment vertical="center" wrapText="1"/>
    </xf>
    <xf numFmtId="0" fontId="10" fillId="3" borderId="7" xfId="0" applyFont="1" applyFill="1" applyBorder="1" applyAlignment="1">
      <alignment vertical="center" wrapText="1"/>
    </xf>
    <xf numFmtId="165" fontId="26" fillId="30" borderId="15" xfId="0" applyNumberFormat="1" applyFont="1" applyFill="1" applyBorder="1" applyAlignment="1" applyProtection="1">
      <alignment horizontal="center" vertical="center" wrapText="1"/>
      <protection locked="0"/>
    </xf>
    <xf numFmtId="165" fontId="26" fillId="30" borderId="20" xfId="0" applyNumberFormat="1" applyFont="1" applyFill="1" applyBorder="1" applyAlignment="1" applyProtection="1">
      <alignment horizontal="center" vertical="center" wrapText="1"/>
      <protection locked="0"/>
    </xf>
    <xf numFmtId="165" fontId="26" fillId="30" borderId="46" xfId="0" applyNumberFormat="1" applyFont="1" applyFill="1" applyBorder="1" applyAlignment="1" applyProtection="1">
      <alignment horizontal="center" vertical="center" wrapText="1"/>
      <protection locked="0"/>
    </xf>
    <xf numFmtId="0" fontId="26" fillId="0" borderId="47" xfId="0" applyFont="1" applyBorder="1" applyAlignment="1" applyProtection="1">
      <alignment horizontal="center" vertical="center" wrapText="1"/>
      <protection locked="0"/>
    </xf>
    <xf numFmtId="0" fontId="43" fillId="0" borderId="1" xfId="0" applyFont="1" applyBorder="1" applyAlignment="1" applyProtection="1">
      <alignment vertical="center" wrapText="1"/>
      <protection locked="0"/>
    </xf>
    <xf numFmtId="1" fontId="25" fillId="0" borderId="15" xfId="0" applyNumberFormat="1" applyFont="1" applyBorder="1" applyAlignment="1" applyProtection="1">
      <alignment horizontal="center" vertical="center" wrapText="1"/>
      <protection locked="0"/>
    </xf>
    <xf numFmtId="0" fontId="25" fillId="0" borderId="20" xfId="0" applyFont="1" applyBorder="1" applyAlignment="1" applyProtection="1">
      <alignment horizontal="center" vertical="center" wrapText="1"/>
      <protection locked="0"/>
    </xf>
    <xf numFmtId="0" fontId="26" fillId="0" borderId="11" xfId="0" applyFont="1" applyBorder="1" applyAlignment="1" applyProtection="1">
      <alignment horizontal="center" vertical="center" wrapText="1"/>
      <protection locked="0"/>
    </xf>
    <xf numFmtId="0" fontId="25" fillId="0" borderId="50" xfId="0" applyFont="1" applyBorder="1" applyAlignment="1" applyProtection="1">
      <alignment horizontal="center" vertical="center" wrapText="1"/>
      <protection locked="0"/>
    </xf>
    <xf numFmtId="0" fontId="55" fillId="0" borderId="36" xfId="0" applyFont="1" applyBorder="1" applyAlignment="1" applyProtection="1">
      <alignment horizontal="center" vertical="center" wrapText="1"/>
      <protection locked="0"/>
    </xf>
    <xf numFmtId="0" fontId="26" fillId="0" borderId="74" xfId="0" applyFont="1" applyBorder="1" applyAlignment="1" applyProtection="1">
      <alignment horizontal="center" vertical="center" wrapText="1"/>
      <protection locked="0"/>
    </xf>
    <xf numFmtId="0" fontId="26" fillId="0" borderId="46" xfId="0" applyFont="1" applyBorder="1" applyAlignment="1" applyProtection="1">
      <alignment horizontal="center" vertical="center" wrapText="1"/>
      <protection locked="0"/>
    </xf>
    <xf numFmtId="165" fontId="10" fillId="25" borderId="54" xfId="1" applyNumberFormat="1" applyFont="1" applyFill="1" applyBorder="1" applyAlignment="1" applyProtection="1">
      <alignment horizontal="center" vertical="center" wrapText="1"/>
      <protection locked="0"/>
    </xf>
    <xf numFmtId="165" fontId="10" fillId="25" borderId="38" xfId="1" applyNumberFormat="1" applyFont="1" applyFill="1" applyBorder="1" applyAlignment="1" applyProtection="1">
      <alignment horizontal="center" vertical="center" wrapText="1"/>
      <protection locked="0"/>
    </xf>
    <xf numFmtId="165" fontId="10" fillId="25" borderId="39" xfId="1" applyNumberFormat="1" applyFont="1" applyFill="1" applyBorder="1" applyAlignment="1" applyProtection="1">
      <alignment horizontal="center" vertical="center" wrapText="1"/>
      <protection locked="0"/>
    </xf>
    <xf numFmtId="10" fontId="26" fillId="0" borderId="17" xfId="0" applyNumberFormat="1" applyFont="1" applyBorder="1" applyAlignment="1" applyProtection="1">
      <alignment horizontal="center" vertical="center" wrapText="1"/>
      <protection locked="0"/>
    </xf>
    <xf numFmtId="10" fontId="26" fillId="25" borderId="19" xfId="0" applyNumberFormat="1" applyFont="1" applyFill="1" applyBorder="1" applyAlignment="1" applyProtection="1">
      <alignment horizontal="center" vertical="center" wrapText="1"/>
      <protection locked="0"/>
    </xf>
    <xf numFmtId="10" fontId="26" fillId="0" borderId="15" xfId="0" applyNumberFormat="1" applyFont="1" applyBorder="1" applyAlignment="1" applyProtection="1">
      <alignment horizontal="center" vertical="center" wrapText="1"/>
      <protection locked="0"/>
    </xf>
    <xf numFmtId="10" fontId="26" fillId="25" borderId="20" xfId="0" applyNumberFormat="1" applyFont="1" applyFill="1" applyBorder="1" applyAlignment="1" applyProtection="1">
      <alignment horizontal="center" vertical="center" wrapText="1"/>
      <protection locked="0"/>
    </xf>
    <xf numFmtId="10" fontId="26" fillId="0" borderId="19" xfId="0" applyNumberFormat="1" applyFont="1" applyBorder="1" applyAlignment="1" applyProtection="1">
      <alignment horizontal="center" vertical="center" wrapText="1"/>
      <protection locked="0"/>
    </xf>
    <xf numFmtId="0" fontId="15" fillId="0" borderId="34" xfId="0" applyFont="1" applyBorder="1" applyAlignment="1" applyProtection="1">
      <alignment horizontal="left" vertical="top" wrapText="1"/>
      <protection locked="0"/>
    </xf>
    <xf numFmtId="165" fontId="26" fillId="25" borderId="50" xfId="0" applyNumberFormat="1" applyFont="1" applyFill="1" applyBorder="1" applyAlignment="1" applyProtection="1">
      <alignment horizontal="center" vertical="center" wrapText="1"/>
      <protection locked="0"/>
    </xf>
    <xf numFmtId="165" fontId="26" fillId="25" borderId="36" xfId="0" applyNumberFormat="1" applyFont="1" applyFill="1" applyBorder="1" applyAlignment="1" applyProtection="1">
      <alignment horizontal="center" vertical="center" wrapText="1"/>
      <protection locked="0"/>
    </xf>
    <xf numFmtId="10" fontId="26" fillId="25" borderId="50" xfId="0" applyNumberFormat="1" applyFont="1" applyFill="1" applyBorder="1" applyAlignment="1" applyProtection="1">
      <alignment horizontal="center" vertical="center" wrapText="1"/>
      <protection locked="0"/>
    </xf>
    <xf numFmtId="10" fontId="26" fillId="25" borderId="36" xfId="0" applyNumberFormat="1" applyFont="1" applyFill="1" applyBorder="1" applyAlignment="1" applyProtection="1">
      <alignment horizontal="center" vertical="center" wrapText="1"/>
      <protection locked="0"/>
    </xf>
    <xf numFmtId="2" fontId="26" fillId="0" borderId="54" xfId="0" applyNumberFormat="1" applyFont="1" applyBorder="1" applyAlignment="1" applyProtection="1">
      <alignment horizontal="center" vertical="center" wrapText="1"/>
      <protection locked="0"/>
    </xf>
    <xf numFmtId="2" fontId="26" fillId="0" borderId="12" xfId="0" applyNumberFormat="1" applyFont="1" applyBorder="1" applyAlignment="1" applyProtection="1">
      <alignment horizontal="center" vertical="center" wrapText="1"/>
      <protection locked="0"/>
    </xf>
    <xf numFmtId="0" fontId="24" fillId="25" borderId="17" xfId="0" applyFont="1" applyFill="1" applyBorder="1" applyAlignment="1" applyProtection="1">
      <alignment horizontal="center" vertical="center" wrapText="1"/>
      <protection locked="0"/>
    </xf>
    <xf numFmtId="0" fontId="24" fillId="25" borderId="19" xfId="0" applyFont="1" applyFill="1" applyBorder="1" applyAlignment="1" applyProtection="1">
      <alignment horizontal="center" vertical="center" wrapText="1"/>
      <protection locked="0"/>
    </xf>
    <xf numFmtId="1" fontId="25" fillId="25" borderId="15" xfId="0" applyNumberFormat="1" applyFont="1" applyFill="1" applyBorder="1" applyAlignment="1" applyProtection="1">
      <alignment horizontal="center" vertical="center" wrapText="1"/>
      <protection locked="0"/>
    </xf>
    <xf numFmtId="0" fontId="25" fillId="25" borderId="20" xfId="0" applyFont="1" applyFill="1" applyBorder="1" applyAlignment="1" applyProtection="1">
      <alignment horizontal="center" vertical="center" wrapText="1"/>
      <protection locked="0"/>
    </xf>
    <xf numFmtId="1" fontId="25" fillId="0" borderId="21" xfId="0" applyNumberFormat="1" applyFont="1" applyBorder="1" applyAlignment="1" applyProtection="1">
      <alignment horizontal="center" vertical="center" wrapText="1"/>
      <protection locked="0"/>
    </xf>
    <xf numFmtId="0" fontId="25" fillId="0" borderId="23" xfId="0" applyFont="1" applyBorder="1" applyAlignment="1" applyProtection="1">
      <alignment horizontal="center" vertical="center" wrapText="1"/>
      <protection locked="0"/>
    </xf>
    <xf numFmtId="0" fontId="26" fillId="25" borderId="51" xfId="0" applyFont="1" applyFill="1" applyBorder="1" applyAlignment="1" applyProtection="1">
      <alignment horizontal="center" vertical="center" wrapText="1"/>
      <protection locked="0"/>
    </xf>
    <xf numFmtId="165" fontId="26" fillId="30" borderId="54" xfId="0" applyNumberFormat="1" applyFont="1" applyFill="1" applyBorder="1" applyAlignment="1" applyProtection="1">
      <alignment horizontal="center" vertical="center" wrapText="1"/>
      <protection locked="0"/>
    </xf>
    <xf numFmtId="165" fontId="26" fillId="30" borderId="74" xfId="0" applyNumberFormat="1" applyFont="1" applyFill="1" applyBorder="1" applyAlignment="1" applyProtection="1">
      <alignment horizontal="center" vertical="center" wrapText="1"/>
      <protection locked="0"/>
    </xf>
    <xf numFmtId="165" fontId="25" fillId="0" borderId="23" xfId="0" applyNumberFormat="1" applyFont="1" applyBorder="1" applyAlignment="1" applyProtection="1">
      <alignment horizontal="center" vertical="center" wrapText="1"/>
      <protection locked="0"/>
    </xf>
    <xf numFmtId="2" fontId="17" fillId="24" borderId="6" xfId="0" applyNumberFormat="1" applyFont="1" applyFill="1" applyBorder="1"/>
    <xf numFmtId="0" fontId="26" fillId="3" borderId="43" xfId="0" applyFont="1" applyFill="1" applyBorder="1" applyAlignment="1">
      <alignment vertical="center" wrapText="1"/>
    </xf>
    <xf numFmtId="0" fontId="26" fillId="3" borderId="9" xfId="0" applyFont="1" applyFill="1" applyBorder="1" applyAlignment="1">
      <alignment vertical="center" wrapText="1"/>
    </xf>
    <xf numFmtId="0" fontId="26" fillId="3" borderId="70" xfId="0" applyFont="1" applyFill="1" applyBorder="1" applyAlignment="1">
      <alignment vertical="center" wrapText="1"/>
    </xf>
    <xf numFmtId="0" fontId="26" fillId="3" borderId="71" xfId="0" applyFont="1" applyFill="1" applyBorder="1" applyAlignment="1">
      <alignment vertical="center" wrapText="1"/>
    </xf>
    <xf numFmtId="165" fontId="22" fillId="12" borderId="51" xfId="0" applyNumberFormat="1" applyFont="1" applyFill="1" applyBorder="1" applyAlignment="1">
      <alignment horizontal="center" vertical="center" wrapText="1"/>
    </xf>
    <xf numFmtId="0" fontId="43" fillId="0" borderId="1" xfId="0" applyFont="1" applyBorder="1" applyAlignment="1" applyProtection="1">
      <alignment vertical="top" wrapText="1"/>
      <protection locked="0"/>
    </xf>
    <xf numFmtId="0" fontId="22" fillId="0" borderId="75" xfId="0" applyFont="1" applyBorder="1" applyAlignment="1">
      <alignment horizontal="center" vertical="center" wrapText="1"/>
    </xf>
    <xf numFmtId="0" fontId="42" fillId="0" borderId="1" xfId="0" applyFont="1" applyBorder="1" applyAlignment="1" applyProtection="1">
      <alignment vertical="top" wrapText="1"/>
      <protection locked="0"/>
    </xf>
    <xf numFmtId="0" fontId="55" fillId="12" borderId="50" xfId="0" applyFont="1" applyFill="1" applyBorder="1" applyAlignment="1" applyProtection="1">
      <alignment horizontal="center" vertical="center" wrapText="1"/>
      <protection locked="0"/>
    </xf>
    <xf numFmtId="0" fontId="40" fillId="12" borderId="36" xfId="0" applyFont="1" applyFill="1" applyBorder="1" applyAlignment="1" applyProtection="1">
      <alignment horizontal="center" vertical="center" wrapText="1"/>
      <protection locked="0"/>
    </xf>
    <xf numFmtId="0" fontId="22" fillId="12" borderId="51" xfId="0" applyFont="1" applyFill="1" applyBorder="1" applyAlignment="1">
      <alignment horizontal="center" vertical="center" wrapText="1"/>
    </xf>
    <xf numFmtId="0" fontId="26" fillId="30" borderId="56" xfId="0" applyFont="1" applyFill="1" applyBorder="1" applyAlignment="1" applyProtection="1">
      <alignment horizontal="center" vertical="center" wrapText="1"/>
      <protection locked="0"/>
    </xf>
    <xf numFmtId="0" fontId="26" fillId="30" borderId="57" xfId="0" applyFont="1" applyFill="1" applyBorder="1" applyAlignment="1" applyProtection="1">
      <alignment horizontal="center" vertical="center" wrapText="1"/>
      <protection locked="0"/>
    </xf>
    <xf numFmtId="0" fontId="22" fillId="0" borderId="51" xfId="0" applyFont="1" applyBorder="1" applyAlignment="1">
      <alignment horizontal="center" vertical="center" wrapText="1"/>
    </xf>
    <xf numFmtId="0" fontId="0" fillId="0" borderId="0" xfId="0" applyAlignment="1">
      <alignment horizontal="center" vertical="center" wrapText="1"/>
    </xf>
    <xf numFmtId="0" fontId="22" fillId="25" borderId="1" xfId="0" applyFont="1" applyFill="1" applyBorder="1" applyAlignment="1" applyProtection="1">
      <alignment horizontal="center" vertical="center" wrapText="1"/>
      <protection locked="0"/>
    </xf>
    <xf numFmtId="4" fontId="26" fillId="0" borderId="19" xfId="0" applyNumberFormat="1" applyFont="1" applyBorder="1" applyAlignment="1" applyProtection="1">
      <alignment horizontal="center" vertical="center" wrapText="1"/>
      <protection locked="0"/>
    </xf>
    <xf numFmtId="4" fontId="24" fillId="0" borderId="49" xfId="0" applyNumberFormat="1" applyFont="1" applyBorder="1" applyAlignment="1">
      <alignment horizontal="center" vertical="center" wrapText="1"/>
    </xf>
    <xf numFmtId="0" fontId="24" fillId="12" borderId="27" xfId="0" applyFont="1" applyFill="1" applyBorder="1" applyAlignment="1">
      <alignment horizontal="center" vertical="center" wrapText="1"/>
    </xf>
    <xf numFmtId="0" fontId="26" fillId="3" borderId="16" xfId="0" applyFont="1" applyFill="1" applyBorder="1" applyAlignment="1">
      <alignment vertical="center" wrapText="1"/>
    </xf>
    <xf numFmtId="0" fontId="26" fillId="3" borderId="7" xfId="0" applyFont="1" applyFill="1" applyBorder="1" applyAlignment="1">
      <alignment vertical="center" wrapText="1"/>
    </xf>
    <xf numFmtId="0" fontId="26" fillId="0" borderId="38" xfId="0" applyFont="1" applyBorder="1" applyAlignment="1" applyProtection="1">
      <alignment horizontal="center" vertical="center" wrapText="1"/>
      <protection locked="0"/>
    </xf>
    <xf numFmtId="0" fontId="26" fillId="0" borderId="55" xfId="0" applyFont="1" applyBorder="1" applyAlignment="1" applyProtection="1">
      <alignment horizontal="center" vertical="center" wrapText="1"/>
      <protection locked="0"/>
    </xf>
    <xf numFmtId="0" fontId="26" fillId="3" borderId="42" xfId="0" applyFont="1" applyFill="1" applyBorder="1" applyAlignment="1">
      <alignment vertical="center" wrapText="1"/>
    </xf>
    <xf numFmtId="0" fontId="26" fillId="3" borderId="45" xfId="0" applyFont="1" applyFill="1" applyBorder="1" applyAlignment="1">
      <alignment vertical="center" wrapText="1"/>
    </xf>
    <xf numFmtId="0" fontId="43" fillId="2" borderId="16" xfId="0" applyFont="1" applyFill="1" applyBorder="1" applyAlignment="1">
      <alignment vertical="center" wrapText="1"/>
    </xf>
    <xf numFmtId="0" fontId="43" fillId="2" borderId="7" xfId="0" applyFont="1" applyFill="1" applyBorder="1" applyAlignment="1">
      <alignment vertical="center" wrapText="1"/>
    </xf>
    <xf numFmtId="0" fontId="26" fillId="3" borderId="2" xfId="0" applyFont="1" applyFill="1" applyBorder="1" applyAlignment="1">
      <alignment vertical="center" wrapText="1"/>
    </xf>
    <xf numFmtId="0" fontId="26" fillId="3" borderId="4" xfId="0" applyFont="1" applyFill="1" applyBorder="1" applyAlignment="1">
      <alignment vertical="center" wrapText="1"/>
    </xf>
    <xf numFmtId="0" fontId="43" fillId="3" borderId="2" xfId="0" applyFont="1" applyFill="1" applyBorder="1" applyAlignment="1">
      <alignment vertical="center" wrapText="1"/>
    </xf>
    <xf numFmtId="0" fontId="43" fillId="3" borderId="4" xfId="0" applyFont="1" applyFill="1" applyBorder="1" applyAlignment="1">
      <alignment vertical="center" wrapText="1"/>
    </xf>
    <xf numFmtId="0" fontId="25" fillId="0" borderId="15" xfId="0" applyFont="1" applyBorder="1" applyAlignment="1" applyProtection="1">
      <alignment horizontal="center" vertical="center" wrapText="1"/>
      <protection locked="0"/>
    </xf>
    <xf numFmtId="0" fontId="40" fillId="0" borderId="15" xfId="0" applyFont="1" applyBorder="1" applyAlignment="1" applyProtection="1">
      <alignment horizontal="center" vertical="center" wrapText="1"/>
      <protection locked="0"/>
    </xf>
    <xf numFmtId="0" fontId="55" fillId="0" borderId="15" xfId="0" applyFont="1" applyBorder="1" applyAlignment="1" applyProtection="1">
      <alignment horizontal="center" vertical="center" wrapText="1"/>
      <protection locked="0"/>
    </xf>
    <xf numFmtId="0" fontId="55" fillId="0" borderId="20" xfId="0" applyFont="1" applyBorder="1" applyAlignment="1" applyProtection="1">
      <alignment horizontal="center" vertical="center" wrapText="1"/>
      <protection locked="0"/>
    </xf>
    <xf numFmtId="0" fontId="24" fillId="22" borderId="29" xfId="0" applyFont="1" applyFill="1" applyBorder="1" applyAlignment="1">
      <alignment vertical="center" wrapText="1"/>
    </xf>
    <xf numFmtId="0" fontId="24" fillId="22" borderId="30" xfId="0" applyFont="1" applyFill="1" applyBorder="1" applyAlignment="1">
      <alignment vertical="center" wrapText="1"/>
    </xf>
    <xf numFmtId="0" fontId="24" fillId="22" borderId="31" xfId="0" applyFont="1" applyFill="1" applyBorder="1" applyAlignment="1">
      <alignment vertical="center" wrapText="1"/>
    </xf>
    <xf numFmtId="0" fontId="0" fillId="11" borderId="0" xfId="0" applyFill="1" applyAlignment="1">
      <alignment vertical="top" wrapText="1"/>
    </xf>
    <xf numFmtId="0" fontId="0" fillId="11" borderId="5" xfId="0" applyFill="1" applyBorder="1" applyAlignment="1">
      <alignment vertical="top" wrapText="1"/>
    </xf>
    <xf numFmtId="0" fontId="0" fillId="11" borderId="1" xfId="0" applyFill="1" applyBorder="1" applyAlignment="1">
      <alignment vertical="top" wrapText="1"/>
    </xf>
    <xf numFmtId="0" fontId="43" fillId="2" borderId="2" xfId="0" applyFont="1" applyFill="1" applyBorder="1" applyAlignment="1">
      <alignment vertical="center" wrapText="1"/>
    </xf>
    <xf numFmtId="0" fontId="43" fillId="2" borderId="4" xfId="0" applyFont="1" applyFill="1" applyBorder="1" applyAlignment="1">
      <alignment vertical="center" wrapText="1"/>
    </xf>
    <xf numFmtId="0" fontId="26" fillId="11" borderId="16" xfId="0" applyFont="1" applyFill="1" applyBorder="1" applyAlignment="1">
      <alignment vertical="center" wrapText="1"/>
    </xf>
    <xf numFmtId="0" fontId="26" fillId="11" borderId="7" xfId="0" applyFont="1" applyFill="1" applyBorder="1" applyAlignment="1">
      <alignment vertical="center" wrapText="1"/>
    </xf>
    <xf numFmtId="2" fontId="40" fillId="0" borderId="50" xfId="0" applyNumberFormat="1" applyFont="1" applyBorder="1" applyAlignment="1" applyProtection="1">
      <alignment horizontal="center" vertical="center" wrapText="1"/>
      <protection locked="0"/>
    </xf>
    <xf numFmtId="0" fontId="40" fillId="0" borderId="36" xfId="0" applyFont="1" applyBorder="1" applyAlignment="1" applyProtection="1">
      <alignment horizontal="center" vertical="center" wrapText="1"/>
      <protection locked="0"/>
    </xf>
    <xf numFmtId="0" fontId="55" fillId="0" borderId="21" xfId="0" applyFont="1" applyBorder="1" applyAlignment="1" applyProtection="1">
      <alignment horizontal="center" vertical="center" wrapText="1"/>
      <protection locked="0"/>
    </xf>
    <xf numFmtId="0" fontId="40" fillId="0" borderId="23" xfId="0" applyFont="1" applyBorder="1" applyAlignment="1" applyProtection="1">
      <alignment horizontal="center" vertical="center" wrapText="1"/>
      <protection locked="0"/>
    </xf>
    <xf numFmtId="0" fontId="27" fillId="0" borderId="1" xfId="0" applyFont="1" applyBorder="1" applyAlignment="1" applyProtection="1">
      <alignment vertical="top" wrapText="1"/>
      <protection locked="0"/>
    </xf>
    <xf numFmtId="165" fontId="26" fillId="0" borderId="11" xfId="0" applyNumberFormat="1" applyFont="1" applyBorder="1" applyAlignment="1" applyProtection="1">
      <alignment horizontal="center" vertical="center" wrapText="1"/>
      <protection locked="0"/>
    </xf>
    <xf numFmtId="0" fontId="27" fillId="22" borderId="29" xfId="0" applyFont="1" applyFill="1" applyBorder="1" applyAlignment="1">
      <alignment vertical="center" wrapText="1"/>
    </xf>
    <xf numFmtId="0" fontId="27" fillId="22" borderId="30" xfId="0" applyFont="1" applyFill="1" applyBorder="1" applyAlignment="1">
      <alignment vertical="center" wrapText="1"/>
    </xf>
    <xf numFmtId="0" fontId="27" fillId="22" borderId="31" xfId="0" applyFont="1" applyFill="1" applyBorder="1" applyAlignment="1">
      <alignment vertical="center" wrapText="1"/>
    </xf>
    <xf numFmtId="0" fontId="24" fillId="8" borderId="30" xfId="0" applyFont="1" applyFill="1" applyBorder="1" applyAlignment="1">
      <alignment vertical="center" wrapText="1"/>
    </xf>
    <xf numFmtId="0" fontId="15" fillId="0" borderId="17" xfId="0" applyFont="1" applyBorder="1" applyAlignment="1" applyProtection="1">
      <alignment vertical="top" wrapText="1"/>
      <protection locked="0"/>
    </xf>
    <xf numFmtId="0" fontId="15" fillId="0" borderId="21" xfId="0" applyFont="1" applyBorder="1" applyAlignment="1" applyProtection="1">
      <alignment vertical="top" wrapText="1"/>
      <protection locked="0"/>
    </xf>
    <xf numFmtId="0" fontId="24" fillId="5" borderId="30" xfId="0" applyFont="1" applyFill="1" applyBorder="1" applyAlignment="1">
      <alignment vertical="center" wrapText="1"/>
    </xf>
    <xf numFmtId="0" fontId="22" fillId="0" borderId="32" xfId="0" applyFont="1" applyBorder="1" applyAlignment="1" applyProtection="1">
      <alignment vertical="top" wrapText="1"/>
      <protection locked="0"/>
    </xf>
    <xf numFmtId="0" fontId="22" fillId="0" borderId="1" xfId="0" applyFont="1" applyBorder="1" applyAlignment="1" applyProtection="1">
      <alignment vertical="top" wrapText="1"/>
      <protection locked="0"/>
    </xf>
    <xf numFmtId="0" fontId="24" fillId="16" borderId="61" xfId="0" applyFont="1" applyFill="1" applyBorder="1" applyAlignment="1">
      <alignment vertical="center" wrapText="1"/>
    </xf>
    <xf numFmtId="0" fontId="24" fillId="16" borderId="30" xfId="0" applyFont="1" applyFill="1" applyBorder="1" applyAlignment="1">
      <alignment vertical="center" wrapText="1"/>
    </xf>
    <xf numFmtId="0" fontId="22" fillId="16" borderId="30" xfId="0" applyFont="1" applyFill="1" applyBorder="1" applyAlignment="1">
      <alignment vertical="center" wrapText="1"/>
    </xf>
    <xf numFmtId="0" fontId="24" fillId="16" borderId="31" xfId="0" applyFont="1" applyFill="1" applyBorder="1" applyAlignment="1">
      <alignment vertical="center" wrapText="1"/>
    </xf>
    <xf numFmtId="0" fontId="41" fillId="0" borderId="29" xfId="0" applyFont="1" applyBorder="1" applyAlignment="1" applyProtection="1">
      <alignment vertical="top" wrapText="1"/>
      <protection locked="0"/>
    </xf>
    <xf numFmtId="0" fontId="41" fillId="0" borderId="30" xfId="0" applyFont="1" applyBorder="1" applyAlignment="1" applyProtection="1">
      <alignment horizontal="left" vertical="top" wrapText="1"/>
      <protection locked="0"/>
    </xf>
    <xf numFmtId="0" fontId="0" fillId="0" borderId="31" xfId="0" applyBorder="1" applyAlignment="1" applyProtection="1">
      <alignment vertical="top" wrapText="1"/>
      <protection locked="0"/>
    </xf>
    <xf numFmtId="0" fontId="27" fillId="25" borderId="17" xfId="0" applyFont="1" applyFill="1" applyBorder="1" applyAlignment="1" applyProtection="1">
      <alignment horizontal="center" vertical="center" wrapText="1"/>
      <protection locked="0"/>
    </xf>
    <xf numFmtId="0" fontId="0" fillId="25" borderId="34" xfId="0" applyFill="1" applyBorder="1" applyAlignment="1" applyProtection="1">
      <alignment vertical="top" wrapText="1"/>
      <protection locked="0"/>
    </xf>
    <xf numFmtId="0" fontId="15" fillId="25" borderId="53" xfId="0" applyFont="1" applyFill="1" applyBorder="1" applyAlignment="1" applyProtection="1">
      <alignment vertical="top" wrapText="1"/>
      <protection locked="0"/>
    </xf>
    <xf numFmtId="0" fontId="15" fillId="0" borderId="53" xfId="0" applyFont="1" applyBorder="1" applyProtection="1">
      <protection locked="0"/>
    </xf>
    <xf numFmtId="0" fontId="34" fillId="0" borderId="24" xfId="3" applyFont="1" applyBorder="1" applyProtection="1">
      <protection locked="0"/>
    </xf>
    <xf numFmtId="165" fontId="12" fillId="4" borderId="66" xfId="0" applyNumberFormat="1" applyFont="1" applyFill="1" applyBorder="1" applyAlignment="1">
      <alignment horizontal="center" vertical="center" wrapText="1"/>
    </xf>
    <xf numFmtId="165" fontId="12" fillId="4" borderId="37" xfId="0" applyNumberFormat="1" applyFont="1" applyFill="1" applyBorder="1" applyAlignment="1">
      <alignment horizontal="center" vertical="center" wrapText="1"/>
    </xf>
    <xf numFmtId="0" fontId="0" fillId="3" borderId="2" xfId="0" applyFill="1" applyBorder="1" applyAlignment="1">
      <alignment vertical="center" wrapText="1"/>
    </xf>
    <xf numFmtId="0" fontId="2" fillId="2" borderId="2" xfId="0" applyFont="1" applyFill="1" applyBorder="1" applyAlignment="1">
      <alignment vertical="center" wrapText="1"/>
    </xf>
    <xf numFmtId="165" fontId="23" fillId="4" borderId="16" xfId="0" applyNumberFormat="1" applyFont="1" applyFill="1" applyBorder="1" applyAlignment="1">
      <alignment horizontal="center" vertical="center" wrapText="1"/>
    </xf>
    <xf numFmtId="0" fontId="0" fillId="2" borderId="16" xfId="0" applyFill="1" applyBorder="1" applyAlignment="1" applyProtection="1">
      <alignment vertical="center" wrapText="1"/>
      <protection locked="0"/>
    </xf>
    <xf numFmtId="165" fontId="23" fillId="4" borderId="2" xfId="0" applyNumberFormat="1" applyFont="1" applyFill="1" applyBorder="1" applyAlignment="1">
      <alignment horizontal="center" vertical="center" wrapText="1"/>
    </xf>
    <xf numFmtId="0" fontId="3" fillId="3" borderId="75" xfId="0" applyFont="1" applyFill="1" applyBorder="1" applyAlignment="1">
      <alignment vertical="center" wrapText="1"/>
    </xf>
    <xf numFmtId="0" fontId="24" fillId="0" borderId="73" xfId="0" applyFont="1" applyBorder="1" applyAlignment="1">
      <alignment horizontal="center" vertical="center" wrapText="1"/>
    </xf>
    <xf numFmtId="0" fontId="24" fillId="0" borderId="63" xfId="0" applyFont="1" applyBorder="1" applyAlignment="1">
      <alignment horizontal="center" vertical="center" wrapText="1"/>
    </xf>
    <xf numFmtId="0" fontId="0" fillId="2" borderId="0" xfId="0" applyFill="1" applyBorder="1" applyAlignment="1">
      <alignment vertical="center" wrapText="1"/>
    </xf>
    <xf numFmtId="2" fontId="24" fillId="0" borderId="51" xfId="0" applyNumberFormat="1" applyFont="1" applyBorder="1" applyAlignment="1">
      <alignment horizontal="center" vertical="center" wrapText="1"/>
    </xf>
    <xf numFmtId="1" fontId="24" fillId="0" borderId="51" xfId="1" applyNumberFormat="1" applyFont="1" applyBorder="1" applyAlignment="1">
      <alignment horizontal="center" vertical="center" wrapText="1"/>
    </xf>
    <xf numFmtId="2" fontId="24" fillId="12" borderId="51" xfId="0" applyNumberFormat="1" applyFont="1" applyFill="1" applyBorder="1" applyAlignment="1">
      <alignment horizontal="center" vertical="center" wrapText="1"/>
    </xf>
    <xf numFmtId="2" fontId="24" fillId="12" borderId="77" xfId="0" applyNumberFormat="1" applyFont="1" applyFill="1" applyBorder="1" applyAlignment="1">
      <alignment horizontal="center" vertical="center" wrapText="1"/>
    </xf>
    <xf numFmtId="2" fontId="24" fillId="12" borderId="49" xfId="0" applyNumberFormat="1" applyFont="1" applyFill="1" applyBorder="1" applyAlignment="1">
      <alignment horizontal="center" vertical="center" wrapText="1"/>
    </xf>
    <xf numFmtId="4" fontId="26" fillId="25" borderId="19" xfId="0" applyNumberFormat="1" applyFont="1" applyFill="1" applyBorder="1" applyAlignment="1" applyProtection="1">
      <alignment horizontal="center" vertical="center" wrapText="1"/>
      <protection locked="0"/>
    </xf>
    <xf numFmtId="0" fontId="63" fillId="11" borderId="10" xfId="0" applyFont="1" applyFill="1" applyBorder="1" applyAlignment="1" applyProtection="1">
      <alignment vertical="center" wrapText="1"/>
    </xf>
    <xf numFmtId="0" fontId="24" fillId="10" borderId="61" xfId="0" applyFont="1" applyFill="1" applyBorder="1" applyAlignment="1" applyProtection="1">
      <alignment vertical="center" wrapText="1"/>
    </xf>
    <xf numFmtId="0" fontId="22" fillId="0" borderId="24" xfId="0" applyFont="1" applyFill="1" applyBorder="1" applyAlignment="1" applyProtection="1">
      <alignment vertical="center" wrapText="1"/>
    </xf>
    <xf numFmtId="0" fontId="22" fillId="0" borderId="26" xfId="0" applyFont="1" applyFill="1" applyBorder="1" applyAlignment="1" applyProtection="1">
      <alignment vertical="center" wrapText="1"/>
    </xf>
    <xf numFmtId="0" fontId="22" fillId="0" borderId="26" xfId="0" applyFont="1" applyBorder="1" applyAlignment="1" applyProtection="1">
      <alignment vertical="center" wrapText="1"/>
    </xf>
    <xf numFmtId="0" fontId="22" fillId="0" borderId="1" xfId="0" applyFont="1" applyBorder="1" applyAlignment="1" applyProtection="1">
      <alignment vertical="center"/>
    </xf>
    <xf numFmtId="0" fontId="5" fillId="12" borderId="1" xfId="0" applyFont="1" applyFill="1" applyBorder="1" applyAlignment="1" applyProtection="1">
      <alignment vertical="center" wrapText="1"/>
    </xf>
    <xf numFmtId="0" fontId="22" fillId="9" borderId="52" xfId="0" applyFont="1" applyFill="1" applyBorder="1" applyAlignment="1" applyProtection="1">
      <alignment vertical="center" wrapText="1"/>
    </xf>
    <xf numFmtId="0" fontId="24" fillId="9" borderId="32" xfId="0" applyFont="1" applyFill="1" applyBorder="1" applyAlignment="1" applyProtection="1">
      <alignment vertical="center" wrapText="1"/>
    </xf>
    <xf numFmtId="0" fontId="24" fillId="9" borderId="34" xfId="0" applyFont="1" applyFill="1" applyBorder="1" applyAlignment="1" applyProtection="1">
      <alignment vertical="center" wrapText="1"/>
    </xf>
    <xf numFmtId="9" fontId="63" fillId="11" borderId="41" xfId="1" applyFont="1" applyFill="1" applyBorder="1" applyAlignment="1" applyProtection="1">
      <alignment horizontal="center" vertical="center" wrapText="1"/>
    </xf>
    <xf numFmtId="0" fontId="24" fillId="9" borderId="33" xfId="0" applyFont="1" applyFill="1" applyBorder="1" applyAlignment="1" applyProtection="1">
      <alignment vertical="center" wrapText="1"/>
    </xf>
    <xf numFmtId="0" fontId="5" fillId="5" borderId="32" xfId="0" applyFont="1" applyFill="1" applyBorder="1" applyAlignment="1" applyProtection="1">
      <alignment vertical="center" wrapText="1"/>
    </xf>
    <xf numFmtId="0" fontId="5" fillId="5" borderId="34" xfId="0" applyFont="1" applyFill="1" applyBorder="1" applyAlignment="1" applyProtection="1">
      <alignment vertical="center" wrapText="1"/>
    </xf>
    <xf numFmtId="0" fontId="29" fillId="27" borderId="43" xfId="0" applyFont="1" applyFill="1" applyBorder="1" applyAlignment="1" applyProtection="1">
      <alignment horizontal="center"/>
      <protection locked="0"/>
    </xf>
    <xf numFmtId="0" fontId="29" fillId="27" borderId="0" xfId="0" applyFont="1" applyFill="1" applyBorder="1" applyAlignment="1" applyProtection="1">
      <alignment horizontal="center"/>
      <protection locked="0"/>
    </xf>
    <xf numFmtId="0" fontId="11" fillId="28" borderId="16" xfId="0" applyFont="1" applyFill="1" applyBorder="1" applyAlignment="1" applyProtection="1">
      <alignment vertical="center" wrapText="1"/>
    </xf>
    <xf numFmtId="0" fontId="11" fillId="28" borderId="6" xfId="0" applyFont="1" applyFill="1" applyBorder="1" applyAlignment="1" applyProtection="1">
      <alignment vertical="center" wrapText="1"/>
    </xf>
    <xf numFmtId="0" fontId="11" fillId="28" borderId="7" xfId="0" applyFont="1" applyFill="1" applyBorder="1" applyAlignment="1" applyProtection="1">
      <alignment vertical="center" wrapText="1"/>
    </xf>
    <xf numFmtId="0" fontId="11" fillId="2" borderId="2" xfId="0" applyFont="1" applyFill="1" applyBorder="1" applyAlignment="1" applyProtection="1">
      <alignment vertical="center" wrapText="1"/>
    </xf>
    <xf numFmtId="0" fontId="11" fillId="2" borderId="3" xfId="0" applyFont="1" applyFill="1" applyBorder="1" applyAlignment="1" applyProtection="1">
      <alignment vertical="center" wrapText="1"/>
    </xf>
    <xf numFmtId="0" fontId="11" fillId="2" borderId="4" xfId="0" applyFont="1" applyFill="1" applyBorder="1" applyAlignment="1" applyProtection="1">
      <alignment vertical="center" wrapText="1"/>
    </xf>
    <xf numFmtId="0" fontId="23" fillId="3" borderId="2" xfId="0" applyFont="1" applyFill="1" applyBorder="1" applyAlignment="1" applyProtection="1">
      <alignment vertical="center" wrapText="1"/>
    </xf>
    <xf numFmtId="0" fontId="23" fillId="3" borderId="44" xfId="0" applyFont="1" applyFill="1" applyBorder="1" applyAlignment="1" applyProtection="1">
      <alignment vertical="center" wrapText="1"/>
    </xf>
    <xf numFmtId="0" fontId="49" fillId="4" borderId="0" xfId="0" applyFont="1" applyFill="1" applyBorder="1" applyAlignment="1" applyProtection="1">
      <alignment horizontal="center" vertical="center" wrapText="1"/>
    </xf>
    <xf numFmtId="0" fontId="50" fillId="4" borderId="0" xfId="0" applyFont="1" applyFill="1" applyBorder="1" applyAlignment="1">
      <alignment vertical="center" wrapText="1"/>
    </xf>
    <xf numFmtId="0" fontId="8" fillId="0" borderId="0" xfId="0" applyFont="1" applyBorder="1" applyAlignment="1" applyProtection="1">
      <alignment horizontal="center" vertical="center"/>
      <protection locked="0"/>
    </xf>
    <xf numFmtId="0" fontId="22" fillId="0" borderId="42" xfId="0" applyFont="1" applyBorder="1" applyAlignment="1" applyProtection="1">
      <alignment vertical="center" wrapText="1"/>
    </xf>
    <xf numFmtId="0" fontId="22" fillId="0" borderId="43" xfId="0" applyFont="1" applyBorder="1" applyAlignment="1" applyProtection="1">
      <alignment vertical="center" wrapText="1"/>
    </xf>
    <xf numFmtId="0" fontId="22" fillId="0" borderId="16" xfId="0" applyFont="1" applyBorder="1" applyAlignment="1" applyProtection="1">
      <alignment vertical="center" wrapText="1"/>
    </xf>
    <xf numFmtId="0" fontId="22" fillId="0" borderId="15" xfId="0" applyFont="1" applyBorder="1" applyAlignment="1" applyProtection="1">
      <alignment vertical="center" wrapText="1"/>
    </xf>
    <xf numFmtId="0" fontId="22" fillId="0" borderId="21" xfId="0" applyFont="1" applyBorder="1" applyAlignment="1" applyProtection="1">
      <alignment vertical="center" wrapText="1"/>
    </xf>
    <xf numFmtId="9" fontId="24" fillId="6" borderId="10" xfId="1" applyFont="1" applyFill="1" applyBorder="1" applyAlignment="1" applyProtection="1">
      <alignment horizontal="center" vertical="center" wrapText="1"/>
    </xf>
    <xf numFmtId="9" fontId="24" fillId="6" borderId="8" xfId="1" applyFont="1" applyFill="1" applyBorder="1" applyAlignment="1" applyProtection="1">
      <alignment horizontal="center" vertical="center" wrapText="1"/>
    </xf>
    <xf numFmtId="9" fontId="24" fillId="6" borderId="5" xfId="1" applyFont="1" applyFill="1" applyBorder="1" applyAlignment="1" applyProtection="1">
      <alignment horizontal="center" vertical="center" wrapText="1"/>
    </xf>
    <xf numFmtId="0" fontId="22" fillId="0" borderId="24" xfId="0" applyFont="1" applyBorder="1" applyAlignment="1" applyProtection="1">
      <alignment horizontal="left" vertical="center" wrapText="1"/>
    </xf>
    <xf numFmtId="0" fontId="22" fillId="0" borderId="26" xfId="0" applyFont="1" applyBorder="1" applyAlignment="1" applyProtection="1">
      <alignment horizontal="left" vertical="center" wrapText="1"/>
    </xf>
    <xf numFmtId="9" fontId="22" fillId="11" borderId="32" xfId="1" applyFont="1" applyFill="1" applyBorder="1" applyAlignment="1" applyProtection="1">
      <alignment horizontal="center" vertical="center" wrapText="1"/>
    </xf>
    <xf numFmtId="9" fontId="22" fillId="11" borderId="34" xfId="1" applyFont="1" applyFill="1" applyBorder="1" applyAlignment="1" applyProtection="1">
      <alignment horizontal="center" vertical="center" wrapText="1"/>
    </xf>
    <xf numFmtId="0" fontId="22" fillId="0" borderId="24" xfId="0" applyFont="1" applyBorder="1" applyAlignment="1" applyProtection="1">
      <alignment vertical="center" wrapText="1"/>
    </xf>
    <xf numFmtId="0" fontId="15" fillId="0" borderId="26" xfId="0" applyFont="1" applyBorder="1" applyAlignment="1" applyProtection="1">
      <alignment vertical="center" wrapText="1"/>
    </xf>
    <xf numFmtId="9" fontId="24" fillId="4" borderId="10" xfId="1" applyFont="1" applyFill="1" applyBorder="1" applyAlignment="1" applyProtection="1">
      <alignment horizontal="center" vertical="center" wrapText="1"/>
    </xf>
    <xf numFmtId="9" fontId="24" fillId="4" borderId="5" xfId="1" applyFont="1" applyFill="1" applyBorder="1" applyAlignment="1" applyProtection="1">
      <alignment horizontal="center" vertical="center" wrapText="1"/>
    </xf>
    <xf numFmtId="0" fontId="23" fillId="3" borderId="6" xfId="0" applyFont="1" applyFill="1" applyBorder="1" applyAlignment="1" applyProtection="1">
      <alignment vertical="center" wrapText="1"/>
    </xf>
    <xf numFmtId="0" fontId="23" fillId="3" borderId="7" xfId="0" applyFont="1" applyFill="1" applyBorder="1" applyAlignment="1" applyProtection="1">
      <alignment vertical="center" wrapText="1"/>
    </xf>
    <xf numFmtId="0" fontId="24" fillId="0" borderId="32" xfId="0" applyFont="1" applyFill="1" applyBorder="1" applyAlignment="1" applyProtection="1">
      <alignment horizontal="left" vertical="center" wrapText="1"/>
    </xf>
    <xf numFmtId="0" fontId="24" fillId="0" borderId="33" xfId="0" applyFont="1" applyFill="1" applyBorder="1" applyAlignment="1" applyProtection="1">
      <alignment horizontal="left" vertical="center" wrapText="1"/>
    </xf>
    <xf numFmtId="0" fontId="24" fillId="0" borderId="34" xfId="0" applyFont="1" applyFill="1" applyBorder="1" applyAlignment="1" applyProtection="1">
      <alignment horizontal="left" vertical="center" wrapText="1"/>
    </xf>
    <xf numFmtId="9" fontId="22" fillId="11" borderId="10" xfId="1" applyFont="1" applyFill="1" applyBorder="1" applyAlignment="1" applyProtection="1">
      <alignment horizontal="center" vertical="center" wrapText="1"/>
    </xf>
    <xf numFmtId="9" fontId="22" fillId="11" borderId="8" xfId="1" applyFont="1" applyFill="1" applyBorder="1" applyAlignment="1" applyProtection="1">
      <alignment horizontal="center" vertical="center" wrapText="1"/>
    </xf>
    <xf numFmtId="9" fontId="22" fillId="11" borderId="5" xfId="1" applyFont="1" applyFill="1" applyBorder="1" applyAlignment="1" applyProtection="1">
      <alignment horizontal="center" vertical="center" wrapText="1"/>
    </xf>
    <xf numFmtId="0" fontId="23" fillId="3" borderId="3" xfId="0" applyFont="1" applyFill="1" applyBorder="1" applyAlignment="1" applyProtection="1">
      <alignment vertical="center" wrapText="1"/>
    </xf>
    <xf numFmtId="0" fontId="23" fillId="3" borderId="4" xfId="0" applyFont="1" applyFill="1" applyBorder="1" applyAlignment="1" applyProtection="1">
      <alignment vertical="center" wrapText="1"/>
    </xf>
    <xf numFmtId="0" fontId="24" fillId="0" borderId="32" xfId="0" applyFont="1" applyBorder="1" applyAlignment="1" applyProtection="1">
      <alignment horizontal="left" vertical="center" wrapText="1"/>
    </xf>
    <xf numFmtId="0" fontId="24" fillId="0" borderId="33" xfId="0" applyFont="1" applyBorder="1" applyAlignment="1" applyProtection="1">
      <alignment horizontal="left" vertical="center" wrapText="1"/>
    </xf>
    <xf numFmtId="0" fontId="15" fillId="0" borderId="33" xfId="0" applyFont="1" applyBorder="1" applyAlignment="1" applyProtection="1">
      <alignment horizontal="left" vertical="center" wrapText="1"/>
    </xf>
    <xf numFmtId="0" fontId="15" fillId="0" borderId="34" xfId="0" applyFont="1" applyBorder="1" applyAlignment="1" applyProtection="1">
      <alignment horizontal="left" vertical="center" wrapText="1"/>
    </xf>
    <xf numFmtId="0" fontId="15" fillId="0" borderId="8" xfId="0" applyFont="1" applyBorder="1" applyAlignment="1" applyProtection="1">
      <alignment horizontal="center" vertical="center" wrapText="1"/>
    </xf>
    <xf numFmtId="0" fontId="15" fillId="0" borderId="5" xfId="0" applyFont="1" applyBorder="1" applyAlignment="1" applyProtection="1">
      <alignment horizontal="center" vertical="center" wrapText="1"/>
    </xf>
    <xf numFmtId="0" fontId="24" fillId="0" borderId="33" xfId="0" applyFont="1" applyBorder="1" applyAlignment="1" applyProtection="1">
      <alignment vertical="center" wrapText="1"/>
    </xf>
    <xf numFmtId="0" fontId="15" fillId="0" borderId="33" xfId="0" applyFont="1" applyBorder="1" applyAlignment="1" applyProtection="1">
      <alignment vertical="center" wrapText="1"/>
    </xf>
    <xf numFmtId="0" fontId="24" fillId="0" borderId="33" xfId="0" applyFont="1" applyFill="1" applyBorder="1" applyAlignment="1" applyProtection="1">
      <alignment vertical="center" wrapText="1"/>
    </xf>
    <xf numFmtId="0" fontId="15" fillId="0" borderId="33" xfId="0" applyFont="1" applyFill="1" applyBorder="1" applyAlignment="1" applyProtection="1">
      <alignment vertical="center" wrapText="1"/>
    </xf>
    <xf numFmtId="0" fontId="23" fillId="3" borderId="50" xfId="0" applyFont="1" applyFill="1" applyBorder="1" applyAlignment="1" applyProtection="1">
      <alignment vertical="center" wrapText="1"/>
    </xf>
    <xf numFmtId="0" fontId="23" fillId="3" borderId="35" xfId="0" applyFont="1" applyFill="1" applyBorder="1" applyAlignment="1" applyProtection="1">
      <alignment vertical="center" wrapText="1"/>
    </xf>
    <xf numFmtId="0" fontId="23" fillId="3" borderId="36" xfId="0" applyFont="1" applyFill="1" applyBorder="1" applyAlignment="1" applyProtection="1">
      <alignment vertical="center" wrapText="1"/>
    </xf>
    <xf numFmtId="0" fontId="30" fillId="3" borderId="2" xfId="0" applyFont="1" applyFill="1" applyBorder="1" applyAlignment="1" applyProtection="1">
      <alignment vertical="center" wrapText="1"/>
    </xf>
    <xf numFmtId="0" fontId="30" fillId="3" borderId="3" xfId="0" applyFont="1" applyFill="1" applyBorder="1" applyAlignment="1" applyProtection="1">
      <alignment vertical="center" wrapText="1"/>
    </xf>
    <xf numFmtId="0" fontId="30" fillId="3" borderId="4" xfId="0" applyFont="1" applyFill="1" applyBorder="1" applyAlignment="1" applyProtection="1">
      <alignment vertical="center" wrapText="1"/>
    </xf>
    <xf numFmtId="0" fontId="26" fillId="3" borderId="2" xfId="0" applyFont="1" applyFill="1" applyBorder="1" applyAlignment="1" applyProtection="1">
      <alignment vertical="center" wrapText="1"/>
    </xf>
    <xf numFmtId="0" fontId="26" fillId="3" borderId="3" xfId="0" applyFont="1" applyFill="1" applyBorder="1" applyAlignment="1" applyProtection="1">
      <alignment vertical="center" wrapText="1"/>
    </xf>
    <xf numFmtId="0" fontId="26" fillId="3" borderId="4" xfId="0" applyFont="1" applyFill="1" applyBorder="1" applyAlignment="1" applyProtection="1">
      <alignment vertical="center" wrapText="1"/>
    </xf>
    <xf numFmtId="0" fontId="24" fillId="0" borderId="32" xfId="0" applyFont="1" applyBorder="1" applyAlignment="1" applyProtection="1">
      <alignment vertical="center" wrapText="1"/>
    </xf>
    <xf numFmtId="0" fontId="24" fillId="0" borderId="34" xfId="0" applyFont="1" applyBorder="1" applyAlignment="1" applyProtection="1">
      <alignment vertical="center" wrapText="1"/>
    </xf>
    <xf numFmtId="9" fontId="24" fillId="0" borderId="10" xfId="1" applyFont="1" applyBorder="1" applyAlignment="1" applyProtection="1">
      <alignment horizontal="center" vertical="center" wrapText="1"/>
    </xf>
    <xf numFmtId="9" fontId="24" fillId="0" borderId="5" xfId="1" applyFont="1" applyBorder="1" applyAlignment="1" applyProtection="1">
      <alignment horizontal="center" vertical="center" wrapText="1"/>
    </xf>
    <xf numFmtId="0" fontId="2" fillId="2" borderId="16" xfId="0" applyFont="1" applyFill="1" applyBorder="1" applyAlignment="1" applyProtection="1">
      <alignment vertical="center" wrapText="1"/>
    </xf>
    <xf numFmtId="0" fontId="2" fillId="2" borderId="6" xfId="0" applyFont="1" applyFill="1" applyBorder="1" applyAlignment="1" applyProtection="1">
      <alignment vertical="center" wrapText="1"/>
    </xf>
    <xf numFmtId="0" fontId="2" fillId="2" borderId="7" xfId="0" applyFont="1" applyFill="1" applyBorder="1" applyAlignment="1" applyProtection="1">
      <alignment vertical="center" wrapText="1"/>
    </xf>
    <xf numFmtId="0" fontId="23" fillId="3" borderId="42" xfId="0" applyFont="1" applyFill="1" applyBorder="1" applyAlignment="1" applyProtection="1">
      <alignment vertical="center" wrapText="1"/>
    </xf>
    <xf numFmtId="0" fontId="23" fillId="3" borderId="45" xfId="0" applyFont="1" applyFill="1" applyBorder="1" applyAlignment="1" applyProtection="1">
      <alignment vertical="center" wrapText="1"/>
    </xf>
    <xf numFmtId="9" fontId="25" fillId="6" borderId="10" xfId="1" applyFont="1" applyFill="1" applyBorder="1" applyAlignment="1" applyProtection="1">
      <alignment horizontal="center" vertical="center" wrapText="1"/>
    </xf>
    <xf numFmtId="9" fontId="25" fillId="6" borderId="5" xfId="1" applyFont="1" applyFill="1" applyBorder="1" applyAlignment="1" applyProtection="1">
      <alignment horizontal="center" vertical="center" wrapText="1"/>
    </xf>
    <xf numFmtId="9" fontId="24" fillId="6" borderId="32" xfId="1" applyFont="1" applyFill="1" applyBorder="1" applyAlignment="1" applyProtection="1">
      <alignment horizontal="center" vertical="center" wrapText="1"/>
    </xf>
    <xf numFmtId="0" fontId="15" fillId="0" borderId="33" xfId="0" applyFont="1" applyBorder="1" applyAlignment="1" applyProtection="1">
      <alignment horizontal="center" vertical="center" wrapText="1"/>
    </xf>
    <xf numFmtId="0" fontId="15" fillId="0" borderId="34" xfId="0" applyFont="1" applyBorder="1" applyAlignment="1" applyProtection="1">
      <alignment horizontal="center" vertical="center" wrapText="1"/>
    </xf>
    <xf numFmtId="9" fontId="24" fillId="0" borderId="32" xfId="1" applyFont="1" applyFill="1" applyBorder="1" applyAlignment="1" applyProtection="1">
      <alignment horizontal="center" vertical="center" wrapText="1"/>
    </xf>
    <xf numFmtId="9" fontId="24" fillId="0" borderId="33" xfId="1" applyFont="1" applyFill="1" applyBorder="1" applyAlignment="1" applyProtection="1">
      <alignment horizontal="center" vertical="center" wrapText="1"/>
    </xf>
    <xf numFmtId="9" fontId="24" fillId="0" borderId="34" xfId="1" applyFont="1" applyFill="1" applyBorder="1" applyAlignment="1" applyProtection="1">
      <alignment horizontal="center" vertical="center" wrapText="1"/>
    </xf>
    <xf numFmtId="0" fontId="24" fillId="12" borderId="41" xfId="0" applyFont="1" applyFill="1" applyBorder="1" applyAlignment="1" applyProtection="1">
      <alignment vertical="center" wrapText="1"/>
    </xf>
    <xf numFmtId="0" fontId="24" fillId="12" borderId="5" xfId="0" applyFont="1" applyFill="1" applyBorder="1" applyAlignment="1" applyProtection="1">
      <alignment vertical="center" wrapText="1"/>
    </xf>
    <xf numFmtId="0" fontId="2" fillId="2" borderId="2" xfId="0" applyFont="1" applyFill="1" applyBorder="1" applyAlignment="1" applyProtection="1">
      <alignment horizontal="left" vertical="center" wrapText="1"/>
    </xf>
    <xf numFmtId="0" fontId="2" fillId="2" borderId="3" xfId="0" applyFont="1" applyFill="1" applyBorder="1" applyAlignment="1" applyProtection="1">
      <alignment horizontal="left" vertical="center" wrapText="1"/>
    </xf>
    <xf numFmtId="0" fontId="2" fillId="2" borderId="4" xfId="0" applyFont="1" applyFill="1" applyBorder="1" applyAlignment="1" applyProtection="1">
      <alignment horizontal="left" vertical="center" wrapText="1"/>
    </xf>
    <xf numFmtId="0" fontId="24" fillId="0" borderId="34" xfId="0" applyFont="1" applyBorder="1" applyAlignment="1" applyProtection="1">
      <alignment horizontal="left" vertical="center" wrapText="1"/>
    </xf>
    <xf numFmtId="0" fontId="2" fillId="2" borderId="16" xfId="0" applyFont="1" applyFill="1" applyBorder="1" applyAlignment="1" applyProtection="1">
      <alignment vertical="center" wrapText="1"/>
      <protection locked="0"/>
    </xf>
    <xf numFmtId="0" fontId="2" fillId="2" borderId="6" xfId="0" applyFont="1" applyFill="1" applyBorder="1" applyAlignment="1" applyProtection="1">
      <alignment vertical="center" wrapText="1"/>
      <protection locked="0"/>
    </xf>
    <xf numFmtId="0" fontId="2" fillId="2" borderId="7" xfId="0" applyFont="1" applyFill="1" applyBorder="1" applyAlignment="1" applyProtection="1">
      <alignment vertical="center" wrapText="1"/>
      <protection locked="0"/>
    </xf>
    <xf numFmtId="0" fontId="24" fillId="0" borderId="10" xfId="0" applyFont="1" applyFill="1" applyBorder="1" applyAlignment="1" applyProtection="1">
      <alignment horizontal="center" vertical="center" wrapText="1"/>
    </xf>
    <xf numFmtId="0" fontId="24" fillId="0" borderId="8" xfId="0" applyFont="1" applyFill="1" applyBorder="1" applyAlignment="1" applyProtection="1">
      <alignment horizontal="center" vertical="center" wrapText="1"/>
    </xf>
    <xf numFmtId="0" fontId="24" fillId="0" borderId="5" xfId="0" applyFont="1" applyFill="1" applyBorder="1" applyAlignment="1" applyProtection="1">
      <alignment horizontal="center" vertical="center" wrapText="1"/>
    </xf>
    <xf numFmtId="0" fontId="24" fillId="0" borderId="25" xfId="0" applyFont="1" applyFill="1" applyBorder="1" applyAlignment="1" applyProtection="1">
      <alignment vertical="center" wrapText="1"/>
    </xf>
    <xf numFmtId="0" fontId="2" fillId="2" borderId="2" xfId="0" applyFont="1" applyFill="1" applyBorder="1" applyAlignment="1" applyProtection="1">
      <alignment vertical="center" wrapText="1"/>
    </xf>
    <xf numFmtId="0" fontId="2" fillId="2" borderId="3" xfId="0" applyFont="1" applyFill="1" applyBorder="1" applyAlignment="1" applyProtection="1">
      <alignment vertical="center" wrapText="1"/>
    </xf>
    <xf numFmtId="0" fontId="2" fillId="2" borderId="4" xfId="0" applyFont="1" applyFill="1" applyBorder="1" applyAlignment="1" applyProtection="1">
      <alignment vertical="center" wrapText="1"/>
    </xf>
    <xf numFmtId="2" fontId="24" fillId="0" borderId="24" xfId="0" applyNumberFormat="1" applyFont="1" applyFill="1" applyBorder="1" applyAlignment="1" applyProtection="1">
      <alignment horizontal="left" vertical="center" wrapText="1"/>
    </xf>
    <xf numFmtId="2" fontId="15" fillId="0" borderId="26" xfId="0" applyNumberFormat="1" applyFont="1" applyBorder="1" applyAlignment="1" applyProtection="1">
      <alignment horizontal="left" vertical="center" wrapText="1"/>
    </xf>
    <xf numFmtId="0" fontId="15" fillId="0" borderId="34" xfId="0" applyFont="1" applyBorder="1" applyAlignment="1">
      <alignment horizontal="center" vertical="center" wrapText="1"/>
    </xf>
    <xf numFmtId="0" fontId="21" fillId="27" borderId="43" xfId="0" applyFont="1" applyFill="1" applyBorder="1" applyAlignment="1" applyProtection="1">
      <alignment horizontal="center" vertical="center" wrapText="1"/>
    </xf>
    <xf numFmtId="0" fontId="21" fillId="0" borderId="0" xfId="0" applyFont="1" applyBorder="1" applyAlignment="1">
      <alignment horizontal="center" vertical="center" wrapText="1"/>
    </xf>
    <xf numFmtId="0" fontId="21" fillId="0" borderId="9" xfId="0" applyFont="1" applyBorder="1" applyAlignment="1">
      <alignment horizontal="center" vertical="center" wrapText="1"/>
    </xf>
    <xf numFmtId="0" fontId="26" fillId="11" borderId="2" xfId="0" applyFont="1" applyFill="1" applyBorder="1" applyAlignment="1" applyProtection="1">
      <alignment vertical="center" wrapText="1"/>
    </xf>
    <xf numFmtId="0" fontId="26" fillId="11" borderId="3" xfId="0" applyFont="1" applyFill="1" applyBorder="1" applyAlignment="1" applyProtection="1">
      <alignment vertical="center" wrapText="1"/>
    </xf>
    <xf numFmtId="0" fontId="26" fillId="11" borderId="4" xfId="0" applyFont="1" applyFill="1" applyBorder="1" applyAlignment="1" applyProtection="1">
      <alignment vertical="center" wrapText="1"/>
    </xf>
    <xf numFmtId="0" fontId="24" fillId="0" borderId="24" xfId="0" applyFont="1" applyBorder="1" applyAlignment="1" applyProtection="1">
      <alignment vertical="center" wrapText="1"/>
    </xf>
    <xf numFmtId="0" fontId="24" fillId="0" borderId="26" xfId="0" applyFont="1" applyBorder="1" applyAlignment="1" applyProtection="1">
      <alignment vertical="center" wrapText="1"/>
    </xf>
    <xf numFmtId="9" fontId="0" fillId="0" borderId="10" xfId="0" applyNumberFormat="1" applyBorder="1" applyAlignment="1" applyProtection="1">
      <alignment horizontal="center" vertical="center" wrapText="1"/>
    </xf>
    <xf numFmtId="9" fontId="0" fillId="0" borderId="5" xfId="0" applyNumberFormat="1" applyBorder="1" applyAlignment="1" applyProtection="1">
      <alignment horizontal="center" vertical="center" wrapText="1"/>
    </xf>
    <xf numFmtId="0" fontId="2" fillId="2" borderId="2" xfId="0" applyFont="1" applyFill="1" applyBorder="1" applyAlignment="1" applyProtection="1">
      <alignment vertical="center" wrapText="1"/>
      <protection locked="0"/>
    </xf>
    <xf numFmtId="0" fontId="2" fillId="2" borderId="3" xfId="0" applyFont="1" applyFill="1" applyBorder="1" applyAlignment="1" applyProtection="1">
      <alignment vertical="center" wrapText="1"/>
      <protection locked="0"/>
    </xf>
    <xf numFmtId="0" fontId="2" fillId="2" borderId="4" xfId="0" applyFont="1" applyFill="1" applyBorder="1" applyAlignment="1" applyProtection="1">
      <alignment vertical="center" wrapText="1"/>
      <protection locked="0"/>
    </xf>
    <xf numFmtId="0" fontId="24" fillId="0" borderId="10" xfId="0" applyFont="1" applyFill="1" applyBorder="1" applyAlignment="1" applyProtection="1">
      <alignment horizontal="left" vertical="center" wrapText="1"/>
    </xf>
    <xf numFmtId="0" fontId="24" fillId="0" borderId="8" xfId="0" applyFont="1" applyFill="1" applyBorder="1" applyAlignment="1" applyProtection="1">
      <alignment horizontal="left" vertical="center" wrapText="1"/>
    </xf>
    <xf numFmtId="0" fontId="24" fillId="0" borderId="5" xfId="0" applyFont="1" applyFill="1" applyBorder="1" applyAlignment="1" applyProtection="1">
      <alignment horizontal="left" vertical="center" wrapText="1"/>
    </xf>
    <xf numFmtId="9" fontId="15" fillId="0" borderId="10" xfId="1" applyFont="1" applyBorder="1" applyAlignment="1" applyProtection="1">
      <alignment horizontal="center" vertical="center" wrapText="1"/>
    </xf>
    <xf numFmtId="9" fontId="15" fillId="0" borderId="8" xfId="1" applyFont="1" applyBorder="1" applyAlignment="1">
      <alignment horizontal="center" vertical="center" wrapText="1"/>
    </xf>
    <xf numFmtId="9" fontId="15" fillId="0" borderId="5" xfId="1" applyFont="1" applyBorder="1" applyAlignment="1">
      <alignment horizontal="center" vertical="center" wrapText="1"/>
    </xf>
    <xf numFmtId="9" fontId="63" fillId="11" borderId="58" xfId="1" applyFont="1" applyFill="1" applyBorder="1" applyAlignment="1" applyProtection="1">
      <alignment horizontal="center" vertical="center" wrapText="1"/>
    </xf>
    <xf numFmtId="9" fontId="63" fillId="11" borderId="60" xfId="1" applyFont="1" applyFill="1" applyBorder="1" applyAlignment="1" applyProtection="1">
      <alignment horizontal="center" vertical="center" wrapText="1"/>
    </xf>
    <xf numFmtId="9" fontId="64" fillId="6" borderId="45" xfId="1" applyFont="1" applyFill="1" applyBorder="1" applyAlignment="1" applyProtection="1">
      <alignment horizontal="center" vertical="center" wrapText="1"/>
    </xf>
    <xf numFmtId="9" fontId="64" fillId="6" borderId="9" xfId="1" applyFont="1" applyFill="1" applyBorder="1" applyAlignment="1" applyProtection="1">
      <alignment horizontal="center" vertical="center" wrapText="1"/>
    </xf>
    <xf numFmtId="9" fontId="64" fillId="6" borderId="7" xfId="1" applyFont="1" applyFill="1" applyBorder="1" applyAlignment="1" applyProtection="1">
      <alignment horizontal="center" vertical="center" wrapText="1"/>
    </xf>
    <xf numFmtId="0" fontId="2" fillId="0" borderId="9"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9" fontId="64" fillId="0" borderId="58" xfId="1" applyFont="1" applyFill="1" applyBorder="1" applyAlignment="1" applyProtection="1">
      <alignment horizontal="center" vertical="center" wrapText="1"/>
    </xf>
    <xf numFmtId="9" fontId="64" fillId="0" borderId="59" xfId="1" applyFont="1" applyFill="1" applyBorder="1" applyAlignment="1" applyProtection="1">
      <alignment horizontal="center" vertical="center" wrapText="1"/>
    </xf>
    <xf numFmtId="9" fontId="64" fillId="0" borderId="60" xfId="1" applyFont="1" applyFill="1" applyBorder="1" applyAlignment="1" applyProtection="1">
      <alignment horizontal="center" vertical="center" wrapText="1"/>
    </xf>
    <xf numFmtId="9" fontId="63" fillId="11" borderId="45" xfId="1" applyFont="1" applyFill="1" applyBorder="1" applyAlignment="1" applyProtection="1">
      <alignment horizontal="center" vertical="center" wrapText="1"/>
    </xf>
    <xf numFmtId="9" fontId="63" fillId="11" borderId="9" xfId="1" applyFont="1" applyFill="1" applyBorder="1" applyAlignment="1" applyProtection="1">
      <alignment horizontal="center" vertical="center" wrapText="1"/>
    </xf>
    <xf numFmtId="0" fontId="30" fillId="3" borderId="16" xfId="0" applyFont="1" applyFill="1" applyBorder="1" applyAlignment="1" applyProtection="1">
      <alignment vertical="center" wrapText="1"/>
    </xf>
    <xf numFmtId="0" fontId="30" fillId="3" borderId="6" xfId="0" applyFont="1" applyFill="1" applyBorder="1" applyAlignment="1" applyProtection="1">
      <alignment vertical="center" wrapText="1"/>
    </xf>
    <xf numFmtId="0" fontId="30" fillId="3" borderId="7" xfId="0" applyFont="1" applyFill="1" applyBorder="1" applyAlignment="1" applyProtection="1">
      <alignment vertical="center" wrapText="1"/>
    </xf>
    <xf numFmtId="9" fontId="63" fillId="11" borderId="7" xfId="1" applyFont="1" applyFill="1" applyBorder="1" applyAlignment="1" applyProtection="1">
      <alignment horizontal="center" vertical="center" wrapText="1"/>
    </xf>
    <xf numFmtId="0" fontId="22" fillId="0" borderId="66" xfId="0" applyFont="1" applyBorder="1" applyAlignment="1" applyProtection="1">
      <alignment vertical="center" wrapText="1"/>
    </xf>
    <xf numFmtId="0" fontId="22" fillId="0" borderId="25" xfId="0" applyFont="1" applyBorder="1" applyAlignment="1" applyProtection="1">
      <alignment vertical="center" wrapText="1"/>
    </xf>
    <xf numFmtId="0" fontId="22" fillId="0" borderId="26" xfId="0" applyFont="1" applyBorder="1" applyAlignment="1" applyProtection="1">
      <alignment vertical="center" wrapText="1"/>
    </xf>
    <xf numFmtId="0" fontId="23" fillId="3" borderId="42" xfId="0" applyFont="1" applyFill="1" applyBorder="1" applyAlignment="1">
      <alignment vertical="center" wrapText="1"/>
    </xf>
    <xf numFmtId="0" fontId="23" fillId="3" borderId="44" xfId="0" applyFont="1" applyFill="1" applyBorder="1" applyAlignment="1">
      <alignment vertical="center" wrapText="1"/>
    </xf>
    <xf numFmtId="0" fontId="23" fillId="3" borderId="45" xfId="0" applyFont="1" applyFill="1" applyBorder="1" applyAlignment="1">
      <alignment vertical="center" wrapText="1"/>
    </xf>
    <xf numFmtId="0" fontId="8" fillId="0" borderId="0" xfId="0" applyFont="1" applyAlignment="1" applyProtection="1">
      <alignment horizontal="center" vertical="center"/>
      <protection locked="0"/>
    </xf>
    <xf numFmtId="0" fontId="24" fillId="0" borderId="32" xfId="0" applyFont="1" applyBorder="1" applyAlignment="1">
      <alignment horizontal="left" vertical="center" wrapText="1"/>
    </xf>
    <xf numFmtId="0" fontId="24" fillId="0" borderId="33" xfId="0" applyFont="1" applyBorder="1" applyAlignment="1">
      <alignment horizontal="left" vertical="center" wrapText="1"/>
    </xf>
    <xf numFmtId="0" fontId="24" fillId="0" borderId="34" xfId="0" applyFont="1" applyBorder="1" applyAlignment="1">
      <alignment horizontal="left" vertical="center" wrapText="1"/>
    </xf>
    <xf numFmtId="165" fontId="25" fillId="4" borderId="29" xfId="0" applyNumberFormat="1" applyFont="1" applyFill="1" applyBorder="1" applyAlignment="1">
      <alignment horizontal="center" vertical="center" wrapText="1"/>
    </xf>
    <xf numFmtId="0" fontId="25" fillId="4" borderId="30" xfId="0" applyFont="1" applyFill="1" applyBorder="1" applyAlignment="1">
      <alignment horizontal="center" vertical="center" wrapText="1"/>
    </xf>
    <xf numFmtId="0" fontId="25" fillId="4" borderId="31" xfId="0" applyFont="1" applyFill="1" applyBorder="1" applyAlignment="1">
      <alignment horizontal="center" vertical="center" wrapText="1"/>
    </xf>
    <xf numFmtId="0" fontId="24" fillId="0" borderId="32" xfId="0" applyFont="1" applyBorder="1" applyAlignment="1">
      <alignment vertical="center" wrapText="1"/>
    </xf>
    <xf numFmtId="0" fontId="24" fillId="0" borderId="33" xfId="0" applyFont="1" applyBorder="1" applyAlignment="1">
      <alignment vertical="center" wrapText="1"/>
    </xf>
    <xf numFmtId="0" fontId="24" fillId="0" borderId="34" xfId="0" applyFont="1" applyBorder="1" applyAlignment="1">
      <alignment vertical="center" wrapText="1"/>
    </xf>
    <xf numFmtId="9" fontId="24" fillId="6" borderId="58" xfId="1" applyFont="1" applyFill="1" applyBorder="1" applyAlignment="1">
      <alignment horizontal="center" vertical="center" wrapText="1"/>
    </xf>
    <xf numFmtId="0" fontId="15" fillId="0" borderId="59" xfId="0" applyFont="1" applyBorder="1" applyAlignment="1">
      <alignment horizontal="center" vertical="center" wrapText="1"/>
    </xf>
    <xf numFmtId="0" fontId="15" fillId="0" borderId="60" xfId="0" applyFont="1" applyBorder="1" applyAlignment="1">
      <alignment horizontal="center" vertical="center" wrapText="1"/>
    </xf>
    <xf numFmtId="9" fontId="23" fillId="11" borderId="10" xfId="1" applyFont="1" applyFill="1" applyBorder="1" applyAlignment="1">
      <alignment horizontal="center" vertical="center" wrapText="1"/>
    </xf>
    <xf numFmtId="0" fontId="15" fillId="0" borderId="5" xfId="0" applyFont="1" applyBorder="1" applyAlignment="1">
      <alignment horizontal="center" vertical="center" wrapText="1"/>
    </xf>
    <xf numFmtId="2" fontId="24" fillId="6" borderId="10" xfId="1" applyNumberFormat="1" applyFont="1" applyFill="1" applyBorder="1" applyAlignment="1">
      <alignment horizontal="center" vertical="center" wrapText="1"/>
    </xf>
    <xf numFmtId="0" fontId="0" fillId="0" borderId="8" xfId="0" applyBorder="1" applyAlignment="1">
      <alignment horizontal="center" vertical="center" wrapText="1"/>
    </xf>
    <xf numFmtId="0" fontId="0" fillId="0" borderId="5" xfId="0" applyBorder="1" applyAlignment="1">
      <alignment horizontal="center" vertical="center" wrapText="1"/>
    </xf>
    <xf numFmtId="0" fontId="15" fillId="0" borderId="8" xfId="0" applyFont="1" applyBorder="1" applyAlignment="1">
      <alignment horizontal="center" vertical="center" wrapText="1"/>
    </xf>
    <xf numFmtId="0" fontId="26" fillId="11" borderId="43" xfId="0" applyFont="1" applyFill="1" applyBorder="1" applyAlignment="1">
      <alignment vertical="center" wrapText="1"/>
    </xf>
    <xf numFmtId="0" fontId="26" fillId="11" borderId="0" xfId="0" applyFont="1" applyFill="1" applyAlignment="1">
      <alignment vertical="center" wrapText="1"/>
    </xf>
    <xf numFmtId="0" fontId="26" fillId="11" borderId="9" xfId="0" applyFont="1" applyFill="1" applyBorder="1" applyAlignment="1">
      <alignment vertical="center" wrapText="1"/>
    </xf>
    <xf numFmtId="0" fontId="24" fillId="0" borderId="24" xfId="0" applyFont="1" applyBorder="1" applyAlignment="1">
      <alignment vertical="center" wrapText="1"/>
    </xf>
    <xf numFmtId="0" fontId="24" fillId="0" borderId="26" xfId="0" applyFont="1" applyBorder="1" applyAlignment="1">
      <alignment vertical="center" wrapText="1"/>
    </xf>
    <xf numFmtId="165" fontId="25" fillId="4" borderId="24" xfId="0" applyNumberFormat="1" applyFont="1" applyFill="1" applyBorder="1" applyAlignment="1">
      <alignment horizontal="center" vertical="center" wrapText="1"/>
    </xf>
    <xf numFmtId="0" fontId="25" fillId="4" borderId="26" xfId="0" applyFont="1" applyFill="1" applyBorder="1" applyAlignment="1">
      <alignment horizontal="center" vertical="center" wrapText="1"/>
    </xf>
    <xf numFmtId="165" fontId="25" fillId="4" borderId="26" xfId="0" applyNumberFormat="1" applyFont="1" applyFill="1" applyBorder="1" applyAlignment="1">
      <alignment horizontal="center" vertical="center" wrapText="1"/>
    </xf>
    <xf numFmtId="9" fontId="0" fillId="0" borderId="45" xfId="0" applyNumberFormat="1" applyBorder="1" applyAlignment="1">
      <alignment horizontal="center" vertical="center" wrapText="1"/>
    </xf>
    <xf numFmtId="9" fontId="0" fillId="0" borderId="7" xfId="0" applyNumberFormat="1" applyBorder="1" applyAlignment="1">
      <alignment horizontal="center" vertical="center" wrapText="1"/>
    </xf>
    <xf numFmtId="2" fontId="22" fillId="11" borderId="32" xfId="1" applyNumberFormat="1" applyFont="1" applyFill="1" applyBorder="1" applyAlignment="1">
      <alignment horizontal="center" vertical="center" wrapText="1"/>
    </xf>
    <xf numFmtId="2" fontId="22" fillId="11" borderId="34" xfId="1" applyNumberFormat="1" applyFont="1" applyFill="1" applyBorder="1" applyAlignment="1">
      <alignment horizontal="center" vertical="center" wrapText="1"/>
    </xf>
    <xf numFmtId="0" fontId="23" fillId="3" borderId="16" xfId="0" applyFont="1" applyFill="1" applyBorder="1" applyAlignment="1">
      <alignment vertical="center" wrapText="1"/>
    </xf>
    <xf numFmtId="0" fontId="23" fillId="3" borderId="6" xfId="0" applyFont="1" applyFill="1" applyBorder="1" applyAlignment="1">
      <alignment vertical="center" wrapText="1"/>
    </xf>
    <xf numFmtId="0" fontId="23" fillId="3" borderId="7" xfId="0" applyFont="1" applyFill="1" applyBorder="1" applyAlignment="1">
      <alignment vertical="center" wrapText="1"/>
    </xf>
    <xf numFmtId="0" fontId="8" fillId="0" borderId="9" xfId="0" applyFont="1" applyBorder="1" applyAlignment="1" applyProtection="1">
      <alignment horizontal="center" vertical="center"/>
      <protection locked="0"/>
    </xf>
    <xf numFmtId="0" fontId="24" fillId="0" borderId="8" xfId="0" applyFont="1" applyBorder="1" applyAlignment="1">
      <alignment horizontal="center" vertical="center" wrapText="1"/>
    </xf>
    <xf numFmtId="0" fontId="24" fillId="0" borderId="5" xfId="0" applyFont="1" applyBorder="1" applyAlignment="1">
      <alignment horizontal="center" vertical="center" wrapText="1"/>
    </xf>
    <xf numFmtId="165" fontId="25" fillId="4" borderId="43" xfId="0" applyNumberFormat="1" applyFont="1" applyFill="1" applyBorder="1" applyAlignment="1">
      <alignment horizontal="center" vertical="center" wrapText="1"/>
    </xf>
    <xf numFmtId="0" fontId="25" fillId="4" borderId="43" xfId="0" applyFont="1" applyFill="1" applyBorder="1" applyAlignment="1">
      <alignment horizontal="center" vertical="center" wrapText="1"/>
    </xf>
    <xf numFmtId="0" fontId="25" fillId="4" borderId="16" xfId="0" applyFont="1" applyFill="1" applyBorder="1" applyAlignment="1">
      <alignment horizontal="center" vertical="center" wrapText="1"/>
    </xf>
    <xf numFmtId="9" fontId="24" fillId="6" borderId="9" xfId="1" applyFont="1" applyFill="1" applyBorder="1" applyAlignment="1">
      <alignment horizontal="center" vertical="center" wrapText="1"/>
    </xf>
    <xf numFmtId="0" fontId="15" fillId="0" borderId="9" xfId="0" applyFont="1" applyBorder="1" applyAlignment="1">
      <alignment horizontal="center" vertical="center" wrapText="1"/>
    </xf>
    <xf numFmtId="0" fontId="15" fillId="0" borderId="7" xfId="0" applyFont="1" applyBorder="1" applyAlignment="1">
      <alignment horizontal="center" vertical="center" wrapText="1"/>
    </xf>
    <xf numFmtId="0" fontId="24" fillId="0" borderId="8" xfId="0" applyFont="1" applyBorder="1" applyAlignment="1">
      <alignment horizontal="left" vertical="center" wrapText="1"/>
    </xf>
    <xf numFmtId="0" fontId="24" fillId="0" borderId="5" xfId="0" applyFont="1" applyBorder="1" applyAlignment="1">
      <alignment horizontal="left" vertical="center" wrapText="1"/>
    </xf>
    <xf numFmtId="165" fontId="28" fillId="4" borderId="10" xfId="0" applyNumberFormat="1" applyFont="1" applyFill="1" applyBorder="1" applyAlignment="1">
      <alignment horizontal="center" vertical="center" wrapText="1"/>
    </xf>
    <xf numFmtId="0" fontId="28" fillId="4" borderId="8" xfId="0" applyFont="1" applyFill="1" applyBorder="1" applyAlignment="1">
      <alignment horizontal="center" vertical="center" wrapText="1"/>
    </xf>
    <xf numFmtId="0" fontId="28" fillId="4" borderId="5" xfId="0" applyFont="1" applyFill="1" applyBorder="1" applyAlignment="1">
      <alignment horizontal="center" vertical="center" wrapText="1"/>
    </xf>
    <xf numFmtId="9" fontId="28" fillId="0" borderId="45" xfId="1" applyFont="1" applyBorder="1" applyAlignment="1">
      <alignment horizontal="center" vertical="center" wrapText="1"/>
    </xf>
    <xf numFmtId="9" fontId="28" fillId="0" borderId="9" xfId="1" applyFont="1" applyBorder="1" applyAlignment="1">
      <alignment horizontal="center" vertical="center" wrapText="1"/>
    </xf>
    <xf numFmtId="9" fontId="28" fillId="0" borderId="7" xfId="1" applyFont="1" applyBorder="1" applyAlignment="1">
      <alignment horizontal="center" vertical="center" wrapText="1"/>
    </xf>
    <xf numFmtId="0" fontId="24" fillId="0" borderId="25" xfId="0" applyFont="1" applyBorder="1" applyAlignment="1">
      <alignment vertical="center" wrapText="1"/>
    </xf>
    <xf numFmtId="165" fontId="25" fillId="4" borderId="33" xfId="2" applyNumberFormat="1" applyFont="1" applyFill="1" applyBorder="1" applyAlignment="1">
      <alignment horizontal="center" vertical="center" wrapText="1"/>
    </xf>
    <xf numFmtId="0" fontId="23" fillId="3" borderId="2" xfId="0" applyFont="1" applyFill="1" applyBorder="1" applyAlignment="1">
      <alignment vertical="center" wrapText="1"/>
    </xf>
    <xf numFmtId="0" fontId="23" fillId="3" borderId="3" xfId="0" applyFont="1" applyFill="1" applyBorder="1" applyAlignment="1">
      <alignment vertical="center" wrapText="1"/>
    </xf>
    <xf numFmtId="0" fontId="23" fillId="3" borderId="4"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2" fontId="24" fillId="0" borderId="24" xfId="0" applyNumberFormat="1" applyFont="1" applyBorder="1" applyAlignment="1">
      <alignment horizontal="left" vertical="center" wrapText="1"/>
    </xf>
    <xf numFmtId="2" fontId="15" fillId="0" borderId="26" xfId="0" applyNumberFormat="1" applyFont="1" applyBorder="1" applyAlignment="1">
      <alignment horizontal="left" vertical="center" wrapText="1"/>
    </xf>
    <xf numFmtId="165" fontId="25" fillId="4" borderId="32" xfId="0" applyNumberFormat="1" applyFont="1" applyFill="1" applyBorder="1" applyAlignment="1">
      <alignment horizontal="center" vertical="center" wrapText="1"/>
    </xf>
    <xf numFmtId="0" fontId="26" fillId="3" borderId="2" xfId="0" applyFont="1" applyFill="1" applyBorder="1" applyAlignment="1">
      <alignment vertical="center" wrapText="1"/>
    </xf>
    <xf numFmtId="0" fontId="26" fillId="3" borderId="3" xfId="0" applyFont="1" applyFill="1" applyBorder="1" applyAlignment="1">
      <alignment vertical="center" wrapText="1"/>
    </xf>
    <xf numFmtId="0" fontId="26" fillId="3" borderId="4" xfId="0" applyFont="1" applyFill="1" applyBorder="1" applyAlignment="1">
      <alignmen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5" fillId="4" borderId="33" xfId="0" applyFont="1" applyFill="1" applyBorder="1" applyAlignment="1">
      <alignment horizontal="center" vertical="center" wrapText="1"/>
    </xf>
    <xf numFmtId="0" fontId="25" fillId="4" borderId="34" xfId="0" applyFont="1" applyFill="1" applyBorder="1" applyAlignment="1">
      <alignment horizontal="center" vertical="center" wrapText="1"/>
    </xf>
    <xf numFmtId="2" fontId="24" fillId="0" borderId="10" xfId="1" applyNumberFormat="1" applyFont="1" applyBorder="1" applyAlignment="1">
      <alignment horizontal="center" vertical="center" wrapText="1"/>
    </xf>
    <xf numFmtId="165" fontId="25" fillId="4" borderId="33" xfId="0" applyNumberFormat="1" applyFont="1" applyFill="1" applyBorder="1" applyAlignment="1">
      <alignment horizontal="center" vertical="center" wrapText="1"/>
    </xf>
    <xf numFmtId="165" fontId="25" fillId="4" borderId="34" xfId="0" applyNumberFormat="1" applyFont="1" applyFill="1" applyBorder="1" applyAlignment="1">
      <alignment horizontal="center" vertical="center" wrapText="1"/>
    </xf>
    <xf numFmtId="0" fontId="24" fillId="12" borderId="41" xfId="0" applyFont="1" applyFill="1" applyBorder="1" applyAlignment="1">
      <alignment vertical="center" wrapText="1"/>
    </xf>
    <xf numFmtId="0" fontId="24" fillId="12" borderId="5" xfId="0" applyFont="1" applyFill="1" applyBorder="1" applyAlignment="1">
      <alignment vertical="center" wrapText="1"/>
    </xf>
    <xf numFmtId="165" fontId="25" fillId="13" borderId="33" xfId="0" applyNumberFormat="1" applyFont="1" applyFill="1" applyBorder="1" applyAlignment="1">
      <alignment horizontal="center" vertical="center" wrapText="1"/>
    </xf>
    <xf numFmtId="165" fontId="25" fillId="13" borderId="34" xfId="0" applyNumberFormat="1" applyFont="1" applyFill="1" applyBorder="1" applyAlignment="1">
      <alignment horizontal="center" vertical="center" wrapText="1"/>
    </xf>
    <xf numFmtId="0" fontId="2" fillId="2" borderId="16"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9" fontId="24" fillId="0" borderId="58" xfId="1" applyFont="1" applyBorder="1" applyAlignment="1">
      <alignment horizontal="center" vertical="center" wrapText="1"/>
    </xf>
    <xf numFmtId="9" fontId="24" fillId="0" borderId="59" xfId="1" applyFont="1" applyBorder="1" applyAlignment="1">
      <alignment horizontal="center" vertical="center" wrapText="1"/>
    </xf>
    <xf numFmtId="9" fontId="24" fillId="0" borderId="60" xfId="1" applyFont="1" applyBorder="1" applyAlignment="1">
      <alignment horizontal="center" vertical="center" wrapText="1"/>
    </xf>
    <xf numFmtId="9" fontId="25" fillId="6" borderId="45" xfId="1" applyFont="1" applyFill="1" applyBorder="1" applyAlignment="1">
      <alignment horizontal="center" vertical="center" wrapText="1"/>
    </xf>
    <xf numFmtId="9" fontId="25" fillId="6" borderId="7" xfId="1" applyFont="1" applyFill="1" applyBorder="1" applyAlignment="1">
      <alignment horizontal="center" vertical="center" wrapText="1"/>
    </xf>
    <xf numFmtId="9" fontId="24" fillId="6" borderId="45" xfId="1" applyFont="1" applyFill="1" applyBorder="1" applyAlignment="1">
      <alignment horizontal="center" vertical="center" wrapText="1"/>
    </xf>
    <xf numFmtId="9" fontId="24" fillId="6" borderId="7" xfId="1" applyFont="1" applyFill="1" applyBorder="1" applyAlignment="1">
      <alignment horizontal="center" vertical="center" wrapText="1"/>
    </xf>
    <xf numFmtId="0" fontId="26" fillId="3" borderId="6" xfId="0" applyFont="1" applyFill="1" applyBorder="1" applyAlignment="1">
      <alignment vertical="center" wrapText="1"/>
    </xf>
    <xf numFmtId="0" fontId="24" fillId="0" borderId="53" xfId="0" applyFont="1" applyBorder="1" applyAlignment="1">
      <alignment vertical="center" wrapText="1"/>
    </xf>
    <xf numFmtId="0" fontId="24" fillId="0" borderId="41" xfId="0" applyFont="1" applyBorder="1" applyAlignment="1">
      <alignment vertical="center" wrapText="1"/>
    </xf>
    <xf numFmtId="165" fontId="25" fillId="4" borderId="61" xfId="0" applyNumberFormat="1" applyFont="1" applyFill="1" applyBorder="1" applyAlignment="1">
      <alignment horizontal="center" vertical="center" wrapText="1"/>
    </xf>
    <xf numFmtId="0" fontId="25" fillId="4" borderId="40" xfId="0" applyFont="1" applyFill="1" applyBorder="1" applyAlignment="1">
      <alignment horizontal="center" vertical="center" wrapText="1"/>
    </xf>
    <xf numFmtId="9" fontId="24" fillId="0" borderId="9" xfId="1" applyFont="1" applyBorder="1" applyAlignment="1">
      <alignment horizontal="center" vertical="center" wrapText="1"/>
    </xf>
    <xf numFmtId="0" fontId="30" fillId="3" borderId="43" xfId="0" applyFont="1" applyFill="1" applyBorder="1" applyAlignment="1">
      <alignment vertical="center" wrapText="1"/>
    </xf>
    <xf numFmtId="0" fontId="30" fillId="3" borderId="0" xfId="0" applyFont="1" applyFill="1" applyAlignment="1">
      <alignment vertical="center" wrapText="1"/>
    </xf>
    <xf numFmtId="0" fontId="30" fillId="3" borderId="9" xfId="0" applyFont="1" applyFill="1" applyBorder="1" applyAlignment="1">
      <alignment vertical="center" wrapText="1"/>
    </xf>
    <xf numFmtId="0" fontId="15" fillId="0" borderId="33" xfId="0" applyFont="1" applyBorder="1" applyAlignment="1">
      <alignment vertical="center" wrapText="1"/>
    </xf>
    <xf numFmtId="0" fontId="28" fillId="4" borderId="33" xfId="0" applyFont="1" applyFill="1" applyBorder="1" applyAlignment="1">
      <alignment horizontal="center" vertical="center" wrapText="1"/>
    </xf>
    <xf numFmtId="0" fontId="23" fillId="3" borderId="70" xfId="0" applyFont="1" applyFill="1" applyBorder="1" applyAlignment="1">
      <alignment vertical="center" wrapText="1"/>
    </xf>
    <xf numFmtId="0" fontId="23" fillId="3" borderId="68" xfId="0" applyFont="1" applyFill="1" applyBorder="1" applyAlignment="1">
      <alignment vertical="center" wrapText="1"/>
    </xf>
    <xf numFmtId="0" fontId="23" fillId="3" borderId="71" xfId="0" applyFont="1" applyFill="1" applyBorder="1" applyAlignment="1">
      <alignment vertical="center" wrapText="1"/>
    </xf>
    <xf numFmtId="0" fontId="15" fillId="0" borderId="33" xfId="0" applyFont="1" applyBorder="1" applyAlignment="1">
      <alignment horizontal="left" vertical="center" wrapText="1"/>
    </xf>
    <xf numFmtId="0" fontId="15" fillId="0" borderId="34" xfId="0" applyFont="1" applyBorder="1" applyAlignment="1">
      <alignment horizontal="left" vertical="center" wrapText="1"/>
    </xf>
    <xf numFmtId="0" fontId="28" fillId="4" borderId="34" xfId="0" applyFont="1" applyFill="1" applyBorder="1" applyAlignment="1">
      <alignment horizontal="center" vertical="center" wrapText="1"/>
    </xf>
    <xf numFmtId="9" fontId="22" fillId="11" borderId="45" xfId="1" applyFont="1" applyFill="1" applyBorder="1" applyAlignment="1">
      <alignment horizontal="center" vertical="center" wrapText="1"/>
    </xf>
    <xf numFmtId="9" fontId="22" fillId="11" borderId="9" xfId="1" applyFont="1" applyFill="1" applyBorder="1" applyAlignment="1">
      <alignment horizontal="center" vertical="center" wrapText="1"/>
    </xf>
    <xf numFmtId="2" fontId="22" fillId="11" borderId="10" xfId="1" applyNumberFormat="1" applyFont="1" applyFill="1" applyBorder="1" applyAlignment="1">
      <alignment horizontal="center" vertical="center" wrapText="1"/>
    </xf>
    <xf numFmtId="0" fontId="24" fillId="0" borderId="41" xfId="0" applyFont="1" applyBorder="1" applyAlignment="1">
      <alignment horizontal="left" vertical="center" wrapText="1"/>
    </xf>
    <xf numFmtId="0" fontId="25" fillId="4" borderId="41" xfId="0" applyFont="1" applyFill="1" applyBorder="1" applyAlignment="1">
      <alignment horizontal="center" vertical="center" wrapText="1"/>
    </xf>
    <xf numFmtId="9" fontId="22" fillId="11" borderId="7" xfId="1" applyFont="1" applyFill="1" applyBorder="1" applyAlignment="1">
      <alignment horizontal="center" vertical="center" wrapText="1"/>
    </xf>
    <xf numFmtId="0" fontId="22" fillId="0" borderId="8" xfId="0" applyFont="1" applyBorder="1" applyAlignment="1">
      <alignment vertical="center" wrapText="1"/>
    </xf>
    <xf numFmtId="0" fontId="22" fillId="0" borderId="5" xfId="0" applyFont="1" applyBorder="1" applyAlignment="1">
      <alignment vertical="center" wrapText="1"/>
    </xf>
    <xf numFmtId="165" fontId="23" fillId="4" borderId="8" xfId="0" applyNumberFormat="1" applyFont="1" applyFill="1" applyBorder="1" applyAlignment="1">
      <alignment horizontal="center" vertical="center" wrapText="1"/>
    </xf>
    <xf numFmtId="165" fontId="23" fillId="4" borderId="5" xfId="0" applyNumberFormat="1" applyFont="1" applyFill="1" applyBorder="1" applyAlignment="1">
      <alignment horizontal="center" vertical="center" wrapText="1"/>
    </xf>
    <xf numFmtId="9" fontId="22" fillId="11" borderId="58" xfId="1" applyFont="1" applyFill="1" applyBorder="1" applyAlignment="1">
      <alignment horizontal="center" vertical="center" wrapText="1"/>
    </xf>
    <xf numFmtId="9" fontId="22" fillId="11" borderId="60" xfId="1" applyFont="1" applyFill="1" applyBorder="1" applyAlignment="1">
      <alignment horizontal="center" vertical="center" wrapText="1"/>
    </xf>
    <xf numFmtId="0" fontId="22" fillId="0" borderId="24" xfId="0" applyFont="1" applyBorder="1" applyAlignment="1">
      <alignment horizontal="left" vertical="center" wrapText="1"/>
    </xf>
    <xf numFmtId="0" fontId="22" fillId="0" borderId="26" xfId="0" applyFont="1" applyBorder="1" applyAlignment="1">
      <alignment horizontal="left" vertical="center" wrapText="1"/>
    </xf>
    <xf numFmtId="165" fontId="23" fillId="20" borderId="32" xfId="0" applyNumberFormat="1" applyFont="1" applyFill="1" applyBorder="1" applyAlignment="1">
      <alignment horizontal="center" vertical="center" wrapText="1"/>
    </xf>
    <xf numFmtId="165" fontId="23" fillId="20" borderId="34" xfId="0" applyNumberFormat="1" applyFont="1" applyFill="1" applyBorder="1" applyAlignment="1">
      <alignment horizontal="center" vertical="center" wrapText="1"/>
    </xf>
    <xf numFmtId="0" fontId="29" fillId="12" borderId="2" xfId="0" applyFont="1" applyFill="1" applyBorder="1" applyAlignment="1" applyProtection="1">
      <alignment vertical="top" wrapText="1"/>
      <protection locked="0"/>
    </xf>
    <xf numFmtId="0" fontId="58" fillId="12" borderId="3" xfId="0" applyFont="1" applyFill="1" applyBorder="1" applyAlignment="1">
      <alignment vertical="top" wrapText="1"/>
    </xf>
    <xf numFmtId="0" fontId="58" fillId="12" borderId="4" xfId="0" applyFont="1" applyFill="1" applyBorder="1" applyAlignment="1">
      <alignment vertical="top" wrapText="1"/>
    </xf>
    <xf numFmtId="0" fontId="29" fillId="24" borderId="16" xfId="0" applyFont="1" applyFill="1" applyBorder="1" applyAlignment="1" applyProtection="1">
      <alignment horizontal="center"/>
      <protection locked="0"/>
    </xf>
    <xf numFmtId="0" fontId="29" fillId="24" borderId="6" xfId="0" applyFont="1" applyFill="1" applyBorder="1" applyAlignment="1" applyProtection="1">
      <alignment horizontal="center"/>
      <protection locked="0"/>
    </xf>
    <xf numFmtId="0" fontId="11" fillId="2" borderId="2" xfId="0" applyFont="1" applyFill="1" applyBorder="1" applyAlignment="1">
      <alignment vertical="center" wrapText="1"/>
    </xf>
    <xf numFmtId="0" fontId="11" fillId="2" borderId="3" xfId="0" applyFont="1" applyFill="1" applyBorder="1" applyAlignment="1">
      <alignment vertical="center" wrapText="1"/>
    </xf>
    <xf numFmtId="0" fontId="11" fillId="2" borderId="4" xfId="0" applyFont="1" applyFill="1" applyBorder="1" applyAlignment="1">
      <alignment vertical="center" wrapText="1"/>
    </xf>
    <xf numFmtId="0" fontId="2" fillId="3" borderId="43" xfId="0" applyFont="1" applyFill="1" applyBorder="1" applyAlignment="1">
      <alignment vertical="center" wrapText="1"/>
    </xf>
    <xf numFmtId="0" fontId="2" fillId="3" borderId="0" xfId="0" applyFont="1" applyFill="1" applyAlignment="1">
      <alignment vertical="center" wrapText="1"/>
    </xf>
    <xf numFmtId="0" fontId="2" fillId="3" borderId="9" xfId="0" applyFont="1" applyFill="1" applyBorder="1" applyAlignment="1">
      <alignment vertical="center" wrapText="1"/>
    </xf>
    <xf numFmtId="0" fontId="11" fillId="9" borderId="2" xfId="0" applyFont="1" applyFill="1" applyBorder="1" applyAlignment="1">
      <alignment vertical="center" wrapText="1"/>
    </xf>
    <xf numFmtId="0" fontId="11" fillId="9" borderId="3" xfId="0" applyFont="1" applyFill="1" applyBorder="1" applyAlignment="1">
      <alignment vertical="center" wrapText="1"/>
    </xf>
    <xf numFmtId="0" fontId="11" fillId="9" borderId="4" xfId="0" applyFont="1" applyFill="1" applyBorder="1" applyAlignment="1">
      <alignment vertical="center" wrapText="1"/>
    </xf>
    <xf numFmtId="0" fontId="2" fillId="11" borderId="43" xfId="0" applyFont="1" applyFill="1" applyBorder="1" applyAlignment="1">
      <alignment vertical="center" wrapText="1"/>
    </xf>
    <xf numFmtId="0" fontId="2" fillId="11" borderId="0" xfId="0" applyFont="1" applyFill="1" applyAlignment="1">
      <alignment vertical="center" wrapText="1"/>
    </xf>
    <xf numFmtId="0" fontId="2" fillId="11" borderId="9" xfId="0" applyFont="1" applyFill="1" applyBorder="1" applyAlignment="1">
      <alignment vertical="center" wrapText="1"/>
    </xf>
    <xf numFmtId="0" fontId="22" fillId="0" borderId="53" xfId="0" applyFont="1" applyBorder="1" applyAlignment="1">
      <alignment vertical="center" wrapText="1"/>
    </xf>
    <xf numFmtId="0" fontId="15" fillId="0" borderId="34" xfId="0" applyFont="1" applyBorder="1" applyAlignment="1">
      <alignment vertical="center" wrapText="1"/>
    </xf>
    <xf numFmtId="165" fontId="23" fillId="4" borderId="53" xfId="0" applyNumberFormat="1" applyFont="1" applyFill="1" applyBorder="1" applyAlignment="1">
      <alignment horizontal="center" vertical="center" wrapText="1"/>
    </xf>
    <xf numFmtId="165" fontId="23" fillId="4" borderId="34" xfId="0" applyNumberFormat="1" applyFont="1" applyFill="1" applyBorder="1" applyAlignment="1">
      <alignment horizontal="center" vertical="center" wrapText="1"/>
    </xf>
    <xf numFmtId="2" fontId="24" fillId="6" borderId="8" xfId="1" applyNumberFormat="1" applyFont="1" applyFill="1" applyBorder="1" applyAlignment="1">
      <alignment horizontal="center" vertical="center" wrapText="1"/>
    </xf>
    <xf numFmtId="2" fontId="24" fillId="6" borderId="5" xfId="1" applyNumberFormat="1" applyFont="1" applyFill="1" applyBorder="1" applyAlignment="1">
      <alignment horizontal="center" vertical="center" wrapText="1"/>
    </xf>
    <xf numFmtId="2" fontId="22" fillId="11" borderId="5" xfId="1" applyNumberFormat="1" applyFont="1" applyFill="1" applyBorder="1" applyAlignment="1">
      <alignment horizontal="center" vertical="center" wrapText="1"/>
    </xf>
    <xf numFmtId="2" fontId="24" fillId="0" borderId="8" xfId="1" applyNumberFormat="1" applyFont="1" applyBorder="1" applyAlignment="1">
      <alignment horizontal="center" vertical="center" wrapText="1"/>
    </xf>
    <xf numFmtId="2" fontId="24" fillId="0" borderId="5" xfId="1" applyNumberFormat="1" applyFont="1" applyBorder="1" applyAlignment="1">
      <alignment horizontal="center" vertical="center" wrapText="1"/>
    </xf>
    <xf numFmtId="2" fontId="22" fillId="11" borderId="8" xfId="1" applyNumberFormat="1" applyFont="1" applyFill="1" applyBorder="1" applyAlignment="1">
      <alignment horizontal="center" vertical="center" wrapText="1"/>
    </xf>
  </cellXfs>
  <cellStyles count="4">
    <cellStyle name="Comma" xfId="2" builtinId="3"/>
    <cellStyle name="Hyperlink" xfId="3" builtinId="8"/>
    <cellStyle name="Normal" xfId="0" builtinId="0"/>
    <cellStyle name="Percent" xfId="1" builtinId="5"/>
  </cellStyles>
  <dxfs count="0"/>
  <tableStyles count="0" defaultTableStyle="TableStyleMedium2" defaultPivotStyle="PivotStyleLight16"/>
  <colors>
    <mruColors>
      <color rgb="FFFF6600"/>
      <color rgb="FFFF9933"/>
      <color rgb="FFCCFF66"/>
      <color rgb="FFFFFF99"/>
      <color rgb="FFFF5050"/>
      <color rgb="FFFF99FF"/>
      <color rgb="FF006600"/>
      <color rgb="FFCCFF99"/>
      <color rgb="FF000066"/>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101890609398731"/>
          <c:y val="0.16020748730001719"/>
          <c:w val="0.35796205771676309"/>
          <c:h val="0.67336902070516902"/>
        </c:manualLayout>
      </c:layout>
      <c:radarChart>
        <c:radarStyle val="marker"/>
        <c:varyColors val="0"/>
        <c:ser>
          <c:idx val="0"/>
          <c:order val="0"/>
          <c:tx>
            <c:strRef>
              <c:f>'Aspiration Chart'!$B$3</c:f>
              <c:strCache>
                <c:ptCount val="1"/>
                <c:pt idx="0">
                  <c:v>Achievement</c:v>
                </c:pt>
              </c:strCache>
            </c:strRef>
          </c:tx>
          <c:spPr>
            <a:ln w="28575" cap="rnd">
              <a:solidFill>
                <a:schemeClr val="accent1"/>
              </a:solidFill>
              <a:round/>
            </a:ln>
            <a:effectLst/>
          </c:spPr>
          <c:marker>
            <c:symbol val="none"/>
          </c:marker>
          <c:dLbls>
            <c:dLbl>
              <c:idx val="0"/>
              <c:layout>
                <c:manualLayout>
                  <c:x val="1.6522098306485529E-3"/>
                  <c:y val="0"/>
                </c:manualLayout>
              </c:layout>
              <c:spPr>
                <a:solidFill>
                  <a:srgbClr val="FF9933"/>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1A8-4178-8334-E3F2CC107E7E}"/>
                </c:ext>
              </c:extLst>
            </c:dLbl>
            <c:dLbl>
              <c:idx val="1"/>
              <c:layout>
                <c:manualLayout>
                  <c:x val="-3.3044196612969846E-2"/>
                  <c:y val="-1.0878008215894106E-2"/>
                </c:manualLayout>
              </c:layout>
              <c:spPr>
                <a:solidFill>
                  <a:srgbClr val="FFC000"/>
                </a:solidFill>
                <a:ln>
                  <a:noFill/>
                </a:ln>
                <a:effectLst/>
              </c:spPr>
              <c:txPr>
                <a:bodyPr rot="0" spcFirstLastPara="1" vertOverflow="ellipsis" vert="horz" wrap="square" lIns="38100" tIns="19050" rIns="38100" bIns="19050" anchor="ctr" anchorCtr="1">
                  <a:no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3.5819909128459317E-2"/>
                      <c:h val="4.6573537538060795E-2"/>
                    </c:manualLayout>
                  </c15:layout>
                </c:ext>
                <c:ext xmlns:c16="http://schemas.microsoft.com/office/drawing/2014/chart" uri="{C3380CC4-5D6E-409C-BE32-E72D297353CC}">
                  <c16:uniqueId val="{00000001-F1A8-4178-8334-E3F2CC107E7E}"/>
                </c:ext>
              </c:extLst>
            </c:dLbl>
            <c:dLbl>
              <c:idx val="2"/>
              <c:spPr>
                <a:solidFill>
                  <a:srgbClr val="FF0000"/>
                </a:solidFill>
                <a:ln>
                  <a:solidFill>
                    <a:srgbClr val="0070C0"/>
                  </a:solid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2-F1A8-4178-8334-E3F2CC107E7E}"/>
                </c:ext>
              </c:extLst>
            </c:dLbl>
            <c:dLbl>
              <c:idx val="3"/>
              <c:layout>
                <c:manualLayout>
                  <c:x val="-1.1565468814539447E-2"/>
                  <c:y val="0"/>
                </c:manualLayout>
              </c:layout>
              <c:spPr>
                <a:solidFill>
                  <a:srgbClr val="FFFF00"/>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1A8-4178-8334-E3F2CC107E7E}"/>
                </c:ext>
              </c:extLst>
            </c:dLbl>
            <c:dLbl>
              <c:idx val="4"/>
              <c:spPr>
                <a:solidFill>
                  <a:srgbClr val="FF0000"/>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4-F1A8-4178-8334-E3F2CC107E7E}"/>
                </c:ext>
              </c:extLst>
            </c:dLbl>
            <c:dLbl>
              <c:idx val="5"/>
              <c:spPr>
                <a:solidFill>
                  <a:srgbClr val="FFC000"/>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6="http://schemas.microsoft.com/office/drawing/2014/chart" uri="{C3380CC4-5D6E-409C-BE32-E72D297353CC}">
                  <c16:uniqueId val="{00000005-F1A8-4178-8334-E3F2CC107E7E}"/>
                </c:ext>
              </c:extLst>
            </c:dLbl>
            <c:dLbl>
              <c:idx val="6"/>
              <c:layout>
                <c:manualLayout>
                  <c:x val="0"/>
                  <c:y val="5.9052044600567802E-2"/>
                </c:manualLayout>
              </c:layout>
              <c:spPr>
                <a:solidFill>
                  <a:srgbClr val="FF6600"/>
                </a:solid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1A8-4178-8334-E3F2CC107E7E}"/>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'Aspiration Chart'!$A$4:$A$10</c:f>
              <c:strCache>
                <c:ptCount val="7"/>
                <c:pt idx="0">
                  <c:v>Apriration 1:  A properous Africa based on inclusive growth and sustainable development</c:v>
                </c:pt>
                <c:pt idx="1">
                  <c:v> Aspiration 2:  An integrated continent, politically united and based on the ideals of Pan - Africanism and a Vision of the African Renaissance</c:v>
                </c:pt>
                <c:pt idx="2">
                  <c:v>Aspiration 3: An African of good governance, democracy, respect for human rigjhts and the rule of law</c:v>
                </c:pt>
                <c:pt idx="3">
                  <c:v> Aspiration 4. A peaceful and secure Africa</c:v>
                </c:pt>
                <c:pt idx="4">
                  <c:v>Aspiration 5: African with a strong cultural identity, common heritage, value and beliefs</c:v>
                </c:pt>
                <c:pt idx="5">
                  <c:v>Aspiration 6 An Africa whose development of people driven, relying on the potential of the African People</c:v>
                </c:pt>
                <c:pt idx="6">
                  <c:v> Aspiration 7: Africa as a strong and influential global partner</c:v>
                </c:pt>
              </c:strCache>
            </c:strRef>
          </c:cat>
          <c:val>
            <c:numRef>
              <c:f>'Aspiration Chart'!$B$4:$B$10</c:f>
              <c:numCache>
                <c:formatCode>0%</c:formatCode>
                <c:ptCount val="7"/>
                <c:pt idx="0">
                  <c:v>0.32304923683604103</c:v>
                </c:pt>
                <c:pt idx="1">
                  <c:v>0.49411349722987025</c:v>
                </c:pt>
                <c:pt idx="2">
                  <c:v>0.20371443524390509</c:v>
                </c:pt>
                <c:pt idx="3">
                  <c:v>0.54545454545454553</c:v>
                </c:pt>
                <c:pt idx="4">
                  <c:v>8.1168831168831168E-2</c:v>
                </c:pt>
                <c:pt idx="5">
                  <c:v>0.38657102773099444</c:v>
                </c:pt>
                <c:pt idx="6">
                  <c:v>0.24584491810615308</c:v>
                </c:pt>
              </c:numCache>
            </c:numRef>
          </c:val>
          <c:extLst>
            <c:ext xmlns:c16="http://schemas.microsoft.com/office/drawing/2014/chart" uri="{C3380CC4-5D6E-409C-BE32-E72D297353CC}">
              <c16:uniqueId val="{00000007-F1A8-4178-8334-E3F2CC107E7E}"/>
            </c:ext>
          </c:extLst>
        </c:ser>
        <c:dLbls>
          <c:showLegendKey val="0"/>
          <c:showVal val="0"/>
          <c:showCatName val="0"/>
          <c:showSerName val="0"/>
          <c:showPercent val="0"/>
          <c:showBubbleSize val="0"/>
        </c:dLbls>
        <c:axId val="2053271680"/>
        <c:axId val="1858782976"/>
      </c:radarChart>
      <c:catAx>
        <c:axId val="205327168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58782976"/>
        <c:crosses val="autoZero"/>
        <c:auto val="1"/>
        <c:lblAlgn val="ctr"/>
        <c:lblOffset val="100"/>
        <c:noMultiLvlLbl val="0"/>
      </c:catAx>
      <c:valAx>
        <c:axId val="1858782976"/>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crossAx val="205327168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0134665310928717E-2"/>
          <c:y val="1.9196212729668042E-2"/>
          <c:w val="0.92860254583032675"/>
          <c:h val="0.86577617299847409"/>
        </c:manualLayout>
      </c:layout>
      <c:barChart>
        <c:barDir val="col"/>
        <c:grouping val="stacked"/>
        <c:varyColors val="0"/>
        <c:ser>
          <c:idx val="0"/>
          <c:order val="0"/>
          <c:tx>
            <c:strRef>
              <c:f>'Performance by Goal'!$D$1</c:f>
              <c:strCache>
                <c:ptCount val="1"/>
                <c:pt idx="0">
                  <c:v>Decription</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'Performance by Goal'!$C$2:$C$23</c:f>
              <c:strCache>
                <c:ptCount val="20"/>
                <c:pt idx="0">
                  <c:v>Goal 1</c:v>
                </c:pt>
                <c:pt idx="1">
                  <c:v>Goal 2</c:v>
                </c:pt>
                <c:pt idx="2">
                  <c:v>Goal 3</c:v>
                </c:pt>
                <c:pt idx="3">
                  <c:v>Goal 4</c:v>
                </c:pt>
                <c:pt idx="4">
                  <c:v>Goal 5</c:v>
                </c:pt>
                <c:pt idx="5">
                  <c:v>Goal 6</c:v>
                </c:pt>
                <c:pt idx="6">
                  <c:v>Goal 7</c:v>
                </c:pt>
                <c:pt idx="7">
                  <c:v>Goal 8</c:v>
                </c:pt>
                <c:pt idx="8">
                  <c:v>Goal 9</c:v>
                </c:pt>
                <c:pt idx="9">
                  <c:v>Goal 10</c:v>
                </c:pt>
                <c:pt idx="10">
                  <c:v>Goal 11</c:v>
                </c:pt>
                <c:pt idx="11">
                  <c:v>Goal 12</c:v>
                </c:pt>
                <c:pt idx="12">
                  <c:v>Goal 13</c:v>
                </c:pt>
                <c:pt idx="13">
                  <c:v>Goal 14</c:v>
                </c:pt>
                <c:pt idx="14">
                  <c:v>Goal 15</c:v>
                </c:pt>
                <c:pt idx="15">
                  <c:v>Goal 16</c:v>
                </c:pt>
                <c:pt idx="16">
                  <c:v>Goal 17</c:v>
                </c:pt>
                <c:pt idx="17">
                  <c:v>Goal 18</c:v>
                </c:pt>
                <c:pt idx="18">
                  <c:v>Goal 19</c:v>
                </c:pt>
                <c:pt idx="19">
                  <c:v>Goal 20</c:v>
                </c:pt>
              </c:strCache>
            </c:strRef>
          </c:cat>
          <c:val>
            <c:numRef>
              <c:f>'Performance by Goal'!$D$2:$D$23</c:f>
            </c:numRef>
          </c:val>
          <c:extLst>
            <c:ext xmlns:c16="http://schemas.microsoft.com/office/drawing/2014/chart" uri="{C3380CC4-5D6E-409C-BE32-E72D297353CC}">
              <c16:uniqueId val="{00000000-3BD5-42DB-A8DD-68ED77B36605}"/>
            </c:ext>
          </c:extLst>
        </c:ser>
        <c:ser>
          <c:idx val="1"/>
          <c:order val="1"/>
          <c:tx>
            <c:strRef>
              <c:f>'Performance by Goal'!$E$1</c:f>
              <c:strCache>
                <c:ptCount val="1"/>
                <c:pt idx="0">
                  <c:v>Achievement</c:v>
                </c:pt>
              </c:strCache>
            </c:strRef>
          </c:tx>
          <c:spPr>
            <a:solidFill>
              <a:schemeClr val="accent2"/>
            </a:solidFill>
            <a:ln>
              <a:noFill/>
            </a:ln>
            <a:effectLst/>
          </c:spPr>
          <c:invertIfNegative val="0"/>
          <c:dPt>
            <c:idx val="0"/>
            <c:invertIfNegative val="0"/>
            <c:bubble3D val="0"/>
            <c:spPr>
              <a:solidFill>
                <a:srgbClr val="FFFF00"/>
              </a:solidFill>
              <a:ln>
                <a:noFill/>
              </a:ln>
              <a:effectLst/>
            </c:spPr>
            <c:extLst>
              <c:ext xmlns:c16="http://schemas.microsoft.com/office/drawing/2014/chart" uri="{C3380CC4-5D6E-409C-BE32-E72D297353CC}">
                <c16:uniqueId val="{00000001-DF58-4B5C-AB0F-1BFB69053935}"/>
              </c:ext>
            </c:extLst>
          </c:dPt>
          <c:dPt>
            <c:idx val="1"/>
            <c:invertIfNegative val="0"/>
            <c:bubble3D val="0"/>
            <c:spPr>
              <a:solidFill>
                <a:srgbClr val="FF6600"/>
              </a:solidFill>
              <a:ln>
                <a:noFill/>
              </a:ln>
              <a:effectLst/>
            </c:spPr>
            <c:extLst>
              <c:ext xmlns:c16="http://schemas.microsoft.com/office/drawing/2014/chart" uri="{C3380CC4-5D6E-409C-BE32-E72D297353CC}">
                <c16:uniqueId val="{00000003-DF58-4B5C-AB0F-1BFB69053935}"/>
              </c:ext>
            </c:extLst>
          </c:dPt>
          <c:dPt>
            <c:idx val="2"/>
            <c:invertIfNegative val="0"/>
            <c:bubble3D val="0"/>
            <c:spPr>
              <a:solidFill>
                <a:srgbClr val="FFFF00"/>
              </a:solidFill>
              <a:ln>
                <a:noFill/>
              </a:ln>
              <a:effectLst/>
            </c:spPr>
            <c:extLst>
              <c:ext xmlns:c16="http://schemas.microsoft.com/office/drawing/2014/chart" uri="{C3380CC4-5D6E-409C-BE32-E72D297353CC}">
                <c16:uniqueId val="{00000005-DF58-4B5C-AB0F-1BFB69053935}"/>
              </c:ext>
            </c:extLst>
          </c:dPt>
          <c:dPt>
            <c:idx val="3"/>
            <c:invertIfNegative val="0"/>
            <c:bubble3D val="0"/>
            <c:spPr>
              <a:solidFill>
                <a:srgbClr val="FF0000"/>
              </a:solidFill>
              <a:ln>
                <a:noFill/>
              </a:ln>
              <a:effectLst/>
            </c:spPr>
            <c:extLst>
              <c:ext xmlns:c16="http://schemas.microsoft.com/office/drawing/2014/chart" uri="{C3380CC4-5D6E-409C-BE32-E72D297353CC}">
                <c16:uniqueId val="{00000007-DF58-4B5C-AB0F-1BFB69053935}"/>
              </c:ext>
            </c:extLst>
          </c:dPt>
          <c:dPt>
            <c:idx val="4"/>
            <c:invertIfNegative val="0"/>
            <c:bubble3D val="0"/>
            <c:spPr>
              <a:solidFill>
                <a:srgbClr val="FF0000"/>
              </a:solidFill>
              <a:ln>
                <a:noFill/>
              </a:ln>
              <a:effectLst/>
            </c:spPr>
            <c:extLst>
              <c:ext xmlns:c16="http://schemas.microsoft.com/office/drawing/2014/chart" uri="{C3380CC4-5D6E-409C-BE32-E72D297353CC}">
                <c16:uniqueId val="{00000009-DF58-4B5C-AB0F-1BFB69053935}"/>
              </c:ext>
            </c:extLst>
          </c:dPt>
          <c:dPt>
            <c:idx val="5"/>
            <c:invertIfNegative val="0"/>
            <c:bubble3D val="0"/>
            <c:spPr>
              <a:solidFill>
                <a:srgbClr val="FF9933"/>
              </a:solidFill>
              <a:ln>
                <a:noFill/>
              </a:ln>
              <a:effectLst/>
            </c:spPr>
            <c:extLst>
              <c:ext xmlns:c16="http://schemas.microsoft.com/office/drawing/2014/chart" uri="{C3380CC4-5D6E-409C-BE32-E72D297353CC}">
                <c16:uniqueId val="{0000000B-DF58-4B5C-AB0F-1BFB69053935}"/>
              </c:ext>
            </c:extLst>
          </c:dPt>
          <c:dPt>
            <c:idx val="6"/>
            <c:invertIfNegative val="0"/>
            <c:bubble3D val="0"/>
            <c:spPr>
              <a:solidFill>
                <a:srgbClr val="FF0000"/>
              </a:solidFill>
              <a:ln>
                <a:noFill/>
              </a:ln>
              <a:effectLst/>
            </c:spPr>
            <c:extLst>
              <c:ext xmlns:c16="http://schemas.microsoft.com/office/drawing/2014/chart" uri="{C3380CC4-5D6E-409C-BE32-E72D297353CC}">
                <c16:uniqueId val="{0000000D-DF58-4B5C-AB0F-1BFB69053935}"/>
              </c:ext>
            </c:extLst>
          </c:dPt>
          <c:dPt>
            <c:idx val="7"/>
            <c:invertIfNegative val="0"/>
            <c:bubble3D val="0"/>
            <c:spPr>
              <a:solidFill>
                <a:srgbClr val="FF0000"/>
              </a:solidFill>
              <a:ln>
                <a:noFill/>
              </a:ln>
              <a:effectLst/>
            </c:spPr>
            <c:extLst>
              <c:ext xmlns:c16="http://schemas.microsoft.com/office/drawing/2014/chart" uri="{C3380CC4-5D6E-409C-BE32-E72D297353CC}">
                <c16:uniqueId val="{0000000F-DF58-4B5C-AB0F-1BFB69053935}"/>
              </c:ext>
            </c:extLst>
          </c:dPt>
          <c:dPt>
            <c:idx val="8"/>
            <c:invertIfNegative val="0"/>
            <c:bubble3D val="0"/>
            <c:spPr>
              <a:solidFill>
                <a:srgbClr val="00B050"/>
              </a:solidFill>
              <a:ln>
                <a:noFill/>
              </a:ln>
              <a:effectLst/>
            </c:spPr>
            <c:extLst>
              <c:ext xmlns:c16="http://schemas.microsoft.com/office/drawing/2014/chart" uri="{C3380CC4-5D6E-409C-BE32-E72D297353CC}">
                <c16:uniqueId val="{00000011-DF58-4B5C-AB0F-1BFB69053935}"/>
              </c:ext>
            </c:extLst>
          </c:dPt>
          <c:dPt>
            <c:idx val="9"/>
            <c:invertIfNegative val="0"/>
            <c:bubble3D val="0"/>
            <c:spPr>
              <a:solidFill>
                <a:srgbClr val="FF9933"/>
              </a:solidFill>
              <a:ln>
                <a:noFill/>
              </a:ln>
              <a:effectLst/>
            </c:spPr>
            <c:extLst>
              <c:ext xmlns:c16="http://schemas.microsoft.com/office/drawing/2014/chart" uri="{C3380CC4-5D6E-409C-BE32-E72D297353CC}">
                <c16:uniqueId val="{00000013-DF58-4B5C-AB0F-1BFB69053935}"/>
              </c:ext>
            </c:extLst>
          </c:dPt>
          <c:dPt>
            <c:idx val="10"/>
            <c:invertIfNegative val="0"/>
            <c:bubble3D val="0"/>
            <c:spPr>
              <a:solidFill>
                <a:srgbClr val="FF9933"/>
              </a:solidFill>
              <a:ln>
                <a:noFill/>
              </a:ln>
              <a:effectLst/>
            </c:spPr>
            <c:extLst>
              <c:ext xmlns:c16="http://schemas.microsoft.com/office/drawing/2014/chart" uri="{C3380CC4-5D6E-409C-BE32-E72D297353CC}">
                <c16:uniqueId val="{00000015-DF58-4B5C-AB0F-1BFB69053935}"/>
              </c:ext>
            </c:extLst>
          </c:dPt>
          <c:dPt>
            <c:idx val="11"/>
            <c:invertIfNegative val="0"/>
            <c:bubble3D val="0"/>
            <c:spPr>
              <a:solidFill>
                <a:srgbClr val="FF0000"/>
              </a:solidFill>
              <a:ln>
                <a:noFill/>
              </a:ln>
              <a:effectLst/>
            </c:spPr>
            <c:extLst>
              <c:ext xmlns:c16="http://schemas.microsoft.com/office/drawing/2014/chart" uri="{C3380CC4-5D6E-409C-BE32-E72D297353CC}">
                <c16:uniqueId val="{00000017-DF58-4B5C-AB0F-1BFB69053935}"/>
              </c:ext>
            </c:extLst>
          </c:dPt>
          <c:dPt>
            <c:idx val="12"/>
            <c:invertIfNegative val="0"/>
            <c:bubble3D val="0"/>
            <c:spPr>
              <a:solidFill>
                <a:srgbClr val="FF6600"/>
              </a:solidFill>
              <a:ln>
                <a:noFill/>
              </a:ln>
              <a:effectLst/>
            </c:spPr>
            <c:extLst>
              <c:ext xmlns:c16="http://schemas.microsoft.com/office/drawing/2014/chart" uri="{C3380CC4-5D6E-409C-BE32-E72D297353CC}">
                <c16:uniqueId val="{00000019-DF58-4B5C-AB0F-1BFB69053935}"/>
              </c:ext>
            </c:extLst>
          </c:dPt>
          <c:dPt>
            <c:idx val="13"/>
            <c:invertIfNegative val="0"/>
            <c:bubble3D val="0"/>
            <c:spPr>
              <a:solidFill>
                <a:srgbClr val="FFFF00"/>
              </a:solidFill>
              <a:ln>
                <a:noFill/>
              </a:ln>
              <a:effectLst/>
            </c:spPr>
            <c:extLst>
              <c:ext xmlns:c16="http://schemas.microsoft.com/office/drawing/2014/chart" uri="{C3380CC4-5D6E-409C-BE32-E72D297353CC}">
                <c16:uniqueId val="{0000001B-DF58-4B5C-AB0F-1BFB69053935}"/>
              </c:ext>
            </c:extLst>
          </c:dPt>
          <c:dPt>
            <c:idx val="14"/>
            <c:invertIfNegative val="0"/>
            <c:bubble3D val="0"/>
            <c:spPr>
              <a:solidFill>
                <a:srgbClr val="CCFF66"/>
              </a:solidFill>
              <a:ln>
                <a:noFill/>
              </a:ln>
              <a:effectLst/>
            </c:spPr>
            <c:extLst>
              <c:ext xmlns:c16="http://schemas.microsoft.com/office/drawing/2014/chart" uri="{C3380CC4-5D6E-409C-BE32-E72D297353CC}">
                <c16:uniqueId val="{0000001D-DF58-4B5C-AB0F-1BFB69053935}"/>
              </c:ext>
            </c:extLst>
          </c:dPt>
          <c:dPt>
            <c:idx val="15"/>
            <c:invertIfNegative val="0"/>
            <c:bubble3D val="0"/>
            <c:spPr>
              <a:solidFill>
                <a:srgbClr val="FF6600"/>
              </a:solidFill>
              <a:ln>
                <a:noFill/>
              </a:ln>
              <a:effectLst/>
            </c:spPr>
            <c:extLst>
              <c:ext xmlns:c16="http://schemas.microsoft.com/office/drawing/2014/chart" uri="{C3380CC4-5D6E-409C-BE32-E72D297353CC}">
                <c16:uniqueId val="{00000025-77E3-48E2-9CD8-270ACE34747F}"/>
              </c:ext>
            </c:extLst>
          </c:dPt>
          <c:dPt>
            <c:idx val="16"/>
            <c:invertIfNegative val="0"/>
            <c:bubble3D val="0"/>
            <c:spPr>
              <a:solidFill>
                <a:srgbClr val="FF9933"/>
              </a:solidFill>
              <a:ln>
                <a:noFill/>
              </a:ln>
              <a:effectLst/>
            </c:spPr>
            <c:extLst>
              <c:ext xmlns:c16="http://schemas.microsoft.com/office/drawing/2014/chart" uri="{C3380CC4-5D6E-409C-BE32-E72D297353CC}">
                <c16:uniqueId val="{00000021-DF58-4B5C-AB0F-1BFB69053935}"/>
              </c:ext>
            </c:extLst>
          </c:dPt>
          <c:dPt>
            <c:idx val="17"/>
            <c:invertIfNegative val="0"/>
            <c:bubble3D val="0"/>
            <c:spPr>
              <a:solidFill>
                <a:srgbClr val="FFFF00"/>
              </a:solidFill>
              <a:ln>
                <a:noFill/>
              </a:ln>
              <a:effectLst/>
            </c:spPr>
            <c:extLst>
              <c:ext xmlns:c16="http://schemas.microsoft.com/office/drawing/2014/chart" uri="{C3380CC4-5D6E-409C-BE32-E72D297353CC}">
                <c16:uniqueId val="{00000023-DF58-4B5C-AB0F-1BFB69053935}"/>
              </c:ext>
            </c:extLst>
          </c:dPt>
          <c:dPt>
            <c:idx val="18"/>
            <c:invertIfNegative val="0"/>
            <c:bubble3D val="0"/>
            <c:spPr>
              <a:solidFill>
                <a:srgbClr val="FFC000"/>
              </a:solidFill>
              <a:ln>
                <a:noFill/>
              </a:ln>
              <a:effectLst/>
            </c:spPr>
            <c:extLst>
              <c:ext xmlns:c16="http://schemas.microsoft.com/office/drawing/2014/chart" uri="{C3380CC4-5D6E-409C-BE32-E72D297353CC}">
                <c16:uniqueId val="{00000023-77E3-48E2-9CD8-270ACE34747F}"/>
              </c:ext>
            </c:extLst>
          </c:dPt>
          <c:dPt>
            <c:idx val="19"/>
            <c:invertIfNegative val="0"/>
            <c:bubble3D val="0"/>
            <c:spPr>
              <a:solidFill>
                <a:srgbClr val="FF6600"/>
              </a:solidFill>
              <a:ln>
                <a:noFill/>
              </a:ln>
              <a:effectLst/>
            </c:spPr>
            <c:extLst>
              <c:ext xmlns:c16="http://schemas.microsoft.com/office/drawing/2014/chart" uri="{C3380CC4-5D6E-409C-BE32-E72D297353CC}">
                <c16:uniqueId val="{00000024-77E3-48E2-9CD8-270ACE34747F}"/>
              </c:ext>
            </c:extLst>
          </c:dPt>
          <c:dLbls>
            <c:dLbl>
              <c:idx val="0"/>
              <c:layout>
                <c:manualLayout>
                  <c:x val="0"/>
                  <c:y val="-0.2742316104238292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F58-4B5C-AB0F-1BFB69053935}"/>
                </c:ext>
              </c:extLst>
            </c:dLbl>
            <c:dLbl>
              <c:idx val="1"/>
              <c:layout>
                <c:manualLayout>
                  <c:x val="1.6435540264032275E-3"/>
                  <c:y val="-0.11977932409316688"/>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F58-4B5C-AB0F-1BFB69053935}"/>
                </c:ext>
              </c:extLst>
            </c:dLbl>
            <c:dLbl>
              <c:idx val="2"/>
              <c:layout>
                <c:manualLayout>
                  <c:x val="3.2871080528064848E-3"/>
                  <c:y val="-0.2458628231386055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F58-4B5C-AB0F-1BFB69053935}"/>
                </c:ext>
              </c:extLst>
            </c:dLbl>
            <c:dLbl>
              <c:idx val="3"/>
              <c:layout>
                <c:manualLayout>
                  <c:x val="0"/>
                  <c:y val="-7.249776375526299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F58-4B5C-AB0F-1BFB69053935}"/>
                </c:ext>
              </c:extLst>
            </c:dLbl>
            <c:dLbl>
              <c:idx val="4"/>
              <c:layout>
                <c:manualLayout>
                  <c:x val="3.2871080528064848E-3"/>
                  <c:y val="-3.152087476135967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DF58-4B5C-AB0F-1BFB69053935}"/>
                </c:ext>
              </c:extLst>
            </c:dLbl>
            <c:dLbl>
              <c:idx val="5"/>
              <c:layout>
                <c:manualLayout>
                  <c:x val="0"/>
                  <c:y val="-0.1702127237113423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F58-4B5C-AB0F-1BFB69053935}"/>
                </c:ext>
              </c:extLst>
            </c:dLbl>
            <c:dLbl>
              <c:idx val="6"/>
              <c:layout>
                <c:manualLayout>
                  <c:x val="0"/>
                  <c:y val="-9.456262428407914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DF58-4B5C-AB0F-1BFB69053935}"/>
                </c:ext>
              </c:extLst>
            </c:dLbl>
            <c:dLbl>
              <c:idx val="7"/>
              <c:layout>
                <c:manualLayout>
                  <c:x val="-6.0262951472027715E-17"/>
                  <c:y val="-6.934592447499141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DF58-4B5C-AB0F-1BFB69053935}"/>
                </c:ext>
              </c:extLst>
            </c:dLbl>
            <c:dLbl>
              <c:idx val="8"/>
              <c:layout>
                <c:manualLayout>
                  <c:x val="3.2871080528064848E-3"/>
                  <c:y val="-0.438140159182899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DF58-4B5C-AB0F-1BFB69053935}"/>
                </c:ext>
              </c:extLst>
            </c:dLbl>
            <c:dLbl>
              <c:idx val="9"/>
              <c:layout>
                <c:manualLayout>
                  <c:x val="-1.6435540264032424E-3"/>
                  <c:y val="-0.176516898663614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DF58-4B5C-AB0F-1BFB69053935}"/>
                </c:ext>
              </c:extLst>
            </c:dLbl>
            <c:dLbl>
              <c:idx val="10"/>
              <c:layout>
                <c:manualLayout>
                  <c:x val="1.6435540264032424E-3"/>
                  <c:y val="-0.1544522863306625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DF58-4B5C-AB0F-1BFB69053935}"/>
                </c:ext>
              </c:extLst>
            </c:dLbl>
            <c:dLbl>
              <c:idx val="11"/>
              <c:layout>
                <c:manualLayout>
                  <c:x val="0"/>
                  <c:y val="-3.46729622374957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DF58-4B5C-AB0F-1BFB69053935}"/>
                </c:ext>
              </c:extLst>
            </c:dLbl>
            <c:dLbl>
              <c:idx val="12"/>
              <c:layout>
                <c:manualLayout>
                  <c:x val="1.6435540264031219E-3"/>
                  <c:y val="-0.1197793240931667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DF58-4B5C-AB0F-1BFB69053935}"/>
                </c:ext>
              </c:extLst>
            </c:dLbl>
            <c:dLbl>
              <c:idx val="13"/>
              <c:layout>
                <c:manualLayout>
                  <c:x val="-1.643554026403363E-3"/>
                  <c:y val="-0.2836878728522371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DF58-4B5C-AB0F-1BFB69053935}"/>
                </c:ext>
              </c:extLst>
            </c:dLbl>
            <c:dLbl>
              <c:idx val="14"/>
              <c:layout>
                <c:manualLayout>
                  <c:x val="4.930662079209727E-3"/>
                  <c:y val="-0.3782504971363161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DF58-4B5C-AB0F-1BFB69053935}"/>
                </c:ext>
              </c:extLst>
            </c:dLbl>
            <c:dLbl>
              <c:idx val="15"/>
              <c:layout>
                <c:manualLayout>
                  <c:x val="-1.2052590294405543E-16"/>
                  <c:y val="-3.467296223749564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5-77E3-48E2-9CD8-270ACE34747F}"/>
                </c:ext>
              </c:extLst>
            </c:dLbl>
            <c:dLbl>
              <c:idx val="16"/>
              <c:layout>
                <c:manualLayout>
                  <c:x val="-1.2052590294405543E-16"/>
                  <c:y val="-0.1796689861397502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1-DF58-4B5C-AB0F-1BFB69053935}"/>
                </c:ext>
              </c:extLst>
            </c:dLbl>
            <c:dLbl>
              <c:idx val="17"/>
              <c:layout>
                <c:manualLayout>
                  <c:x val="-1.2052590294405543E-16"/>
                  <c:y val="-0.26162326051928536"/>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DF58-4B5C-AB0F-1BFB69053935}"/>
                </c:ext>
              </c:extLst>
            </c:dLbl>
            <c:dLbl>
              <c:idx val="18"/>
              <c:layout>
                <c:manualLayout>
                  <c:x val="0"/>
                  <c:y val="-0.2017335984727019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3-77E3-48E2-9CD8-270ACE34747F}"/>
                </c:ext>
              </c:extLst>
            </c:dLbl>
            <c:dLbl>
              <c:idx val="19"/>
              <c:layout>
                <c:manualLayout>
                  <c:x val="-1.2052590294405543E-16"/>
                  <c:y val="-0.1197793240931667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4-77E3-48E2-9CD8-270ACE34747F}"/>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'Performance by Goal'!$C$2:$C$23</c:f>
              <c:strCache>
                <c:ptCount val="20"/>
                <c:pt idx="0">
                  <c:v>Goal 1</c:v>
                </c:pt>
                <c:pt idx="1">
                  <c:v>Goal 2</c:v>
                </c:pt>
                <c:pt idx="2">
                  <c:v>Goal 3</c:v>
                </c:pt>
                <c:pt idx="3">
                  <c:v>Goal 4</c:v>
                </c:pt>
                <c:pt idx="4">
                  <c:v>Goal 5</c:v>
                </c:pt>
                <c:pt idx="5">
                  <c:v>Goal 6</c:v>
                </c:pt>
                <c:pt idx="6">
                  <c:v>Goal 7</c:v>
                </c:pt>
                <c:pt idx="7">
                  <c:v>Goal 8</c:v>
                </c:pt>
                <c:pt idx="8">
                  <c:v>Goal 9</c:v>
                </c:pt>
                <c:pt idx="9">
                  <c:v>Goal 10</c:v>
                </c:pt>
                <c:pt idx="10">
                  <c:v>Goal 11</c:v>
                </c:pt>
                <c:pt idx="11">
                  <c:v>Goal 12</c:v>
                </c:pt>
                <c:pt idx="12">
                  <c:v>Goal 13</c:v>
                </c:pt>
                <c:pt idx="13">
                  <c:v>Goal 14</c:v>
                </c:pt>
                <c:pt idx="14">
                  <c:v>Goal 15</c:v>
                </c:pt>
                <c:pt idx="15">
                  <c:v>Goal 16</c:v>
                </c:pt>
                <c:pt idx="16">
                  <c:v>Goal 17</c:v>
                </c:pt>
                <c:pt idx="17">
                  <c:v>Goal 18</c:v>
                </c:pt>
                <c:pt idx="18">
                  <c:v>Goal 19</c:v>
                </c:pt>
                <c:pt idx="19">
                  <c:v>Goal 20</c:v>
                </c:pt>
              </c:strCache>
            </c:strRef>
          </c:cat>
          <c:val>
            <c:numRef>
              <c:f>'Performance by Goal'!$E$2:$E$23</c:f>
              <c:numCache>
                <c:formatCode>0%</c:formatCode>
                <c:ptCount val="20"/>
                <c:pt idx="0">
                  <c:v>0.61192517139664782</c:v>
                </c:pt>
                <c:pt idx="1">
                  <c:v>0.24051739351608678</c:v>
                </c:pt>
                <c:pt idx="2">
                  <c:v>0.4885352903509016</c:v>
                </c:pt>
                <c:pt idx="3">
                  <c:v>0.18749360558000125</c:v>
                </c:pt>
                <c:pt idx="4">
                  <c:v>3.4681364368655702E-2</c:v>
                </c:pt>
                <c:pt idx="5">
                  <c:v>0.29480444946667234</c:v>
                </c:pt>
                <c:pt idx="6">
                  <c:v>0.23957751358331125</c:v>
                </c:pt>
                <c:pt idx="7">
                  <c:v>9.1080500424014013E-2</c:v>
                </c:pt>
                <c:pt idx="8">
                  <c:v>0.9545454545454547</c:v>
                </c:pt>
                <c:pt idx="9">
                  <c:v>0.43671453672014204</c:v>
                </c:pt>
                <c:pt idx="10">
                  <c:v>0.39657006842609716</c:v>
                </c:pt>
                <c:pt idx="11">
                  <c:v>1.0858802061713031E-2</c:v>
                </c:pt>
                <c:pt idx="12">
                  <c:v>0.27272727272727271</c:v>
                </c:pt>
                <c:pt idx="13">
                  <c:v>0.54545454545454541</c:v>
                </c:pt>
                <c:pt idx="14">
                  <c:v>0.81818181818181823</c:v>
                </c:pt>
                <c:pt idx="15">
                  <c:v>8.1168831168831168E-2</c:v>
                </c:pt>
                <c:pt idx="16">
                  <c:v>0.33534166206792926</c:v>
                </c:pt>
                <c:pt idx="17">
                  <c:v>0.48902975905712476</c:v>
                </c:pt>
                <c:pt idx="18">
                  <c:v>0.4277879808182839</c:v>
                </c:pt>
                <c:pt idx="19">
                  <c:v>0.18519723053544282</c:v>
                </c:pt>
              </c:numCache>
            </c:numRef>
          </c:val>
          <c:extLst>
            <c:ext xmlns:c16="http://schemas.microsoft.com/office/drawing/2014/chart" uri="{C3380CC4-5D6E-409C-BE32-E72D297353CC}">
              <c16:uniqueId val="{00000022-77E3-48E2-9CD8-270ACE34747F}"/>
            </c:ext>
          </c:extLst>
        </c:ser>
        <c:dLbls>
          <c:showLegendKey val="0"/>
          <c:showVal val="0"/>
          <c:showCatName val="0"/>
          <c:showSerName val="0"/>
          <c:showPercent val="0"/>
          <c:showBubbleSize val="0"/>
        </c:dLbls>
        <c:gapWidth val="150"/>
        <c:overlap val="100"/>
        <c:axId val="2052780656"/>
        <c:axId val="2051166640"/>
      </c:barChart>
      <c:catAx>
        <c:axId val="2052780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51166640"/>
        <c:crosses val="autoZero"/>
        <c:auto val="1"/>
        <c:lblAlgn val="ctr"/>
        <c:lblOffset val="100"/>
        <c:noMultiLvlLbl val="0"/>
      </c:catAx>
      <c:valAx>
        <c:axId val="20511666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mn-lt"/>
                <a:ea typeface="+mn-ea"/>
                <a:cs typeface="+mn-cs"/>
              </a:defRPr>
            </a:pPr>
            <a:endParaRPr lang="en-US"/>
          </a:p>
        </c:txPr>
        <c:crossAx val="205278065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133349</xdr:colOff>
      <xdr:row>10</xdr:row>
      <xdr:rowOff>123824</xdr:rowOff>
    </xdr:from>
    <xdr:to>
      <xdr:col>2</xdr:col>
      <xdr:colOff>404811</xdr:colOff>
      <xdr:row>33</xdr:row>
      <xdr:rowOff>47625</xdr:rowOff>
    </xdr:to>
    <xdr:graphicFrame macro="">
      <xdr:nvGraphicFramePr>
        <xdr:cNvPr id="3" name="Chart 2">
          <a:extLst>
            <a:ext uri="{FF2B5EF4-FFF2-40B4-BE49-F238E27FC236}">
              <a16:creationId xmlns:a16="http://schemas.microsoft.com/office/drawing/2014/main" id="{FDC33054-816A-4312-B67C-1D671D5113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130967</xdr:colOff>
      <xdr:row>1</xdr:row>
      <xdr:rowOff>33337</xdr:rowOff>
    </xdr:from>
    <xdr:to>
      <xdr:col>15</xdr:col>
      <xdr:colOff>347662</xdr:colOff>
      <xdr:row>15</xdr:row>
      <xdr:rowOff>185738</xdr:rowOff>
    </xdr:to>
    <xdr:graphicFrame macro="">
      <xdr:nvGraphicFramePr>
        <xdr:cNvPr id="2" name="Chart 1">
          <a:extLst>
            <a:ext uri="{FF2B5EF4-FFF2-40B4-BE49-F238E27FC236}">
              <a16:creationId xmlns:a16="http://schemas.microsoft.com/office/drawing/2014/main" id="{FFEA0A31-29D2-4AD0-86B5-E9F1425171C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E6453-5B53-4B7A-8243-4114A4C9C88E}">
  <dimension ref="A1:B10"/>
  <sheetViews>
    <sheetView topLeftCell="A16" workbookViewId="0">
      <selection activeCell="D28" sqref="D28"/>
    </sheetView>
  </sheetViews>
  <sheetFormatPr defaultRowHeight="14.25" x14ac:dyDescent="0.45"/>
  <cols>
    <col min="1" max="1" width="91.46484375" customWidth="1"/>
    <col min="2" max="2" width="12.33203125" customWidth="1"/>
  </cols>
  <sheetData>
    <row r="1" spans="1:2" x14ac:dyDescent="0.45">
      <c r="A1" t="s">
        <v>576</v>
      </c>
      <c r="B1" t="s">
        <v>546</v>
      </c>
    </row>
    <row r="3" spans="1:2" x14ac:dyDescent="0.45">
      <c r="A3" t="s">
        <v>577</v>
      </c>
      <c r="B3" t="s">
        <v>547</v>
      </c>
    </row>
    <row r="4" spans="1:2" x14ac:dyDescent="0.45">
      <c r="A4" s="614" t="s">
        <v>603</v>
      </c>
      <c r="B4" s="615">
        <f>'Initial Analysis Table'!E2</f>
        <v>0.32304923683604103</v>
      </c>
    </row>
    <row r="5" spans="1:2" ht="24" x14ac:dyDescent="0.45">
      <c r="A5" s="614" t="s">
        <v>604</v>
      </c>
      <c r="B5" s="615">
        <f>'Initial Analysis Table'!E10</f>
        <v>0.49411349722987025</v>
      </c>
    </row>
    <row r="6" spans="1:2" x14ac:dyDescent="0.45">
      <c r="A6" s="614" t="s">
        <v>605</v>
      </c>
      <c r="B6" s="615">
        <f>'Initial Analysis Table'!E14</f>
        <v>0.20371443524390509</v>
      </c>
    </row>
    <row r="7" spans="1:2" x14ac:dyDescent="0.45">
      <c r="A7" s="614" t="s">
        <v>606</v>
      </c>
      <c r="B7" s="615">
        <f>'Initial Analysis Table'!E17</f>
        <v>0.54545454545454553</v>
      </c>
    </row>
    <row r="8" spans="1:2" x14ac:dyDescent="0.45">
      <c r="A8" s="614" t="s">
        <v>607</v>
      </c>
      <c r="B8" s="615">
        <f>'Initial Analysis Table'!E21</f>
        <v>8.1168831168831168E-2</v>
      </c>
    </row>
    <row r="9" spans="1:2" x14ac:dyDescent="0.45">
      <c r="A9" s="614" t="s">
        <v>608</v>
      </c>
      <c r="B9" s="615">
        <f>'Initial Analysis Table'!E23</f>
        <v>0.38657102773099444</v>
      </c>
    </row>
    <row r="10" spans="1:2" x14ac:dyDescent="0.45">
      <c r="A10" s="614" t="s">
        <v>609</v>
      </c>
      <c r="B10" s="615">
        <f>'Initial Analysis Table'!E26</f>
        <v>0.24584491810615308</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8CD34-BC80-497A-ABC9-7ADCEA309B24}">
  <dimension ref="A1:AA168"/>
  <sheetViews>
    <sheetView topLeftCell="B1" zoomScale="50" zoomScaleNormal="50" workbookViewId="0">
      <selection activeCell="G11" sqref="G11:G12 C11:C12 M11:M12"/>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871"/>
      <c r="R1" s="3"/>
      <c r="S1" s="4"/>
      <c r="U1" s="872"/>
      <c r="V1" s="872"/>
      <c r="W1" s="872"/>
      <c r="X1" s="872"/>
      <c r="Y1" s="872"/>
      <c r="Z1" s="872"/>
      <c r="AA1" s="872"/>
    </row>
    <row r="2" spans="1:27" ht="30" x14ac:dyDescent="1.1000000000000001">
      <c r="B2" s="873"/>
      <c r="C2" s="874"/>
      <c r="D2" s="875" t="s">
        <v>286</v>
      </c>
      <c r="E2" s="874"/>
      <c r="F2" s="876"/>
      <c r="G2" s="876"/>
      <c r="H2" s="876"/>
      <c r="I2" s="876"/>
      <c r="J2" s="876"/>
      <c r="K2" s="876"/>
      <c r="L2" s="876"/>
      <c r="M2" s="876"/>
      <c r="N2" s="876"/>
      <c r="O2" s="876"/>
      <c r="P2" s="876"/>
      <c r="Q2" s="874"/>
      <c r="R2" s="876"/>
      <c r="S2" s="6"/>
    </row>
    <row r="3" spans="1:27" ht="14.65" thickBot="1" x14ac:dyDescent="0.5">
      <c r="B3" s="877"/>
      <c r="C3" s="878"/>
      <c r="D3" s="878"/>
      <c r="E3" s="878"/>
      <c r="F3" s="879"/>
      <c r="G3" s="879"/>
      <c r="H3" s="879"/>
      <c r="I3" s="879"/>
      <c r="J3" s="879"/>
      <c r="K3" s="879"/>
      <c r="L3" s="879"/>
      <c r="M3" s="879"/>
      <c r="N3" s="879"/>
      <c r="O3" s="879"/>
      <c r="P3" s="879"/>
      <c r="Q3" s="878"/>
      <c r="R3" s="879"/>
      <c r="S3" s="7"/>
    </row>
    <row r="4" spans="1:27" ht="26.45" customHeight="1" thickBot="1" x14ac:dyDescent="0.5">
      <c r="B4" s="877"/>
      <c r="C4" s="878"/>
      <c r="D4" s="880" t="s">
        <v>195</v>
      </c>
      <c r="E4" s="878"/>
      <c r="F4" s="8" t="s">
        <v>253</v>
      </c>
      <c r="G4" s="879"/>
      <c r="H4" s="879"/>
      <c r="I4" s="879"/>
      <c r="J4" s="879"/>
      <c r="K4" s="1737" t="s">
        <v>723</v>
      </c>
      <c r="L4" s="1738"/>
      <c r="M4" s="1739"/>
      <c r="N4" s="881">
        <f>(N9+N46+N59+N69+N76+N79+N92)/7</f>
        <v>0.87305100856139195</v>
      </c>
      <c r="O4" s="882">
        <f>(O9+O46+O59+O69+O76+O79+O92)</f>
        <v>64.695104747235305</v>
      </c>
      <c r="P4" s="881">
        <f>O4/100</f>
        <v>0.6469510474723531</v>
      </c>
      <c r="Q4" s="878"/>
      <c r="R4" s="879"/>
      <c r="S4" s="7"/>
    </row>
    <row r="5" spans="1:27" ht="18.399999999999999" thickBot="1" x14ac:dyDescent="0.6">
      <c r="B5" s="1740"/>
      <c r="C5" s="1741"/>
      <c r="D5" s="1741"/>
      <c r="E5" s="1741"/>
      <c r="F5" s="1741"/>
      <c r="G5" s="1741"/>
      <c r="H5" s="1741"/>
      <c r="I5" s="1741"/>
      <c r="J5" s="1741"/>
      <c r="K5" s="1741"/>
      <c r="L5" s="68"/>
      <c r="M5" s="883">
        <f>100/28</f>
        <v>3.5714285714285716</v>
      </c>
      <c r="N5" s="9"/>
      <c r="O5" s="647"/>
      <c r="P5" s="647"/>
      <c r="Q5" s="884"/>
      <c r="R5" s="9"/>
      <c r="S5" s="10"/>
    </row>
    <row r="6" spans="1:27" ht="33.6" customHeight="1" thickBot="1" x14ac:dyDescent="0.5">
      <c r="B6" s="1742"/>
      <c r="C6" s="1743"/>
      <c r="D6" s="1743"/>
      <c r="E6" s="1743"/>
      <c r="F6" s="1744"/>
      <c r="G6" s="885"/>
      <c r="H6" s="885"/>
      <c r="I6" s="885"/>
      <c r="J6" s="885"/>
      <c r="K6" s="885"/>
      <c r="L6" s="885"/>
      <c r="M6" s="885"/>
      <c r="N6" s="886"/>
      <c r="O6" s="887"/>
      <c r="P6" s="887"/>
      <c r="Q6" s="886"/>
      <c r="R6" s="12"/>
      <c r="S6" s="13"/>
    </row>
    <row r="7" spans="1:27" ht="55.8" customHeight="1" thickBot="1" x14ac:dyDescent="0.5">
      <c r="B7" s="1745"/>
      <c r="C7" s="1746"/>
      <c r="D7" s="1746"/>
      <c r="E7" s="1746"/>
      <c r="F7" s="1747"/>
      <c r="G7" s="888"/>
      <c r="H7" s="889" t="s">
        <v>218</v>
      </c>
      <c r="I7" s="890" t="s">
        <v>219</v>
      </c>
      <c r="J7" s="891" t="s">
        <v>91</v>
      </c>
      <c r="K7" s="892" t="s">
        <v>107</v>
      </c>
      <c r="L7" s="892" t="s">
        <v>104</v>
      </c>
      <c r="M7" s="892" t="s">
        <v>105</v>
      </c>
      <c r="N7" s="890" t="s">
        <v>106</v>
      </c>
      <c r="O7" s="890" t="s">
        <v>646</v>
      </c>
      <c r="P7" s="893" t="s">
        <v>647</v>
      </c>
      <c r="Q7" s="894" t="s">
        <v>93</v>
      </c>
      <c r="R7" s="895" t="s">
        <v>110</v>
      </c>
      <c r="S7" s="896" t="s">
        <v>103</v>
      </c>
    </row>
    <row r="8" spans="1:27" ht="25.25" customHeight="1" thickBot="1" x14ac:dyDescent="0.5">
      <c r="B8" s="897" t="s">
        <v>2</v>
      </c>
      <c r="C8" s="897" t="s">
        <v>92</v>
      </c>
      <c r="D8" s="897" t="s">
        <v>3</v>
      </c>
      <c r="E8" s="897" t="s">
        <v>94</v>
      </c>
      <c r="F8" s="897" t="s">
        <v>102</v>
      </c>
      <c r="G8" s="897" t="s">
        <v>96</v>
      </c>
      <c r="H8" s="898"/>
      <c r="I8" s="899"/>
      <c r="J8" s="898"/>
      <c r="K8" s="900"/>
      <c r="L8" s="900"/>
      <c r="M8" s="897"/>
      <c r="N8" s="901"/>
      <c r="O8" s="902"/>
      <c r="P8" s="903"/>
      <c r="Q8" s="899"/>
      <c r="R8" s="901"/>
      <c r="S8" s="901"/>
      <c r="V8" s="904" t="s">
        <v>151</v>
      </c>
      <c r="W8" s="905"/>
      <c r="X8" s="905"/>
      <c r="Y8" s="905"/>
      <c r="Z8" s="906"/>
    </row>
    <row r="9" spans="1:27" s="207" customFormat="1" ht="25.25" customHeight="1" thickBot="1" x14ac:dyDescent="0.5">
      <c r="B9" s="1748" t="s">
        <v>0</v>
      </c>
      <c r="C9" s="1749"/>
      <c r="D9" s="1749"/>
      <c r="E9" s="1749"/>
      <c r="F9" s="1750"/>
      <c r="G9" s="907"/>
      <c r="H9" s="908"/>
      <c r="I9" s="909"/>
      <c r="J9" s="910"/>
      <c r="K9" s="910"/>
      <c r="L9" s="910"/>
      <c r="M9" s="907"/>
      <c r="N9" s="911">
        <f>(N10+N18+N23+N32+N37+N40+N43)/7</f>
        <v>0.90469451228903941</v>
      </c>
      <c r="O9" s="912">
        <f>(O10+O18+O23+O32+O37+O40+O43)</f>
        <v>24.704362229353823</v>
      </c>
      <c r="P9" s="913">
        <f>O9/42.857136</f>
        <v>0.5764352109145563</v>
      </c>
      <c r="Q9" s="910"/>
      <c r="R9" s="914"/>
      <c r="S9" s="914"/>
      <c r="U9" s="915"/>
      <c r="V9" s="916"/>
      <c r="W9" s="917"/>
      <c r="X9" s="917"/>
      <c r="Y9" s="917"/>
      <c r="Z9" s="918"/>
      <c r="AA9" s="915"/>
    </row>
    <row r="10" spans="1:27" s="109" customFormat="1" ht="25.25" customHeight="1" thickBot="1" x14ac:dyDescent="0.5">
      <c r="B10" s="1751" t="s">
        <v>1</v>
      </c>
      <c r="C10" s="1752"/>
      <c r="D10" s="1752"/>
      <c r="E10" s="1752"/>
      <c r="F10" s="1753"/>
      <c r="G10" s="919"/>
      <c r="H10" s="920"/>
      <c r="I10" s="921"/>
      <c r="J10" s="922"/>
      <c r="K10" s="922"/>
      <c r="L10" s="922"/>
      <c r="M10" s="919"/>
      <c r="N10" s="911">
        <f>(N11+N13+N15)/3</f>
        <v>2.0429259326803426</v>
      </c>
      <c r="O10" s="912">
        <f>(O11+O13+O15)</f>
        <v>9.1747347113461224</v>
      </c>
      <c r="P10" s="913">
        <f>O10/10.714284</f>
        <v>0.85630871006836506</v>
      </c>
      <c r="Q10" s="922"/>
      <c r="R10" s="923"/>
      <c r="S10" s="923"/>
      <c r="U10" s="924"/>
      <c r="V10" s="925"/>
      <c r="W10" s="926"/>
      <c r="X10" s="926"/>
      <c r="Y10" s="926"/>
      <c r="Z10" s="927"/>
      <c r="AA10" s="924"/>
    </row>
    <row r="11" spans="1:27" ht="27.6" customHeight="1" thickBot="1" x14ac:dyDescent="0.5">
      <c r="A11" s="1617">
        <v>1</v>
      </c>
      <c r="B11" s="1733" t="s">
        <v>4</v>
      </c>
      <c r="C11" s="1735">
        <f>M5</f>
        <v>3.5714285714285716</v>
      </c>
      <c r="D11" s="928" t="s">
        <v>111</v>
      </c>
      <c r="E11" s="929">
        <f>$C$11/2</f>
        <v>1.7857142857142858</v>
      </c>
      <c r="F11" s="930" t="s">
        <v>5</v>
      </c>
      <c r="G11" s="931">
        <f>E11/1</f>
        <v>1.7857142857142858</v>
      </c>
      <c r="H11" s="302">
        <v>757426.19</v>
      </c>
      <c r="I11" s="303">
        <v>679892.12</v>
      </c>
      <c r="J11" s="932">
        <f>(H11-I11)</f>
        <v>77534.069999999949</v>
      </c>
      <c r="K11" s="933">
        <f>(0.3*I11)*6/10</f>
        <v>122380.5816</v>
      </c>
      <c r="L11" s="934">
        <f>I11+K11</f>
        <v>802272.70160000003</v>
      </c>
      <c r="M11" s="935">
        <f>IF(K11&lt;&gt;0,J11/K11,"0%")</f>
        <v>0.63354879496666772</v>
      </c>
      <c r="N11" s="1731">
        <f>(((G11/C11)*M11)+((G12/C11)*M12))</f>
        <v>2.0288366542926726</v>
      </c>
      <c r="O11" s="1646">
        <f>IF((((G11/C11)*M11)+((G12/C11)*M12))&gt;=1,3.57148,IF((((G11/C11)*M11)+((G12/C11)*M12))&lt;=0,0, (((G11/C11)*M11)+((G12/C11)*M12))*3.571428))</f>
        <v>3.5714800000000002</v>
      </c>
      <c r="P11" s="1630">
        <f>O11/3.571428</f>
        <v>1.0000145600023296</v>
      </c>
      <c r="Q11" s="936" t="s">
        <v>97</v>
      </c>
      <c r="R11" s="108" t="s">
        <v>475</v>
      </c>
      <c r="S11" s="108" t="s">
        <v>476</v>
      </c>
      <c r="V11" s="937" t="s">
        <v>109</v>
      </c>
      <c r="W11" s="938" t="e">
        <f>#REF!</f>
        <v>#REF!</v>
      </c>
      <c r="X11" s="939"/>
      <c r="Y11" s="939"/>
      <c r="Z11" s="940"/>
    </row>
    <row r="12" spans="1:27" ht="27" customHeight="1" thickBot="1" x14ac:dyDescent="0.5">
      <c r="A12" s="1617"/>
      <c r="B12" s="1734"/>
      <c r="C12" s="1736"/>
      <c r="D12" s="941" t="s">
        <v>112</v>
      </c>
      <c r="E12" s="942">
        <f>$C$11/2</f>
        <v>1.7857142857142858</v>
      </c>
      <c r="F12" s="943" t="s">
        <v>281</v>
      </c>
      <c r="G12" s="944">
        <f>E12/1</f>
        <v>1.7857142857142858</v>
      </c>
      <c r="H12" s="1322">
        <v>12.5</v>
      </c>
      <c r="I12" s="1323">
        <v>25.7</v>
      </c>
      <c r="J12" s="947">
        <f>I12-H12</f>
        <v>13.2</v>
      </c>
      <c r="K12" s="948">
        <f>(0.25*I12)*(6/10)</f>
        <v>3.8549999999999995</v>
      </c>
      <c r="L12" s="949">
        <f>I12-K12</f>
        <v>21.844999999999999</v>
      </c>
      <c r="M12" s="950">
        <f>IF(K12&lt;&gt;0,J12/K12,"0%")</f>
        <v>3.4241245136186773</v>
      </c>
      <c r="N12" s="1732"/>
      <c r="O12" s="1647"/>
      <c r="P12" s="1631"/>
      <c r="Q12" s="951" t="s">
        <v>98</v>
      </c>
      <c r="R12" s="108" t="s">
        <v>477</v>
      </c>
      <c r="S12" s="108" t="s">
        <v>478</v>
      </c>
      <c r="V12" s="952">
        <v>0.02</v>
      </c>
      <c r="W12" s="953" t="e">
        <f>(W11-(W11*V12))</f>
        <v>#REF!</v>
      </c>
      <c r="X12" s="953" t="e">
        <f>W11-(V12*W11)</f>
        <v>#REF!</v>
      </c>
      <c r="Y12" s="939"/>
      <c r="Z12" s="940"/>
    </row>
    <row r="13" spans="1:27" ht="32.450000000000003" customHeight="1" thickBot="1" x14ac:dyDescent="0.5">
      <c r="A13" s="1617">
        <v>2</v>
      </c>
      <c r="B13" s="1754" t="s">
        <v>6</v>
      </c>
      <c r="C13" s="1756">
        <f>M5</f>
        <v>3.5714285714285716</v>
      </c>
      <c r="D13" s="954" t="s">
        <v>273</v>
      </c>
      <c r="E13" s="955">
        <f>$C$13/2</f>
        <v>1.7857142857142858</v>
      </c>
      <c r="F13" s="956" t="s">
        <v>7</v>
      </c>
      <c r="G13" s="957">
        <f>E13/1</f>
        <v>1.7857142857142858</v>
      </c>
      <c r="H13" s="304">
        <v>15.2</v>
      </c>
      <c r="I13" s="305">
        <v>15.7</v>
      </c>
      <c r="J13" s="959">
        <f>IF(I13=H13,(5-H13),I13-H13)</f>
        <v>0.5</v>
      </c>
      <c r="K13" s="960">
        <f>IF(I13&lt;=5,0,((I13-5)*(6/10)))</f>
        <v>6.419999999999999</v>
      </c>
      <c r="L13" s="961">
        <f>I13-K13</f>
        <v>9.2800000000000011</v>
      </c>
      <c r="M13" s="962">
        <f>IF(I13&lt;=5,(1+(5-H13)/5),(J13/K13))</f>
        <v>7.7881619937694713E-2</v>
      </c>
      <c r="N13" s="1731">
        <f>(((G13/C13)*M13)+((G14/C13)*M14))</f>
        <v>0.56891157020276562</v>
      </c>
      <c r="O13" s="1646">
        <f>IF((((G13/C13)*M13)+((G14/C13)*M14))&gt;=1,3.57148,IF((((G13/C13)*M13)+((G14/C13)*M14))&lt;=0,0, (((G13/C13)*M13)+((G14/C13)*M14))*3.571428))</f>
        <v>2.031826711346123</v>
      </c>
      <c r="P13" s="1630">
        <f>O13/3.571428</f>
        <v>0.56891157020276573</v>
      </c>
      <c r="Q13" s="963" t="s">
        <v>99</v>
      </c>
      <c r="R13" s="108" t="s">
        <v>479</v>
      </c>
      <c r="S13" s="108" t="s">
        <v>480</v>
      </c>
      <c r="V13" s="952">
        <v>0.02</v>
      </c>
      <c r="W13" s="953" t="e">
        <f>(#REF!-(#REF!*V13))</f>
        <v>#REF!</v>
      </c>
      <c r="X13" s="953" t="e">
        <f>(W11-(V12*W11))-((W11-(V12*W11))*0.02)-(((W11-(V12*W11))-((W11-(V12*W11))*0.02))*0.02)-(((W11-(V12*W11))-((W11-(V12*W11))*0.02)-(((W11-(V12*W11))-((W11-(V12*W11))*0.02))*0.02))*0.02)</f>
        <v>#REF!</v>
      </c>
      <c r="Y13" s="964" t="e">
        <f>(W11-W14)/W11</f>
        <v>#REF!</v>
      </c>
      <c r="Z13" s="940"/>
    </row>
    <row r="14" spans="1:27" ht="33" customHeight="1" thickBot="1" x14ac:dyDescent="0.5">
      <c r="A14" s="1617"/>
      <c r="B14" s="1755"/>
      <c r="C14" s="1757"/>
      <c r="D14" s="941" t="s">
        <v>274</v>
      </c>
      <c r="E14" s="965">
        <f>$C$13/2</f>
        <v>1.7857142857142858</v>
      </c>
      <c r="F14" s="966" t="s">
        <v>8</v>
      </c>
      <c r="G14" s="967">
        <f>E14/1</f>
        <v>1.7857142857142858</v>
      </c>
      <c r="H14" s="306">
        <v>96.2</v>
      </c>
      <c r="I14" s="307">
        <v>90.4</v>
      </c>
      <c r="J14" s="968">
        <f>H14-I14</f>
        <v>5.7999999999999972</v>
      </c>
      <c r="K14" s="969">
        <f>(0.95*(100-I14))*6/10</f>
        <v>5.471999999999996</v>
      </c>
      <c r="L14" s="970">
        <f>K14+I14</f>
        <v>95.872</v>
      </c>
      <c r="M14" s="971">
        <f>IF(K14&lt;&gt;0,J14/K14,"1%")</f>
        <v>1.0599415204678364</v>
      </c>
      <c r="N14" s="1732"/>
      <c r="O14" s="1647"/>
      <c r="P14" s="1631"/>
      <c r="Q14" s="972" t="s">
        <v>100</v>
      </c>
      <c r="R14" s="108" t="s">
        <v>481</v>
      </c>
      <c r="S14" s="108" t="s">
        <v>480</v>
      </c>
      <c r="V14" s="973">
        <v>0.02</v>
      </c>
      <c r="W14" s="974" t="e">
        <f>(#REF!-(#REF!*V14))</f>
        <v>#REF!</v>
      </c>
      <c r="X14" s="974"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975" t="e">
        <f>W11-X14</f>
        <v>#REF!</v>
      </c>
      <c r="Z14" s="976"/>
    </row>
    <row r="15" spans="1:27" ht="22.25" customHeight="1" thickBot="1" x14ac:dyDescent="0.5">
      <c r="A15" s="1651">
        <v>3</v>
      </c>
      <c r="B15" s="1727" t="s">
        <v>9</v>
      </c>
      <c r="C15" s="1729">
        <f>M5</f>
        <v>3.5714285714285716</v>
      </c>
      <c r="D15" s="1727" t="s">
        <v>113</v>
      </c>
      <c r="E15" s="1729">
        <f>$C$15/1</f>
        <v>3.5714285714285716</v>
      </c>
      <c r="F15" s="977" t="s">
        <v>221</v>
      </c>
      <c r="G15" s="978">
        <f>$E$15/3</f>
        <v>1.1904761904761905</v>
      </c>
      <c r="H15" s="308">
        <v>69.599999999999994</v>
      </c>
      <c r="I15" s="309">
        <v>60.6</v>
      </c>
      <c r="J15" s="979">
        <f>H15-I15</f>
        <v>8.9999999999999929</v>
      </c>
      <c r="K15" s="980">
        <f>(0.5*I15)*6/10</f>
        <v>18.18</v>
      </c>
      <c r="L15" s="934">
        <f>I15+K15</f>
        <v>78.78</v>
      </c>
      <c r="M15" s="935">
        <f>IF(K15&lt;&gt;0,J15/K15,"0%")</f>
        <v>0.49504950495049466</v>
      </c>
      <c r="N15" s="1702">
        <f>(((G15/C15)*M15)+((G16/C15)*M16)+((G17/C15)*M17))</f>
        <v>3.5310295735455903</v>
      </c>
      <c r="O15" s="1632">
        <f>IF((((G15/C15)*M15)+((G16/C15)*M16)+((G17/C15)*M17))&gt;=1,3.571428,IF((((G15/C15)*M15)+((G16/C15)*M16)+((G17/C15)*M17))&lt;=0,0,(((G15/C15)*M15)+((G16/C15)*M16)+((G17/C15)*M17))*3.571428))</f>
        <v>3.571428</v>
      </c>
      <c r="P15" s="1630">
        <f>O15/3.571428</f>
        <v>1</v>
      </c>
      <c r="Q15" s="981" t="s">
        <v>101</v>
      </c>
      <c r="R15" s="108" t="s">
        <v>482</v>
      </c>
      <c r="S15" s="108" t="s">
        <v>483</v>
      </c>
    </row>
    <row r="16" spans="1:27" ht="93.4" thickBot="1" x14ac:dyDescent="0.5">
      <c r="A16" s="1651"/>
      <c r="B16" s="1727"/>
      <c r="C16" s="1729"/>
      <c r="D16" s="1727"/>
      <c r="E16" s="1729"/>
      <c r="F16" s="982" t="s">
        <v>220</v>
      </c>
      <c r="G16" s="983">
        <f t="shared" ref="G16:G17" si="0">$E$15/3</f>
        <v>1.1904761904761905</v>
      </c>
      <c r="H16" s="481"/>
      <c r="I16" s="482"/>
      <c r="J16" s="986">
        <f>H16-I16</f>
        <v>0</v>
      </c>
      <c r="K16" s="987">
        <f>(0.5*I16)*6/10</f>
        <v>0</v>
      </c>
      <c r="L16" s="988">
        <f t="shared" ref="L16:L17" si="1">I16+K16</f>
        <v>0</v>
      </c>
      <c r="M16" s="989" t="str">
        <f>IF(K16&lt;&gt;0,J16/K16,"0%")</f>
        <v>0%</v>
      </c>
      <c r="N16" s="1657"/>
      <c r="O16" s="1633"/>
      <c r="P16" s="1635"/>
      <c r="Q16" s="990" t="s">
        <v>95</v>
      </c>
      <c r="R16" s="108" t="s">
        <v>484</v>
      </c>
      <c r="S16" s="318" t="s">
        <v>695</v>
      </c>
    </row>
    <row r="17" spans="1:19" ht="25.25" customHeight="1" thickBot="1" x14ac:dyDescent="0.5">
      <c r="A17" s="1651"/>
      <c r="B17" s="1728"/>
      <c r="C17" s="1730"/>
      <c r="D17" s="1728"/>
      <c r="E17" s="1730"/>
      <c r="F17" s="991" t="s">
        <v>10</v>
      </c>
      <c r="G17" s="992">
        <f t="shared" si="0"/>
        <v>1.1904761904761905</v>
      </c>
      <c r="H17" s="111">
        <v>68.5</v>
      </c>
      <c r="I17" s="112">
        <v>17</v>
      </c>
      <c r="J17" s="993">
        <f>H17-I17</f>
        <v>51.5</v>
      </c>
      <c r="K17" s="994">
        <f>(0.5*I17)*6/10</f>
        <v>5.0999999999999996</v>
      </c>
      <c r="L17" s="949">
        <f t="shared" si="1"/>
        <v>22.1</v>
      </c>
      <c r="M17" s="950">
        <f>IF(K17&lt;&gt;0,J17/K17,"0%")</f>
        <v>10.098039215686276</v>
      </c>
      <c r="N17" s="1703"/>
      <c r="O17" s="1634"/>
      <c r="P17" s="1635"/>
      <c r="Q17" s="995" t="s">
        <v>162</v>
      </c>
      <c r="R17" s="108" t="s">
        <v>485</v>
      </c>
      <c r="S17" s="108" t="s">
        <v>480</v>
      </c>
    </row>
    <row r="18" spans="1:19" ht="21.4" thickBot="1" x14ac:dyDescent="0.7">
      <c r="A18" s="14"/>
      <c r="B18" s="1670" t="s">
        <v>11</v>
      </c>
      <c r="C18" s="1671"/>
      <c r="D18" s="1671"/>
      <c r="E18" s="1671"/>
      <c r="F18" s="1672"/>
      <c r="G18" s="996"/>
      <c r="H18" s="1292"/>
      <c r="I18" s="1292"/>
      <c r="J18" s="997"/>
      <c r="K18" s="997"/>
      <c r="L18" s="997"/>
      <c r="M18" s="998"/>
      <c r="N18" s="911">
        <f>N19</f>
        <v>1.3006584929530995</v>
      </c>
      <c r="O18" s="912">
        <f>O19</f>
        <v>3.571428</v>
      </c>
      <c r="P18" s="913">
        <f>O18/3.571428</f>
        <v>1</v>
      </c>
      <c r="Q18" s="997"/>
      <c r="R18" s="15"/>
      <c r="S18" s="16"/>
    </row>
    <row r="19" spans="1:19" ht="34.25" customHeight="1" thickBot="1" x14ac:dyDescent="0.5">
      <c r="A19" s="1617">
        <v>4</v>
      </c>
      <c r="B19" s="1618" t="s">
        <v>12</v>
      </c>
      <c r="C19" s="1678">
        <f>M5</f>
        <v>3.5714285714285716</v>
      </c>
      <c r="D19" s="999" t="s">
        <v>114</v>
      </c>
      <c r="E19" s="931">
        <f>$C$19/4</f>
        <v>0.8928571428571429</v>
      </c>
      <c r="F19" s="1000" t="s">
        <v>222</v>
      </c>
      <c r="G19" s="978">
        <f>E19/1</f>
        <v>0.8928571428571429</v>
      </c>
      <c r="H19" s="101">
        <v>17.8</v>
      </c>
      <c r="I19" s="106">
        <v>15.9</v>
      </c>
      <c r="J19" s="1001">
        <f>H19-I19</f>
        <v>1.9000000000000004</v>
      </c>
      <c r="K19" s="980">
        <f>(2*I19)*6/10</f>
        <v>19.080000000000002</v>
      </c>
      <c r="L19" s="1002">
        <f t="shared" ref="L19:L22" si="2">K19+I19</f>
        <v>34.980000000000004</v>
      </c>
      <c r="M19" s="935">
        <f>IF(K19&lt;&gt;0,J19/K19,"0%")</f>
        <v>9.9580712788259973E-2</v>
      </c>
      <c r="N19" s="1721">
        <f>(((G19/C19)*M19)+((G20/C19)*M20)+((G21/C19)*M21)+((G22/C19)*M22))</f>
        <v>1.3006584929530995</v>
      </c>
      <c r="O19" s="1723">
        <f>IF((((G19/C19)*M19)+((G20/C19)*M20)+((G21/C19)*M21)+((G22/C19)*M22))&gt;=1,3.571428,IF((((G19/C19)*M19)+((G20/C19)*M20)+((G21/C19)*M21)+((G22/C19)*M22))&lt;=0,0,((((G19/C19)*M19)+((G20/C19)*M20)+((G21/C19)*M21)+((G22/C19)*M22))*3.571428)))</f>
        <v>3.571428</v>
      </c>
      <c r="P19" s="1630">
        <f>O19/3.571428</f>
        <v>1</v>
      </c>
      <c r="Q19" s="1003" t="s">
        <v>163</v>
      </c>
      <c r="R19" s="108" t="s">
        <v>486</v>
      </c>
      <c r="S19" s="108" t="s">
        <v>480</v>
      </c>
    </row>
    <row r="20" spans="1:19" ht="39" customHeight="1" thickBot="1" x14ac:dyDescent="0.5">
      <c r="A20" s="1617"/>
      <c r="B20" s="1619"/>
      <c r="C20" s="1685"/>
      <c r="D20" s="1004" t="s">
        <v>152</v>
      </c>
      <c r="E20" s="1005">
        <f>($C$19/4)</f>
        <v>0.8928571428571429</v>
      </c>
      <c r="F20" s="1006" t="s">
        <v>265</v>
      </c>
      <c r="G20" s="983">
        <f>E20/1</f>
        <v>0.8928571428571429</v>
      </c>
      <c r="H20" s="113">
        <v>78.41</v>
      </c>
      <c r="I20" s="107">
        <v>54.4</v>
      </c>
      <c r="J20" s="1007">
        <f t="shared" ref="J20:J24" si="3">H20-I20</f>
        <v>24.009999999999998</v>
      </c>
      <c r="K20" s="987">
        <f>(100-I20)*(6/10)</f>
        <v>27.36</v>
      </c>
      <c r="L20" s="1008">
        <f t="shared" si="2"/>
        <v>81.759999999999991</v>
      </c>
      <c r="M20" s="935">
        <f>IF(K20&lt;&gt;0,J20/K20,"0%")</f>
        <v>0.8775584795321637</v>
      </c>
      <c r="N20" s="1722"/>
      <c r="O20" s="1633"/>
      <c r="P20" s="1635"/>
      <c r="Q20" s="1009" t="s">
        <v>164</v>
      </c>
      <c r="R20" s="108" t="s">
        <v>486</v>
      </c>
      <c r="S20" s="108" t="s">
        <v>487</v>
      </c>
    </row>
    <row r="21" spans="1:19" ht="56.45" customHeight="1" thickBot="1" x14ac:dyDescent="0.5">
      <c r="A21" s="1617"/>
      <c r="B21" s="1619"/>
      <c r="C21" s="1685"/>
      <c r="D21" s="1004" t="s">
        <v>153</v>
      </c>
      <c r="E21" s="1005">
        <f t="shared" ref="E21:E22" si="4">($C$19/4)</f>
        <v>0.8928571428571429</v>
      </c>
      <c r="F21" s="1006" t="s">
        <v>155</v>
      </c>
      <c r="G21" s="983">
        <f>E21/1</f>
        <v>0.8928571428571429</v>
      </c>
      <c r="H21" s="310">
        <v>28</v>
      </c>
      <c r="I21" s="311">
        <v>16.100000000000001</v>
      </c>
      <c r="J21" s="1007">
        <f t="shared" si="3"/>
        <v>11.899999999999999</v>
      </c>
      <c r="K21" s="987">
        <f>(0.3*I21)*6/10</f>
        <v>2.8980000000000001</v>
      </c>
      <c r="L21" s="1008">
        <f t="shared" si="2"/>
        <v>18.998000000000001</v>
      </c>
      <c r="M21" s="989">
        <f>IF(K21&lt;&gt;0,J21/K21,"0%")</f>
        <v>4.1062801932367146</v>
      </c>
      <c r="N21" s="1722"/>
      <c r="O21" s="1633"/>
      <c r="P21" s="1635"/>
      <c r="Q21" s="1009" t="s">
        <v>165</v>
      </c>
      <c r="R21" s="108" t="s">
        <v>486</v>
      </c>
      <c r="S21" s="108" t="s">
        <v>488</v>
      </c>
    </row>
    <row r="22" spans="1:19" ht="36.6" customHeight="1" thickBot="1" x14ac:dyDescent="0.5">
      <c r="A22" s="1617"/>
      <c r="B22" s="1724"/>
      <c r="C22" s="1725"/>
      <c r="D22" s="966" t="s">
        <v>154</v>
      </c>
      <c r="E22" s="1010">
        <f t="shared" si="4"/>
        <v>0.8928571428571429</v>
      </c>
      <c r="F22" s="1011" t="s">
        <v>156</v>
      </c>
      <c r="G22" s="1012">
        <f>E22/1</f>
        <v>0.8928571428571429</v>
      </c>
      <c r="H22" s="312">
        <v>33.799999999999997</v>
      </c>
      <c r="I22" s="114">
        <v>28.7</v>
      </c>
      <c r="J22" s="1013">
        <f t="shared" si="3"/>
        <v>5.0999999999999979</v>
      </c>
      <c r="K22" s="994">
        <f>(100-I22)*(6/10)</f>
        <v>42.779999999999994</v>
      </c>
      <c r="L22" s="1014">
        <f t="shared" si="2"/>
        <v>71.47999999999999</v>
      </c>
      <c r="M22" s="950">
        <f>IF(K22&lt;&gt;0,J22/K22,"100%")</f>
        <v>0.11921458625525944</v>
      </c>
      <c r="N22" s="1726"/>
      <c r="O22" s="1634"/>
      <c r="P22" s="1631"/>
      <c r="Q22" s="1015" t="s">
        <v>95</v>
      </c>
      <c r="R22" s="108" t="s">
        <v>486</v>
      </c>
      <c r="S22" s="108" t="s">
        <v>480</v>
      </c>
    </row>
    <row r="23" spans="1:19" ht="20.45" customHeight="1" thickBot="1" x14ac:dyDescent="0.5">
      <c r="B23" s="1614" t="s">
        <v>13</v>
      </c>
      <c r="C23" s="1615"/>
      <c r="D23" s="1615"/>
      <c r="E23" s="1615"/>
      <c r="F23" s="1616"/>
      <c r="G23" s="996"/>
      <c r="H23" s="1292"/>
      <c r="I23" s="1292"/>
      <c r="J23" s="1016"/>
      <c r="K23" s="1017"/>
      <c r="L23" s="1017"/>
      <c r="M23" s="1018"/>
      <c r="N23" s="911">
        <f>N24</f>
        <v>1.8634455441230804</v>
      </c>
      <c r="O23" s="912">
        <f>O24</f>
        <v>3.571428</v>
      </c>
      <c r="P23" s="913">
        <f>O23/3.571428</f>
        <v>1</v>
      </c>
      <c r="Q23" s="997"/>
      <c r="R23" s="17"/>
      <c r="S23" s="17"/>
    </row>
    <row r="24" spans="1:19" ht="36" customHeight="1" thickBot="1" x14ac:dyDescent="0.5">
      <c r="A24" s="1617">
        <v>5</v>
      </c>
      <c r="B24" s="1618" t="s">
        <v>14</v>
      </c>
      <c r="C24" s="1678">
        <f>M5</f>
        <v>3.5714285714285716</v>
      </c>
      <c r="D24" s="999" t="s">
        <v>115</v>
      </c>
      <c r="E24" s="931">
        <f>$C$24/4</f>
        <v>0.8928571428571429</v>
      </c>
      <c r="F24" s="999" t="s">
        <v>280</v>
      </c>
      <c r="G24" s="931">
        <f>E24/1</f>
        <v>0.8928571428571429</v>
      </c>
      <c r="H24" s="308">
        <v>25.4</v>
      </c>
      <c r="I24" s="106">
        <v>16</v>
      </c>
      <c r="J24" s="1020">
        <f t="shared" si="3"/>
        <v>9.3999999999999986</v>
      </c>
      <c r="K24" s="980">
        <f>(0.3*I24)*6/10</f>
        <v>2.88</v>
      </c>
      <c r="L24" s="1002">
        <f>K24+I24</f>
        <v>18.88</v>
      </c>
      <c r="M24" s="935">
        <f t="shared" ref="M24:M30" si="5">IF(K24&lt;&gt;0,J24/K24,"0%")</f>
        <v>3.2638888888888884</v>
      </c>
      <c r="N24" s="1721">
        <f>(((G24/C24)*M24)+((G25/C24)*M25)+ ((G26/C24)*M26)+((G27/C24)*M27)+((G28/C24)*M28)+((G29/C24)*M29)+((G30/C24)*M30)+((G31/C24)*M31))</f>
        <v>1.8634455441230804</v>
      </c>
      <c r="O24" s="1723">
        <f>IF((((G24/C24)*M24)+((G25/C24)*M25)+ ((G26/C24)*M26)+((G27/C24)*M27)+((G28/C24)*M28)+((G29/C24)*M29)+((G30/C24)*M30)+((G31/C24)*M31))&gt;=1,3.571428,IF((((G24/C24)*M24)+((G25/C24)*M25)+ ((G26/C24)*M26)+((G27/C24)*M27)+((G28/C24)*M28)+((G29/C24)*M29)+((G30/C24)*M30)+((G31/C24)*M31))&lt;=0,0,((((G24/C24)*M24)+((G25/C24)*M25)+ ((G26/C24)*M26)+((G27/C24)*M27)+((G28/C24)*M28)+((G29/C24)*M29)+((G30/C24)*M30)+((G31/C24)*M31))*3.571428)))</f>
        <v>3.571428</v>
      </c>
      <c r="P24" s="1630">
        <f>O24/3.571428</f>
        <v>1</v>
      </c>
      <c r="Q24" s="1021" t="s">
        <v>166</v>
      </c>
      <c r="R24" s="108" t="s">
        <v>489</v>
      </c>
      <c r="S24" s="108" t="s">
        <v>490</v>
      </c>
    </row>
    <row r="25" spans="1:19" ht="19.8" customHeight="1" thickBot="1" x14ac:dyDescent="0.5">
      <c r="A25" s="1617"/>
      <c r="B25" s="1619"/>
      <c r="C25" s="1685"/>
      <c r="D25" s="1625" t="s">
        <v>158</v>
      </c>
      <c r="E25" s="1688">
        <v>0.9</v>
      </c>
      <c r="F25" s="1004" t="s">
        <v>15</v>
      </c>
      <c r="G25" s="1005">
        <f>$E$25/3</f>
        <v>0.3</v>
      </c>
      <c r="H25" s="113">
        <v>236</v>
      </c>
      <c r="I25" s="107">
        <v>392</v>
      </c>
      <c r="J25" s="1022">
        <f t="shared" ref="J25:J30" si="6">I25-H25</f>
        <v>156</v>
      </c>
      <c r="K25" s="987">
        <f>(0.5*I25)*6/10</f>
        <v>117.6</v>
      </c>
      <c r="L25" s="1008">
        <f t="shared" ref="L25:L30" si="7">I25-K25</f>
        <v>274.39999999999998</v>
      </c>
      <c r="M25" s="989">
        <f t="shared" si="5"/>
        <v>1.3265306122448981</v>
      </c>
      <c r="N25" s="1722"/>
      <c r="O25" s="1633"/>
      <c r="P25" s="1635"/>
      <c r="Q25" s="1023" t="s">
        <v>167</v>
      </c>
      <c r="R25" s="108" t="s">
        <v>489</v>
      </c>
      <c r="S25" s="108" t="s">
        <v>480</v>
      </c>
    </row>
    <row r="26" spans="1:19" ht="19.8" customHeight="1" thickBot="1" x14ac:dyDescent="0.5">
      <c r="A26" s="1617"/>
      <c r="B26" s="1619"/>
      <c r="C26" s="1685"/>
      <c r="D26" s="1713"/>
      <c r="E26" s="1714"/>
      <c r="F26" s="1004" t="s">
        <v>16</v>
      </c>
      <c r="G26" s="1005">
        <f t="shared" ref="G26:G27" si="8">$E$25/3</f>
        <v>0.3</v>
      </c>
      <c r="H26" s="113">
        <v>23</v>
      </c>
      <c r="I26" s="107">
        <v>26</v>
      </c>
      <c r="J26" s="1022">
        <f t="shared" si="6"/>
        <v>3</v>
      </c>
      <c r="K26" s="987">
        <f>(0.8*I26)*6/10</f>
        <v>12.48</v>
      </c>
      <c r="L26" s="1008">
        <f t="shared" si="7"/>
        <v>13.52</v>
      </c>
      <c r="M26" s="989">
        <f t="shared" si="5"/>
        <v>0.24038461538461536</v>
      </c>
      <c r="N26" s="1722"/>
      <c r="O26" s="1633"/>
      <c r="P26" s="1635"/>
      <c r="Q26" s="1023" t="s">
        <v>168</v>
      </c>
      <c r="R26" s="108" t="s">
        <v>489</v>
      </c>
      <c r="S26" s="108" t="s">
        <v>491</v>
      </c>
    </row>
    <row r="27" spans="1:19" ht="19.8" customHeight="1" thickBot="1" x14ac:dyDescent="0.5">
      <c r="A27" s="1617"/>
      <c r="B27" s="1619"/>
      <c r="C27" s="1685"/>
      <c r="D27" s="1713"/>
      <c r="E27" s="1714"/>
      <c r="F27" s="1004" t="s">
        <v>17</v>
      </c>
      <c r="G27" s="1005">
        <f t="shared" si="8"/>
        <v>0.3</v>
      </c>
      <c r="H27" s="113">
        <v>51</v>
      </c>
      <c r="I27" s="107">
        <v>65</v>
      </c>
      <c r="J27" s="1022">
        <f t="shared" si="6"/>
        <v>14</v>
      </c>
      <c r="K27" s="987">
        <f>(0.5*I27)*(6/10)</f>
        <v>19.5</v>
      </c>
      <c r="L27" s="1008">
        <f t="shared" si="7"/>
        <v>45.5</v>
      </c>
      <c r="M27" s="989">
        <f t="shared" si="5"/>
        <v>0.71794871794871795</v>
      </c>
      <c r="N27" s="1722"/>
      <c r="O27" s="1633"/>
      <c r="P27" s="1635"/>
      <c r="Q27" s="1023" t="s">
        <v>169</v>
      </c>
      <c r="R27" s="108" t="s">
        <v>489</v>
      </c>
      <c r="S27" s="313" t="s">
        <v>480</v>
      </c>
    </row>
    <row r="28" spans="1:19" ht="30.6" customHeight="1" thickBot="1" x14ac:dyDescent="0.5">
      <c r="A28" s="22"/>
      <c r="B28" s="1619"/>
      <c r="C28" s="1685"/>
      <c r="D28" s="1625" t="s">
        <v>116</v>
      </c>
      <c r="E28" s="1688">
        <f t="shared" ref="E28:E31" si="9">$C$24/4</f>
        <v>0.8928571428571429</v>
      </c>
      <c r="F28" s="1004" t="s">
        <v>148</v>
      </c>
      <c r="G28" s="1005">
        <f>$E$28/3</f>
        <v>0.29761904761904762</v>
      </c>
      <c r="H28" s="113">
        <v>0.5</v>
      </c>
      <c r="I28" s="107">
        <v>0.7</v>
      </c>
      <c r="J28" s="1022">
        <f t="shared" si="6"/>
        <v>0.19999999999999996</v>
      </c>
      <c r="K28" s="987">
        <f>(0.5*I28)*(6/10)</f>
        <v>0.21</v>
      </c>
      <c r="L28" s="1008">
        <f t="shared" si="7"/>
        <v>0.49</v>
      </c>
      <c r="M28" s="989">
        <f t="shared" si="5"/>
        <v>0.95238095238095222</v>
      </c>
      <c r="N28" s="1658"/>
      <c r="O28" s="1633"/>
      <c r="P28" s="1635"/>
      <c r="Q28" s="1023" t="s">
        <v>170</v>
      </c>
      <c r="R28" s="108" t="s">
        <v>489</v>
      </c>
      <c r="S28" s="108" t="s">
        <v>492</v>
      </c>
    </row>
    <row r="29" spans="1:19" ht="20.45" customHeight="1" thickBot="1" x14ac:dyDescent="0.5">
      <c r="A29" s="22"/>
      <c r="B29" s="1619"/>
      <c r="C29" s="1685"/>
      <c r="D29" s="1713"/>
      <c r="E29" s="1714"/>
      <c r="F29" s="1004" t="s">
        <v>149</v>
      </c>
      <c r="G29" s="1005">
        <f t="shared" ref="G29:G30" si="10">$E$28/3</f>
        <v>0.29761904761904762</v>
      </c>
      <c r="H29" s="113">
        <v>87</v>
      </c>
      <c r="I29" s="107">
        <v>138</v>
      </c>
      <c r="J29" s="1022">
        <f t="shared" si="6"/>
        <v>51</v>
      </c>
      <c r="K29" s="987">
        <f>(0.5*I29)*(6/10)</f>
        <v>41.4</v>
      </c>
      <c r="L29" s="1008">
        <f t="shared" si="7"/>
        <v>96.6</v>
      </c>
      <c r="M29" s="989">
        <f t="shared" si="5"/>
        <v>1.2318840579710146</v>
      </c>
      <c r="N29" s="1658"/>
      <c r="O29" s="1633"/>
      <c r="P29" s="1635"/>
      <c r="Q29" s="1023" t="s">
        <v>171</v>
      </c>
      <c r="R29" s="108" t="s">
        <v>493</v>
      </c>
      <c r="S29" s="108" t="s">
        <v>480</v>
      </c>
    </row>
    <row r="30" spans="1:19" ht="20.45" customHeight="1" thickBot="1" x14ac:dyDescent="0.5">
      <c r="A30" s="22"/>
      <c r="B30" s="1718"/>
      <c r="C30" s="1714"/>
      <c r="D30" s="1713"/>
      <c r="E30" s="1714"/>
      <c r="F30" s="1004" t="s">
        <v>150</v>
      </c>
      <c r="G30" s="1005">
        <f t="shared" si="10"/>
        <v>0.29761904761904762</v>
      </c>
      <c r="H30" s="113">
        <v>0.15</v>
      </c>
      <c r="I30" s="107">
        <v>2.7</v>
      </c>
      <c r="J30" s="1022">
        <f t="shared" si="6"/>
        <v>2.5500000000000003</v>
      </c>
      <c r="K30" s="987">
        <f>(0.5*I30)*(6/10)</f>
        <v>0.81</v>
      </c>
      <c r="L30" s="1008">
        <f t="shared" si="7"/>
        <v>1.8900000000000001</v>
      </c>
      <c r="M30" s="989">
        <f t="shared" si="5"/>
        <v>3.1481481481481484</v>
      </c>
      <c r="N30" s="1658"/>
      <c r="O30" s="1633"/>
      <c r="P30" s="1635"/>
      <c r="Q30" s="1023" t="s">
        <v>172</v>
      </c>
      <c r="R30" s="108" t="s">
        <v>493</v>
      </c>
      <c r="S30" s="108" t="s">
        <v>480</v>
      </c>
    </row>
    <row r="31" spans="1:19" ht="34.9" customHeight="1" thickBot="1" x14ac:dyDescent="0.5">
      <c r="A31" s="22"/>
      <c r="B31" s="1719"/>
      <c r="C31" s="1720"/>
      <c r="D31" s="1024" t="s">
        <v>117</v>
      </c>
      <c r="E31" s="944">
        <f t="shared" si="9"/>
        <v>0.8928571428571429</v>
      </c>
      <c r="F31" s="1025" t="s">
        <v>223</v>
      </c>
      <c r="G31" s="944">
        <f>E31/1</f>
        <v>0.8928571428571429</v>
      </c>
      <c r="H31" s="115">
        <v>99.4</v>
      </c>
      <c r="I31" s="1326">
        <v>54.46</v>
      </c>
      <c r="J31" s="1026">
        <f t="shared" ref="J31" si="11">H31-I31</f>
        <v>44.940000000000005</v>
      </c>
      <c r="K31" s="994">
        <f>(100-I31)*(6/10)</f>
        <v>27.323999999999998</v>
      </c>
      <c r="L31" s="1014">
        <f>K31+I31</f>
        <v>81.783999999999992</v>
      </c>
      <c r="M31" s="971">
        <f>IF(I31=0,"0%",J31/K31)</f>
        <v>1.6447079490557754</v>
      </c>
      <c r="N31" s="1659"/>
      <c r="O31" s="1634"/>
      <c r="P31" s="1631"/>
      <c r="Q31" s="1027" t="s">
        <v>95</v>
      </c>
      <c r="R31" s="108" t="s">
        <v>493</v>
      </c>
      <c r="S31" s="656" t="s">
        <v>798</v>
      </c>
    </row>
    <row r="32" spans="1:19" ht="20.45" customHeight="1" thickBot="1" x14ac:dyDescent="0.5">
      <c r="B32" s="1715" t="s">
        <v>18</v>
      </c>
      <c r="C32" s="1716"/>
      <c r="D32" s="1716"/>
      <c r="E32" s="1716"/>
      <c r="F32" s="1717"/>
      <c r="G32" s="996"/>
      <c r="H32" s="1294"/>
      <c r="I32" s="1295"/>
      <c r="J32" s="1028"/>
      <c r="K32" s="1029"/>
      <c r="L32" s="1030"/>
      <c r="M32" s="1031"/>
      <c r="N32" s="911">
        <f>(N33+N34+N35+N36)/4</f>
        <v>0.38432238269849578</v>
      </c>
      <c r="O32" s="912">
        <f>(O33+O34+O35+O36)</f>
        <v>5.6433800743844937</v>
      </c>
      <c r="P32" s="913">
        <f>O32/14.285712</f>
        <v>0.39503666841278151</v>
      </c>
      <c r="Q32" s="997"/>
      <c r="R32" s="16"/>
      <c r="S32" s="16"/>
    </row>
    <row r="33" spans="1:19" ht="33.6" customHeight="1" thickBot="1" x14ac:dyDescent="0.5">
      <c r="A33" s="22">
        <v>6</v>
      </c>
      <c r="B33" s="1032" t="s">
        <v>19</v>
      </c>
      <c r="C33" s="1033">
        <f>$M$5</f>
        <v>3.5714285714285716</v>
      </c>
      <c r="D33" s="1034" t="s">
        <v>287</v>
      </c>
      <c r="E33" s="1035">
        <f>C33/1</f>
        <v>3.5714285714285716</v>
      </c>
      <c r="F33" s="1032" t="s">
        <v>288</v>
      </c>
      <c r="G33" s="1033">
        <f>E33/1</f>
        <v>3.5714285714285716</v>
      </c>
      <c r="H33" s="116">
        <v>6.7</v>
      </c>
      <c r="I33" s="244">
        <v>6.4</v>
      </c>
      <c r="J33" s="1036">
        <f>IF(H33&lt;7,(H33-7),(H33-I33))</f>
        <v>-0.29999999999999982</v>
      </c>
      <c r="K33" s="1037">
        <f>IF((7-H33&gt;=0),(7-H33),0)</f>
        <v>0.29999999999999982</v>
      </c>
      <c r="L33" s="1038">
        <f>IF((I33&lt;7),7,I33)</f>
        <v>7</v>
      </c>
      <c r="M33" s="1039">
        <f>IF(K33&lt;&gt;0,J33/7,(1+((H33-I33)/I33)))</f>
        <v>-4.285714285714283E-2</v>
      </c>
      <c r="N33" s="1040">
        <f>((G33/C33)*M33)</f>
        <v>-4.285714285714283E-2</v>
      </c>
      <c r="O33" s="1041">
        <f>IF(((G33/C33)*M33)&gt;=1,3.571428,IF(((G33/C33)*M33)&lt;=0,0,((G33/C33)*M33)*3.571428))</f>
        <v>0</v>
      </c>
      <c r="P33" s="913">
        <f>O33/3.571428</f>
        <v>0</v>
      </c>
      <c r="Q33" s="1042" t="s">
        <v>97</v>
      </c>
      <c r="R33" s="108" t="s">
        <v>494</v>
      </c>
      <c r="S33" s="108" t="s">
        <v>495</v>
      </c>
    </row>
    <row r="34" spans="1:19" ht="51" customHeight="1" thickBot="1" x14ac:dyDescent="0.5">
      <c r="A34" s="22">
        <v>7</v>
      </c>
      <c r="B34" s="1032" t="s">
        <v>20</v>
      </c>
      <c r="C34" s="1033">
        <f t="shared" ref="C34:C36" si="12">$M$5</f>
        <v>3.5714285714285716</v>
      </c>
      <c r="D34" s="1032" t="s">
        <v>118</v>
      </c>
      <c r="E34" s="1035">
        <f t="shared" ref="E34:E36" si="13">C34/1</f>
        <v>3.5714285714285716</v>
      </c>
      <c r="F34" s="1032" t="s">
        <v>21</v>
      </c>
      <c r="G34" s="1033">
        <f>E34/1</f>
        <v>3.5714285714285716</v>
      </c>
      <c r="H34" s="314">
        <v>17.36</v>
      </c>
      <c r="I34" s="315">
        <v>16.600000000000001</v>
      </c>
      <c r="J34" s="1044">
        <f>H34-I34</f>
        <v>0.75999999999999801</v>
      </c>
      <c r="K34" s="1045">
        <f>(0.5*I34)*(6/10)</f>
        <v>4.9800000000000004</v>
      </c>
      <c r="L34" s="1046">
        <f>K34+I34</f>
        <v>21.580000000000002</v>
      </c>
      <c r="M34" s="1039">
        <f>IF(K34&lt;&gt;0,J34/K34,"0%")</f>
        <v>0.15261044176706787</v>
      </c>
      <c r="N34" s="1040">
        <f>((G34/C34)*M34)</f>
        <v>0.15261044176706787</v>
      </c>
      <c r="O34" s="1041">
        <f>IF(((G34/C34)*M34)&gt;=1,3.571428,IF(((G34/C34)*M34)&lt;=0,0,((G34/C34)*M34)*3.571428))</f>
        <v>0.54503720481927564</v>
      </c>
      <c r="P34" s="913">
        <f t="shared" ref="P34:P36" si="14">O34/3.571428</f>
        <v>0.15261044176706787</v>
      </c>
      <c r="Q34" s="1042" t="s">
        <v>173</v>
      </c>
      <c r="R34" s="108" t="s">
        <v>496</v>
      </c>
      <c r="S34" s="108" t="s">
        <v>497</v>
      </c>
    </row>
    <row r="35" spans="1:19" ht="168.75" customHeight="1" thickBot="1" x14ac:dyDescent="0.5">
      <c r="A35" s="22">
        <v>8</v>
      </c>
      <c r="B35" s="1032" t="s">
        <v>22</v>
      </c>
      <c r="C35" s="1033">
        <f t="shared" si="12"/>
        <v>3.5714285714285716</v>
      </c>
      <c r="D35" s="1032" t="s">
        <v>119</v>
      </c>
      <c r="E35" s="1035">
        <f t="shared" si="13"/>
        <v>3.5714285714285716</v>
      </c>
      <c r="F35" s="1032" t="s">
        <v>23</v>
      </c>
      <c r="G35" s="1033">
        <f>E35/1</f>
        <v>3.5714285714285716</v>
      </c>
      <c r="H35" s="1327">
        <v>0.75</v>
      </c>
      <c r="I35" s="1328">
        <v>0.54</v>
      </c>
      <c r="J35" s="1047">
        <f>H35-I35</f>
        <v>0.20999999999999996</v>
      </c>
      <c r="K35" s="1048">
        <f>IF((I35&gt;=1),0,((1-I35)*0.6))</f>
        <v>0.27599999999999997</v>
      </c>
      <c r="L35" s="1038">
        <f>I35+K35</f>
        <v>0.81600000000000006</v>
      </c>
      <c r="M35" s="971">
        <f>IF(I35=0,"0%",J35/K35)</f>
        <v>0.76086956521739124</v>
      </c>
      <c r="N35" s="1040">
        <f>((G35/C35)*M35)</f>
        <v>0.76086956521739124</v>
      </c>
      <c r="O35" s="1041">
        <f>IF(((G35/C35)*M35)&gt;=1,3.571428,IF(((G35/C35)*M35)&lt;=0,0,((G35/C35)*M35)*3.571428))</f>
        <v>2.7173908695652171</v>
      </c>
      <c r="P35" s="913">
        <f t="shared" si="14"/>
        <v>0.76086956521739124</v>
      </c>
      <c r="Q35" s="1042" t="s">
        <v>174</v>
      </c>
      <c r="R35" s="108" t="s">
        <v>799</v>
      </c>
      <c r="S35" s="656" t="s">
        <v>800</v>
      </c>
    </row>
    <row r="36" spans="1:19" ht="32.450000000000003" customHeight="1" thickBot="1" x14ac:dyDescent="0.5">
      <c r="A36" s="22">
        <v>9</v>
      </c>
      <c r="B36" s="1032" t="s">
        <v>24</v>
      </c>
      <c r="C36" s="1033">
        <f t="shared" si="12"/>
        <v>3.5714285714285716</v>
      </c>
      <c r="D36" s="1032" t="s">
        <v>275</v>
      </c>
      <c r="E36" s="1035">
        <f t="shared" si="13"/>
        <v>3.5714285714285716</v>
      </c>
      <c r="F36" s="1049" t="s">
        <v>25</v>
      </c>
      <c r="G36" s="1033">
        <f>E36/1</f>
        <v>3.5714285714285716</v>
      </c>
      <c r="H36" s="1327">
        <v>4.9000000000000004</v>
      </c>
      <c r="I36" s="1328">
        <v>3.5</v>
      </c>
      <c r="J36" s="1050">
        <f>H36-I36</f>
        <v>1.4000000000000004</v>
      </c>
      <c r="K36" s="1051">
        <f>(1*I36)*(6/10)</f>
        <v>2.1</v>
      </c>
      <c r="L36" s="1052">
        <f>I36+K36</f>
        <v>5.6</v>
      </c>
      <c r="M36" s="1039">
        <f>IF(K36&lt;&gt;0,J36/K36,"0%")</f>
        <v>0.66666666666666685</v>
      </c>
      <c r="N36" s="1040">
        <f>((G36/C36)*M36)</f>
        <v>0.66666666666666685</v>
      </c>
      <c r="O36" s="1041">
        <f>IF(((G36/C36)*M36)&gt;=1,3.571428,IF(((G36/C36)*M36)&lt;=0,0,((G36/C36)*M36)*3.571428))</f>
        <v>2.3809520000000006</v>
      </c>
      <c r="P36" s="913">
        <f t="shared" si="14"/>
        <v>0.66666666666666685</v>
      </c>
      <c r="Q36" s="1053" t="s">
        <v>175</v>
      </c>
      <c r="R36" s="108" t="s">
        <v>499</v>
      </c>
      <c r="S36" s="656" t="s">
        <v>801</v>
      </c>
    </row>
    <row r="37" spans="1:19" ht="30.6" customHeight="1" thickBot="1" x14ac:dyDescent="0.5">
      <c r="B37" s="1710" t="s">
        <v>26</v>
      </c>
      <c r="C37" s="1711"/>
      <c r="D37" s="1711"/>
      <c r="E37" s="1711"/>
      <c r="F37" s="1712"/>
      <c r="G37" s="1054"/>
      <c r="H37" s="1292"/>
      <c r="I37" s="1292"/>
      <c r="J37" s="1055"/>
      <c r="K37" s="1056"/>
      <c r="L37" s="1056"/>
      <c r="M37" s="1057"/>
      <c r="N37" s="911">
        <f>N38</f>
        <v>0.21259417156289814</v>
      </c>
      <c r="O37" s="912">
        <f>O38</f>
        <v>0.75926477695653816</v>
      </c>
      <c r="P37" s="913">
        <f>O37/3.571428</f>
        <v>0.21259417156289814</v>
      </c>
      <c r="Q37" s="1058"/>
      <c r="R37" s="15"/>
      <c r="S37" s="16"/>
    </row>
    <row r="38" spans="1:19" ht="25.8" customHeight="1" thickBot="1" x14ac:dyDescent="0.5">
      <c r="A38" s="1617">
        <v>10</v>
      </c>
      <c r="B38" s="1618" t="s">
        <v>27</v>
      </c>
      <c r="C38" s="1678">
        <f>M5</f>
        <v>3.5714285714285716</v>
      </c>
      <c r="D38" s="977" t="s">
        <v>120</v>
      </c>
      <c r="E38" s="931">
        <f>$C$38/2</f>
        <v>1.7857142857142858</v>
      </c>
      <c r="F38" s="1059" t="s">
        <v>224</v>
      </c>
      <c r="G38" s="931">
        <f>E38/1</f>
        <v>1.7857142857142858</v>
      </c>
      <c r="H38" s="316">
        <v>1273595.8</v>
      </c>
      <c r="I38" s="317">
        <v>1014726</v>
      </c>
      <c r="J38" s="1060">
        <f>H38-I38</f>
        <v>258869.80000000005</v>
      </c>
      <c r="K38" s="1061">
        <f>(1*I38)*(6/10)</f>
        <v>608835.6</v>
      </c>
      <c r="L38" s="1062">
        <f>I38+K38</f>
        <v>1623561.6</v>
      </c>
      <c r="M38" s="935">
        <f>IF(K38&lt;&gt;0,J38/K38,"0%")</f>
        <v>0.42518834312579629</v>
      </c>
      <c r="N38" s="1702">
        <f>(((G38/C38)*M38)+((G39/C38)*M39))</f>
        <v>0.21259417156289814</v>
      </c>
      <c r="O38" s="1646">
        <f>IF((((G38/C38)*M38)+((G39/C38)*M39))&gt;=1,3.57148,IF((((G38/C38)*M38)+((G39/C38)*M39))&lt;=0,0, (((G38/C38)*M38)+((G39/C38)*M39))*3.571428))</f>
        <v>0.75926477695653816</v>
      </c>
      <c r="P38" s="1630">
        <f>O38/3.571428</f>
        <v>0.21259417156289814</v>
      </c>
      <c r="Q38" s="1063" t="s">
        <v>176</v>
      </c>
      <c r="R38" s="108" t="s">
        <v>501</v>
      </c>
      <c r="S38" s="318" t="s">
        <v>502</v>
      </c>
    </row>
    <row r="39" spans="1:19" ht="58.5" thickBot="1" x14ac:dyDescent="0.5">
      <c r="A39" s="1617"/>
      <c r="B39" s="1619"/>
      <c r="C39" s="1685"/>
      <c r="D39" s="982" t="s">
        <v>157</v>
      </c>
      <c r="E39" s="944">
        <f>$C$38/2</f>
        <v>1.7857142857142858</v>
      </c>
      <c r="F39" s="1064" t="s">
        <v>225</v>
      </c>
      <c r="G39" s="1005">
        <f>E39/1</f>
        <v>1.7857142857142858</v>
      </c>
      <c r="H39" s="470"/>
      <c r="I39" s="501"/>
      <c r="J39" s="1065">
        <f>H39-I39</f>
        <v>0</v>
      </c>
      <c r="K39" s="1066">
        <f>IF(AND(I39&gt;=10,H39&gt;=I39),0,((10-H39)*(6/10)))</f>
        <v>6</v>
      </c>
      <c r="L39" s="1067">
        <f>I39+K39</f>
        <v>6</v>
      </c>
      <c r="M39" s="950">
        <f>IF(K39&lt;&gt;0,J39/K39,"0%")</f>
        <v>0</v>
      </c>
      <c r="N39" s="1657"/>
      <c r="O39" s="1647"/>
      <c r="P39" s="1631"/>
      <c r="Q39" s="1068" t="s">
        <v>95</v>
      </c>
      <c r="R39" s="108" t="s">
        <v>503</v>
      </c>
      <c r="S39" s="318" t="s">
        <v>696</v>
      </c>
    </row>
    <row r="40" spans="1:19" ht="20.45" customHeight="1" thickBot="1" x14ac:dyDescent="0.5">
      <c r="B40" s="1679" t="s">
        <v>28</v>
      </c>
      <c r="C40" s="1680"/>
      <c r="D40" s="1680"/>
      <c r="E40" s="1704"/>
      <c r="F40" s="1681"/>
      <c r="G40" s="1054"/>
      <c r="H40" s="1302"/>
      <c r="I40" s="1302"/>
      <c r="J40" s="1069"/>
      <c r="K40" s="1070"/>
      <c r="L40" s="1070"/>
      <c r="M40" s="1071"/>
      <c r="N40" s="911">
        <f>N41</f>
        <v>0.5555555555555558</v>
      </c>
      <c r="O40" s="912">
        <f>O41</f>
        <v>1.9841266666666675</v>
      </c>
      <c r="P40" s="913">
        <f>O40/3.571428</f>
        <v>0.5555555555555558</v>
      </c>
      <c r="Q40" s="1072"/>
      <c r="R40" s="19"/>
      <c r="S40" s="17"/>
    </row>
    <row r="41" spans="1:19" ht="35.25" thickBot="1" x14ac:dyDescent="0.5">
      <c r="A41" s="1617">
        <v>11</v>
      </c>
      <c r="B41" s="1705" t="s">
        <v>29</v>
      </c>
      <c r="C41" s="1707">
        <f>M5</f>
        <v>3.5714285714285716</v>
      </c>
      <c r="D41" s="1073" t="s">
        <v>121</v>
      </c>
      <c r="E41" s="1074">
        <f>$C$41/2</f>
        <v>1.7857142857142858</v>
      </c>
      <c r="F41" s="956" t="s">
        <v>30</v>
      </c>
      <c r="G41" s="1075">
        <f>E41/1</f>
        <v>1.7857142857142858</v>
      </c>
      <c r="H41" s="319">
        <v>1.6</v>
      </c>
      <c r="I41" s="320">
        <v>1.2</v>
      </c>
      <c r="J41" s="1076">
        <f>H41-I41</f>
        <v>0.40000000000000013</v>
      </c>
      <c r="K41" s="1077">
        <f>(0.5*I41)*(6/10)</f>
        <v>0.36</v>
      </c>
      <c r="L41" s="1078">
        <f>I41+K41</f>
        <v>1.56</v>
      </c>
      <c r="M41" s="935">
        <f>IF(K41&lt;&gt;0,J41/K41,"0%")</f>
        <v>1.1111111111111116</v>
      </c>
      <c r="N41" s="1709">
        <f>(((G41/C41)*M41)+(G42/C41)*M42)</f>
        <v>0.5555555555555558</v>
      </c>
      <c r="O41" s="1646">
        <f>IF((((G41/C41)*M41)+((G42/C41)*M42))&gt;=1,3.57148,IF((((G41/C41)*M41)+((G42/C41)*M42))&lt;=0,0, (((G41/C41)*M41)+((G42/C41)*M42))*3.571428))</f>
        <v>1.9841266666666675</v>
      </c>
      <c r="P41" s="1630">
        <f>O41/3.571428</f>
        <v>0.5555555555555558</v>
      </c>
      <c r="Q41" s="1079" t="s">
        <v>177</v>
      </c>
      <c r="R41" s="108" t="s">
        <v>504</v>
      </c>
      <c r="S41" s="108" t="s">
        <v>505</v>
      </c>
    </row>
    <row r="42" spans="1:19" ht="58.5" thickBot="1" x14ac:dyDescent="0.5">
      <c r="A42" s="1617"/>
      <c r="B42" s="1706"/>
      <c r="C42" s="1708"/>
      <c r="D42" s="1080" t="s">
        <v>122</v>
      </c>
      <c r="E42" s="1010">
        <f>$C$41/2</f>
        <v>1.7857142857142858</v>
      </c>
      <c r="F42" s="966" t="s">
        <v>31</v>
      </c>
      <c r="G42" s="1081">
        <f>E42/1</f>
        <v>1.7857142857142858</v>
      </c>
      <c r="H42" s="718"/>
      <c r="I42" s="719"/>
      <c r="J42" s="1082">
        <f>H42-I42</f>
        <v>0</v>
      </c>
      <c r="K42" s="969">
        <f>(0.5*I42)*(6/10)</f>
        <v>0</v>
      </c>
      <c r="L42" s="1083">
        <f>I42+K42</f>
        <v>0</v>
      </c>
      <c r="M42" s="950" t="str">
        <f>IF(K42&lt;&gt;0,J42/K42,"0%")</f>
        <v>0%</v>
      </c>
      <c r="N42" s="1709"/>
      <c r="O42" s="1647"/>
      <c r="P42" s="1631"/>
      <c r="Q42" s="1079" t="s">
        <v>95</v>
      </c>
      <c r="R42" s="108" t="s">
        <v>506</v>
      </c>
      <c r="S42" s="318" t="s">
        <v>696</v>
      </c>
    </row>
    <row r="43" spans="1:19" ht="30.6" customHeight="1" thickBot="1" x14ac:dyDescent="0.5">
      <c r="B43" s="1670" t="s">
        <v>32</v>
      </c>
      <c r="C43" s="1671"/>
      <c r="D43" s="1671"/>
      <c r="E43" s="1671"/>
      <c r="F43" s="1672"/>
      <c r="G43" s="996"/>
      <c r="H43" s="1302"/>
      <c r="I43" s="1302"/>
      <c r="J43" s="1084"/>
      <c r="K43" s="1085"/>
      <c r="L43" s="1085"/>
      <c r="M43" s="1018"/>
      <c r="N43" s="911">
        <f>N44</f>
        <v>-2.6640493550196317E-2</v>
      </c>
      <c r="O43" s="912">
        <f>O44</f>
        <v>0</v>
      </c>
      <c r="P43" s="913">
        <f>O43/3.571428</f>
        <v>0</v>
      </c>
      <c r="Q43" s="1086"/>
      <c r="R43" s="17"/>
      <c r="S43" s="17"/>
    </row>
    <row r="44" spans="1:19" ht="90.75" customHeight="1" thickBot="1" x14ac:dyDescent="0.5">
      <c r="A44" s="1617">
        <v>12</v>
      </c>
      <c r="B44" s="1624" t="s">
        <v>33</v>
      </c>
      <c r="C44" s="1678">
        <f>M5</f>
        <v>3.5714285714285716</v>
      </c>
      <c r="D44" s="999" t="s">
        <v>123</v>
      </c>
      <c r="E44" s="1087">
        <f>C44/2</f>
        <v>1.7857142857142858</v>
      </c>
      <c r="F44" s="999" t="s">
        <v>34</v>
      </c>
      <c r="G44" s="931">
        <f>$E$44/1</f>
        <v>1.7857142857142858</v>
      </c>
      <c r="H44" s="97">
        <v>11.6</v>
      </c>
      <c r="I44" s="1329">
        <v>12.17</v>
      </c>
      <c r="J44" s="1088">
        <f>IF(I44=H44,(H44-30),H44-I44)</f>
        <v>-0.57000000000000028</v>
      </c>
      <c r="K44" s="980">
        <f>IF(I44&gt;=30,0,((30-I44)*(6/10)))</f>
        <v>10.697999999999999</v>
      </c>
      <c r="L44" s="1089">
        <f>I44+K44</f>
        <v>22.867999999999999</v>
      </c>
      <c r="M44" s="935">
        <f>IF(I44=0,"0%",J44/K44)</f>
        <v>-5.3280987100392634E-2</v>
      </c>
      <c r="N44" s="1702">
        <f>(((G44/C44)*M44)+((G45/C44)*M45))</f>
        <v>-2.6640493550196317E-2</v>
      </c>
      <c r="O44" s="1646">
        <f>IF((((G44/C44)*M44)+((G45/C44)*M45))&gt;=1,3.57148,IF((((G44/C44)*M44)+((G45/C44)*M45))&lt;=0,0, (((G44/C44)*M44)+((G45/C44)*M45))*3.571428))</f>
        <v>0</v>
      </c>
      <c r="P44" s="1630">
        <f>O44/3.571428</f>
        <v>0</v>
      </c>
      <c r="Q44" s="981" t="s">
        <v>178</v>
      </c>
      <c r="R44" s="108" t="s">
        <v>501</v>
      </c>
      <c r="S44" s="656" t="s">
        <v>697</v>
      </c>
    </row>
    <row r="45" spans="1:19" ht="58.5" thickBot="1" x14ac:dyDescent="0.5">
      <c r="A45" s="1617"/>
      <c r="B45" s="1626"/>
      <c r="C45" s="1686"/>
      <c r="D45" s="1024" t="s">
        <v>124</v>
      </c>
      <c r="E45" s="1090">
        <f>(C44/2)</f>
        <v>1.7857142857142858</v>
      </c>
      <c r="F45" s="1024" t="s">
        <v>35</v>
      </c>
      <c r="G45" s="944">
        <f>$E$45/1</f>
        <v>1.7857142857142858</v>
      </c>
      <c r="H45" s="475"/>
      <c r="I45" s="492"/>
      <c r="J45" s="1091">
        <f>IF(I45=H45,(H45-17),H45-I45)</f>
        <v>-17</v>
      </c>
      <c r="K45" s="1092">
        <f>IF(I45&gt;=17,0,((17-I45)*(6/10)))</f>
        <v>10.199999999999999</v>
      </c>
      <c r="L45" s="1093">
        <f>I45+K45</f>
        <v>10.199999999999999</v>
      </c>
      <c r="M45" s="950">
        <f>IF(I45&gt;=17,(1+(H45-17)/17),(H45/17))</f>
        <v>0</v>
      </c>
      <c r="N45" s="1703"/>
      <c r="O45" s="1647"/>
      <c r="P45" s="1631"/>
      <c r="Q45" s="995" t="s">
        <v>179</v>
      </c>
      <c r="R45" s="108" t="s">
        <v>507</v>
      </c>
      <c r="S45" s="318" t="s">
        <v>698</v>
      </c>
    </row>
    <row r="46" spans="1:19" ht="30.6" customHeight="1" thickBot="1" x14ac:dyDescent="0.5">
      <c r="B46" s="1694" t="s">
        <v>36</v>
      </c>
      <c r="C46" s="1695"/>
      <c r="D46" s="1695"/>
      <c r="E46" s="1695"/>
      <c r="F46" s="1696"/>
      <c r="G46" s="1095"/>
      <c r="H46" s="1300"/>
      <c r="I46" s="1301"/>
      <c r="J46" s="1096"/>
      <c r="K46" s="1097"/>
      <c r="L46" s="1097"/>
      <c r="M46" s="1098"/>
      <c r="N46" s="911">
        <f>(N47+N50+N52)/3</f>
        <v>0.81342510552987957</v>
      </c>
      <c r="O46" s="912">
        <f>(O47+O50+O52)</f>
        <v>6.3343155933771005</v>
      </c>
      <c r="P46" s="913">
        <f>O46/10.714284</f>
        <v>0.59120288330765747</v>
      </c>
      <c r="Q46" s="1099"/>
      <c r="R46" s="20"/>
      <c r="S46" s="20"/>
    </row>
    <row r="47" spans="1:19" ht="20.45" customHeight="1" thickBot="1" x14ac:dyDescent="0.5">
      <c r="B47" s="1614" t="s">
        <v>37</v>
      </c>
      <c r="C47" s="1615"/>
      <c r="D47" s="1615"/>
      <c r="E47" s="1615"/>
      <c r="F47" s="1616"/>
      <c r="G47" s="1100"/>
      <c r="H47" s="1302"/>
      <c r="I47" s="1302"/>
      <c r="J47" s="1101"/>
      <c r="K47" s="1102"/>
      <c r="L47" s="1102"/>
      <c r="M47" s="996"/>
      <c r="N47" s="911">
        <f>N48</f>
        <v>5.9814879497031036E-2</v>
      </c>
      <c r="O47" s="912">
        <f>O48</f>
        <v>0.21362453545232257</v>
      </c>
      <c r="P47" s="913">
        <f>O47/3.571428</f>
        <v>5.9814879497031036E-2</v>
      </c>
      <c r="Q47" s="1086"/>
      <c r="R47" s="17"/>
      <c r="S47" s="17"/>
    </row>
    <row r="48" spans="1:19" ht="37.799999999999997" customHeight="1" thickBot="1" x14ac:dyDescent="0.5">
      <c r="A48" s="1617">
        <v>13</v>
      </c>
      <c r="B48" s="1624" t="s">
        <v>38</v>
      </c>
      <c r="C48" s="1678">
        <f>M5</f>
        <v>3.5714285714285716</v>
      </c>
      <c r="D48" s="999" t="s">
        <v>125</v>
      </c>
      <c r="E48" s="931">
        <f>$C$48/2</f>
        <v>1.7857142857142858</v>
      </c>
      <c r="F48" s="1103" t="s">
        <v>289</v>
      </c>
      <c r="G48" s="931">
        <f>E48/1</f>
        <v>1.7857142857142858</v>
      </c>
      <c r="H48" s="477"/>
      <c r="I48" s="497"/>
      <c r="J48" s="1104">
        <f>H48-I48</f>
        <v>0</v>
      </c>
      <c r="K48" s="1105">
        <f>(0.5*I48)* (6/10)</f>
        <v>0</v>
      </c>
      <c r="L48" s="1106">
        <f>I48-K48</f>
        <v>0</v>
      </c>
      <c r="M48" s="962" t="str">
        <f>IF(K48&lt;&gt;0,J48/K48,"0%")</f>
        <v>0%</v>
      </c>
      <c r="N48" s="1700">
        <f>(((G48/C48)*M48)+((G49/C48)*M49))</f>
        <v>5.9814879497031036E-2</v>
      </c>
      <c r="O48" s="1646">
        <f>IF((((G48/C48)*M48)+((G49/C48)*M49))&gt;=1,3.57148,IF((((G48/C48)*M48)+((G49/C48)*M49))&lt;=0,0, (((G48/C48)*M48)+((G49/C48)*M49))*3.571428))</f>
        <v>0.21362453545232257</v>
      </c>
      <c r="P48" s="1630">
        <f>O48/3.571428</f>
        <v>5.9814879497031036E-2</v>
      </c>
      <c r="Q48" s="1021" t="s">
        <v>95</v>
      </c>
      <c r="R48" s="69" t="s">
        <v>508</v>
      </c>
      <c r="S48" s="318" t="s">
        <v>699</v>
      </c>
    </row>
    <row r="49" spans="1:19" ht="30.6" customHeight="1" thickBot="1" x14ac:dyDescent="0.5">
      <c r="A49" s="1617"/>
      <c r="B49" s="1626"/>
      <c r="C49" s="1686"/>
      <c r="D49" s="1024" t="s">
        <v>126</v>
      </c>
      <c r="E49" s="944">
        <f>$C$48/2</f>
        <v>1.7857142857142858</v>
      </c>
      <c r="F49" s="1024" t="s">
        <v>290</v>
      </c>
      <c r="G49" s="944">
        <f>E49/1</f>
        <v>1.7857142857142858</v>
      </c>
      <c r="H49" s="102">
        <v>1309.5999999999999</v>
      </c>
      <c r="I49" s="249">
        <v>1145.2</v>
      </c>
      <c r="J49" s="1026">
        <f>H49-I49</f>
        <v>164.39999999999986</v>
      </c>
      <c r="K49" s="1107">
        <f>(2*I49)*(6/10)</f>
        <v>1374.24</v>
      </c>
      <c r="L49" s="1108">
        <f>I49+K49</f>
        <v>2519.44</v>
      </c>
      <c r="M49" s="950">
        <f>IF(K49&lt;&gt;0,J49/K49,"0%")</f>
        <v>0.11962975899406207</v>
      </c>
      <c r="N49" s="1701"/>
      <c r="O49" s="1647"/>
      <c r="P49" s="1631"/>
      <c r="Q49" s="1027" t="s">
        <v>95</v>
      </c>
      <c r="R49" s="108" t="s">
        <v>498</v>
      </c>
      <c r="S49" s="108" t="s">
        <v>509</v>
      </c>
    </row>
    <row r="50" spans="1:19" ht="15" customHeight="1" thickBot="1" x14ac:dyDescent="0.5">
      <c r="B50" s="1670" t="s">
        <v>39</v>
      </c>
      <c r="C50" s="1671"/>
      <c r="D50" s="1671"/>
      <c r="E50" s="1671"/>
      <c r="F50" s="1672"/>
      <c r="G50" s="1109"/>
      <c r="H50" s="1303"/>
      <c r="I50" s="1303"/>
      <c r="J50" s="1110"/>
      <c r="K50" s="1110"/>
      <c r="L50" s="1110"/>
      <c r="M50" s="1111"/>
      <c r="N50" s="911">
        <f>N51</f>
        <v>1.6666666666666667</v>
      </c>
      <c r="O50" s="912">
        <f>O51</f>
        <v>3.571428</v>
      </c>
      <c r="P50" s="913">
        <f>O50/3.571428</f>
        <v>1</v>
      </c>
      <c r="Q50" s="1112"/>
      <c r="R50" s="18"/>
      <c r="S50" s="18"/>
    </row>
    <row r="51" spans="1:19" ht="30.6" customHeight="1" thickBot="1" x14ac:dyDescent="0.5">
      <c r="A51" s="21">
        <v>14</v>
      </c>
      <c r="B51" s="1113" t="s">
        <v>226</v>
      </c>
      <c r="C51" s="1114">
        <f>M5</f>
        <v>3.5714285714285716</v>
      </c>
      <c r="D51" s="1115" t="s">
        <v>272</v>
      </c>
      <c r="E51" s="1116">
        <f>C51</f>
        <v>3.5714285714285716</v>
      </c>
      <c r="F51" s="1117" t="s">
        <v>266</v>
      </c>
      <c r="G51" s="1118">
        <f>E51/1</f>
        <v>3.5714285714285716</v>
      </c>
      <c r="H51" s="1330">
        <v>100</v>
      </c>
      <c r="I51" s="1305">
        <v>0</v>
      </c>
      <c r="J51" s="1119">
        <f>H51-I51</f>
        <v>100</v>
      </c>
      <c r="K51" s="1120">
        <f>(100-I51)*(6/10)</f>
        <v>60</v>
      </c>
      <c r="L51" s="1121">
        <f>I51+K51</f>
        <v>60</v>
      </c>
      <c r="M51" s="971">
        <f>IF(K51&lt;&gt;0,J51/K51,"100%")</f>
        <v>1.6666666666666667</v>
      </c>
      <c r="N51" s="1040">
        <f>((G51/C51)*M51)</f>
        <v>1.6666666666666667</v>
      </c>
      <c r="O51" s="1041">
        <f>IF(((G51/C51)*M51)&gt;=1,3.571428,IF(((G51/C51)*M51)&lt;=0,0,((G51/C51)*M51)*3.571428))</f>
        <v>3.571428</v>
      </c>
      <c r="P51" s="913">
        <f>O51/3.571428</f>
        <v>1</v>
      </c>
      <c r="Q51" s="1122" t="s">
        <v>95</v>
      </c>
      <c r="R51" s="69" t="s">
        <v>508</v>
      </c>
      <c r="S51" s="108" t="s">
        <v>543</v>
      </c>
    </row>
    <row r="52" spans="1:19" ht="20.45" customHeight="1" thickBot="1" x14ac:dyDescent="0.5">
      <c r="B52" s="1670" t="s">
        <v>40</v>
      </c>
      <c r="C52" s="1671"/>
      <c r="D52" s="1671"/>
      <c r="E52" s="1671"/>
      <c r="F52" s="1672"/>
      <c r="G52" s="1100"/>
      <c r="H52" s="1331"/>
      <c r="I52" s="1331"/>
      <c r="J52" s="1101"/>
      <c r="K52" s="1102"/>
      <c r="L52" s="1102"/>
      <c r="M52" s="1018"/>
      <c r="N52" s="911">
        <f>N53</f>
        <v>0.71379377042594094</v>
      </c>
      <c r="O52" s="912">
        <f>O53</f>
        <v>2.5492630579247773</v>
      </c>
      <c r="P52" s="913">
        <f>O52/3.571428</f>
        <v>0.71379377042594094</v>
      </c>
      <c r="Q52" s="1123"/>
      <c r="R52" s="18"/>
      <c r="S52" s="18"/>
    </row>
    <row r="53" spans="1:19" ht="43.8" customHeight="1" thickBot="1" x14ac:dyDescent="0.5">
      <c r="A53" s="1617">
        <v>15</v>
      </c>
      <c r="B53" s="1618" t="s">
        <v>108</v>
      </c>
      <c r="C53" s="1678">
        <f>M5</f>
        <v>3.5714285714285716</v>
      </c>
      <c r="D53" s="1124" t="s">
        <v>127</v>
      </c>
      <c r="E53" s="1125">
        <f>$C$53/5</f>
        <v>0.7142857142857143</v>
      </c>
      <c r="F53" s="1126" t="s">
        <v>41</v>
      </c>
      <c r="G53" s="978">
        <f>E53/1</f>
        <v>0.7142857142857143</v>
      </c>
      <c r="H53" s="251">
        <v>60</v>
      </c>
      <c r="I53" s="252">
        <v>0</v>
      </c>
      <c r="J53" s="1001">
        <f>H53-I53</f>
        <v>60</v>
      </c>
      <c r="K53" s="1105">
        <f>(100-I53)*(6/10)</f>
        <v>60</v>
      </c>
      <c r="L53" s="1062">
        <f t="shared" ref="L53:L58" si="15">I53+K53</f>
        <v>60</v>
      </c>
      <c r="M53" s="935">
        <f t="shared" ref="M53:M54" si="16">IF(K53&lt;&gt;0,J53/K53,"0%")</f>
        <v>1</v>
      </c>
      <c r="N53" s="1697">
        <f>(((G53/C53)*M53)+((G54/C53)*M54)+((G55/C53)*M55)+((G56/C53)*M56)+((G57/C53)*M57)+((G58/C53)*M58))</f>
        <v>0.71379377042594094</v>
      </c>
      <c r="O53" s="1687">
        <f>IF((((G53/C53)*M53)+((G54/C53)*M54)+((G55/C53)*M55)+((G56/C53)*M56)+((G57/C53)*M57)+((G58/C53)*M58))&gt;=1,3.571428,IF((((G53/C53)*M53)+((G54/C53)*M54)+((G55/C53)*M55)+((G56/C53)*M56)+((G57/C53)*M57)+((G58/C53)*M58))&lt;=0,0,((((G53/C53)*M53)+((G54/C53)*M54)+((G55/C53)*M55)+((G56/C53)*M56)+((G57/C53)*M57)+((G58/C53)*M58))*3.571428)))</f>
        <v>2.5492630579247773</v>
      </c>
      <c r="P53" s="1630">
        <f>O53/3.571428</f>
        <v>0.71379377042594094</v>
      </c>
      <c r="Q53" s="1127" t="s">
        <v>95</v>
      </c>
      <c r="R53" s="108" t="s">
        <v>510</v>
      </c>
      <c r="S53" s="108" t="s">
        <v>511</v>
      </c>
    </row>
    <row r="54" spans="1:19" ht="35.450000000000003" customHeight="1" thickBot="1" x14ac:dyDescent="0.5">
      <c r="A54" s="1617"/>
      <c r="B54" s="1619"/>
      <c r="C54" s="1685"/>
      <c r="D54" s="1128" t="s">
        <v>128</v>
      </c>
      <c r="E54" s="1129">
        <f t="shared" ref="E54:E57" si="17">$C$53/5</f>
        <v>0.7142857142857143</v>
      </c>
      <c r="F54" s="1130" t="s">
        <v>42</v>
      </c>
      <c r="G54" s="983">
        <f>E54/1</f>
        <v>0.7142857142857143</v>
      </c>
      <c r="H54" s="113">
        <v>43</v>
      </c>
      <c r="I54" s="1332">
        <v>0</v>
      </c>
      <c r="J54" s="1007">
        <f>H54-I54</f>
        <v>43</v>
      </c>
      <c r="K54" s="1066">
        <f>(100-I54)*(6/6)</f>
        <v>100</v>
      </c>
      <c r="L54" s="1067">
        <f>I54+K54</f>
        <v>100</v>
      </c>
      <c r="M54" s="989">
        <f t="shared" si="16"/>
        <v>0.43</v>
      </c>
      <c r="N54" s="1698"/>
      <c r="O54" s="1633"/>
      <c r="P54" s="1635"/>
      <c r="Q54" s="1131" t="s">
        <v>95</v>
      </c>
      <c r="R54" s="108" t="s">
        <v>510</v>
      </c>
      <c r="S54" s="318" t="s">
        <v>802</v>
      </c>
    </row>
    <row r="55" spans="1:19" ht="73.150000000000006" customHeight="1" thickBot="1" x14ac:dyDescent="0.5">
      <c r="A55" s="1617"/>
      <c r="B55" s="1619"/>
      <c r="C55" s="1685"/>
      <c r="D55" s="1128" t="s">
        <v>129</v>
      </c>
      <c r="E55" s="1129">
        <f t="shared" si="17"/>
        <v>0.7142857142857143</v>
      </c>
      <c r="F55" s="1130" t="s">
        <v>43</v>
      </c>
      <c r="G55" s="983">
        <f>E55/1</f>
        <v>0.7142857142857143</v>
      </c>
      <c r="H55" s="470">
        <v>1</v>
      </c>
      <c r="I55" s="496">
        <v>1</v>
      </c>
      <c r="J55" s="1007">
        <f>H55-I55</f>
        <v>0</v>
      </c>
      <c r="K55" s="1066">
        <f>(7-I55)*(6/10)</f>
        <v>3.5999999999999996</v>
      </c>
      <c r="L55" s="1067">
        <f t="shared" ref="L55" si="18">I55+K55</f>
        <v>4.5999999999999996</v>
      </c>
      <c r="M55" s="989">
        <f>IF(H55=1,100%,J55/K55)</f>
        <v>1</v>
      </c>
      <c r="N55" s="1698"/>
      <c r="O55" s="1633"/>
      <c r="P55" s="1635"/>
      <c r="Q55" s="1131" t="s">
        <v>95</v>
      </c>
      <c r="R55" s="108" t="s">
        <v>512</v>
      </c>
      <c r="S55" s="318" t="s">
        <v>803</v>
      </c>
    </row>
    <row r="56" spans="1:19" ht="37.25" customHeight="1" thickBot="1" x14ac:dyDescent="0.5">
      <c r="A56" s="1617"/>
      <c r="B56" s="1619"/>
      <c r="C56" s="1685"/>
      <c r="D56" s="1128" t="s">
        <v>130</v>
      </c>
      <c r="E56" s="1129">
        <f t="shared" si="17"/>
        <v>0.7142857142857143</v>
      </c>
      <c r="F56" s="1130" t="s">
        <v>44</v>
      </c>
      <c r="G56" s="983">
        <f>E56/1</f>
        <v>0.7142857142857143</v>
      </c>
      <c r="H56" s="113">
        <v>1248.29</v>
      </c>
      <c r="I56" s="107">
        <v>835</v>
      </c>
      <c r="J56" s="1007">
        <f>H56-I56</f>
        <v>413.28999999999996</v>
      </c>
      <c r="K56" s="1132">
        <f>(0.5*I56)*(6/7)</f>
        <v>357.85714285714283</v>
      </c>
      <c r="L56" s="1067">
        <f t="shared" si="15"/>
        <v>1192.8571428571429</v>
      </c>
      <c r="M56" s="989">
        <f>IF(K56&lt;&gt;0,J56/K56,"0%")</f>
        <v>1.1549021956087824</v>
      </c>
      <c r="N56" s="1698"/>
      <c r="O56" s="1633"/>
      <c r="P56" s="1635"/>
      <c r="Q56" s="1131" t="s">
        <v>101</v>
      </c>
      <c r="R56" s="108" t="s">
        <v>513</v>
      </c>
      <c r="S56" s="108" t="s">
        <v>514</v>
      </c>
    </row>
    <row r="57" spans="1:19" ht="22.8" customHeight="1" thickBot="1" x14ac:dyDescent="0.5">
      <c r="A57" s="1617"/>
      <c r="B57" s="1619"/>
      <c r="C57" s="1685"/>
      <c r="D57" s="1690" t="s">
        <v>131</v>
      </c>
      <c r="E57" s="1692">
        <f t="shared" si="17"/>
        <v>0.7142857142857143</v>
      </c>
      <c r="F57" s="1130" t="s">
        <v>45</v>
      </c>
      <c r="G57" s="983">
        <f>$E$57/2</f>
        <v>0.35714285714285715</v>
      </c>
      <c r="H57" s="321">
        <v>105.3</v>
      </c>
      <c r="I57" s="107">
        <v>97.22</v>
      </c>
      <c r="J57" s="1007">
        <f t="shared" ref="J57:J58" si="19">H57-I57</f>
        <v>8.0799999999999983</v>
      </c>
      <c r="K57" s="1133">
        <f>(1*I57)*(6/10)</f>
        <v>58.331999999999994</v>
      </c>
      <c r="L57" s="1067">
        <f t="shared" si="15"/>
        <v>155.55199999999999</v>
      </c>
      <c r="M57" s="989">
        <f>IF(K57&lt;&gt;0,J57/K57,"0%")</f>
        <v>0.13851745182747033</v>
      </c>
      <c r="N57" s="1698"/>
      <c r="O57" s="1633"/>
      <c r="P57" s="1635"/>
      <c r="Q57" s="1131" t="s">
        <v>180</v>
      </c>
      <c r="R57" s="108" t="s">
        <v>485</v>
      </c>
      <c r="S57" s="108" t="s">
        <v>480</v>
      </c>
    </row>
    <row r="58" spans="1:19" ht="15" customHeight="1" thickBot="1" x14ac:dyDescent="0.5">
      <c r="A58" s="1617"/>
      <c r="B58" s="1620"/>
      <c r="C58" s="1686"/>
      <c r="D58" s="1691"/>
      <c r="E58" s="1693"/>
      <c r="F58" s="943" t="s">
        <v>46</v>
      </c>
      <c r="G58" s="992">
        <f>$E$57/2</f>
        <v>0.35714285714285715</v>
      </c>
      <c r="H58" s="312">
        <v>4.83</v>
      </c>
      <c r="I58" s="114">
        <v>5.38</v>
      </c>
      <c r="J58" s="1013">
        <f t="shared" si="19"/>
        <v>-0.54999999999999982</v>
      </c>
      <c r="K58" s="1107">
        <f>(1*I58)*(6/10)</f>
        <v>3.2279999999999998</v>
      </c>
      <c r="L58" s="1134">
        <f t="shared" si="15"/>
        <v>8.6080000000000005</v>
      </c>
      <c r="M58" s="950">
        <f>IF(K58&lt;&gt;0,J58/K58,"0%")</f>
        <v>-0.17038413878562572</v>
      </c>
      <c r="N58" s="1699"/>
      <c r="O58" s="1634"/>
      <c r="P58" s="1631"/>
      <c r="Q58" s="1135" t="s">
        <v>95</v>
      </c>
      <c r="R58" s="108" t="s">
        <v>498</v>
      </c>
      <c r="S58" s="108" t="s">
        <v>515</v>
      </c>
    </row>
    <row r="59" spans="1:19" ht="23.45" customHeight="1" thickBot="1" x14ac:dyDescent="0.5">
      <c r="B59" s="1694" t="s">
        <v>47</v>
      </c>
      <c r="C59" s="1695"/>
      <c r="D59" s="1695"/>
      <c r="E59" s="1695"/>
      <c r="F59" s="1696"/>
      <c r="G59" s="1136"/>
      <c r="H59" s="1307"/>
      <c r="I59" s="1307"/>
      <c r="J59" s="1137"/>
      <c r="K59" s="1137"/>
      <c r="L59" s="1137"/>
      <c r="M59" s="1098"/>
      <c r="N59" s="911">
        <f>(N60+N67)/2</f>
        <v>0.52619047619047621</v>
      </c>
      <c r="O59" s="912">
        <f>(O60+O67)</f>
        <v>3.571428</v>
      </c>
      <c r="P59" s="913">
        <f>O59/7.142856</f>
        <v>0.5</v>
      </c>
      <c r="Q59" s="1138"/>
      <c r="R59" s="219"/>
      <c r="S59" s="220"/>
    </row>
    <row r="60" spans="1:19" ht="22.25" customHeight="1" thickBot="1" x14ac:dyDescent="0.5">
      <c r="B60" s="1670" t="s">
        <v>48</v>
      </c>
      <c r="C60" s="1671"/>
      <c r="D60" s="1671"/>
      <c r="E60" s="1671"/>
      <c r="F60" s="1672"/>
      <c r="G60" s="996"/>
      <c r="H60" s="1306"/>
      <c r="I60" s="1306"/>
      <c r="J60" s="1016"/>
      <c r="K60" s="1017"/>
      <c r="L60" s="1017"/>
      <c r="M60" s="996"/>
      <c r="N60" s="911">
        <f>N61</f>
        <v>1.0523809523809524</v>
      </c>
      <c r="O60" s="912">
        <f>O61</f>
        <v>3.571428</v>
      </c>
      <c r="P60" s="913">
        <f>O60/3.571428</f>
        <v>1</v>
      </c>
      <c r="Q60" s="997"/>
      <c r="R60" s="17"/>
      <c r="S60" s="17"/>
    </row>
    <row r="61" spans="1:19" ht="39" customHeight="1" thickBot="1" x14ac:dyDescent="0.5">
      <c r="A61" s="1617">
        <v>16</v>
      </c>
      <c r="B61" s="1618" t="s">
        <v>49</v>
      </c>
      <c r="C61" s="1678">
        <f>M5</f>
        <v>3.5714285714285716</v>
      </c>
      <c r="D61" s="999" t="s">
        <v>133</v>
      </c>
      <c r="E61" s="931">
        <f>$C$61/4</f>
        <v>0.8928571428571429</v>
      </c>
      <c r="F61" s="999" t="s">
        <v>50</v>
      </c>
      <c r="G61" s="978">
        <f>E61/1</f>
        <v>0.8928571428571429</v>
      </c>
      <c r="H61" s="308">
        <v>68</v>
      </c>
      <c r="I61" s="309">
        <v>68</v>
      </c>
      <c r="J61" s="1088">
        <f>IF(I61=H61,(H61-70),H61-I61)</f>
        <v>-2</v>
      </c>
      <c r="K61" s="980">
        <f>IF(I61&gt;=70,0,((70-I61)*(6/10)))</f>
        <v>1.2</v>
      </c>
      <c r="L61" s="1333">
        <f t="shared" ref="L61:L66" si="20">I61+K61</f>
        <v>69.2</v>
      </c>
      <c r="M61" s="962">
        <f>IF(I61&gt;=70,(1+(H61-70)/70),(H61/70))</f>
        <v>0.97142857142857142</v>
      </c>
      <c r="N61" s="1627">
        <f>(((G61/C61)*M61)+((G62/C61)*M62)+((G63/C61)*M63)+((G64/C61)*M64)+((G65/C61)*M65)+((G66/C61)*M66))</f>
        <v>1.0523809523809524</v>
      </c>
      <c r="O61" s="1687">
        <f>IF((((G61/C61)*M61)+((G62/C61)*M62)+((G63/C61)*M63)+((G64/C61)*M64)+((G65/C61)*M65)+((G66/C61)*M66))&gt;=1,3.571428,IF((((G61/C61)*M61)+((G62/C61)*M62)+((G63/C61)*M63)+((G64/C61)*M64)+((G65/C61)*M65)+((G66/C61)*M66))&lt;=0,0,((((G61/C61)*M61)+((G62/C61)*M62)+((G63/C61)*M63)+((G64/C61)*M64)+((G65/C61)*M65)+((G66/C61)*M66))*3.571428)))</f>
        <v>3.571428</v>
      </c>
      <c r="P61" s="1630">
        <f>O61/3.571428</f>
        <v>1</v>
      </c>
      <c r="Q61" s="1063" t="s">
        <v>181</v>
      </c>
      <c r="R61" s="318" t="s">
        <v>700</v>
      </c>
      <c r="S61" s="318" t="s">
        <v>615</v>
      </c>
    </row>
    <row r="62" spans="1:19" ht="58.25" customHeight="1" thickBot="1" x14ac:dyDescent="0.5">
      <c r="A62" s="1617"/>
      <c r="B62" s="1619"/>
      <c r="C62" s="1685"/>
      <c r="D62" s="1004" t="s">
        <v>134</v>
      </c>
      <c r="E62" s="1005">
        <f t="shared" ref="E62:E63" si="21">$C$61/4</f>
        <v>0.8928571428571429</v>
      </c>
      <c r="F62" s="1128" t="s">
        <v>276</v>
      </c>
      <c r="G62" s="983">
        <f>$E$62/1</f>
        <v>0.8928571428571429</v>
      </c>
      <c r="H62" s="118">
        <v>90</v>
      </c>
      <c r="I62" s="121">
        <v>90</v>
      </c>
      <c r="J62" s="1141">
        <f>IF(I62=H62,(H62-70),H62-I62)</f>
        <v>20</v>
      </c>
      <c r="K62" s="987">
        <f t="shared" ref="K62:K63" si="22">IF(I62&gt;=70,0,((70-I62)*(6/10)))</f>
        <v>0</v>
      </c>
      <c r="L62" s="1334">
        <f t="shared" si="20"/>
        <v>90</v>
      </c>
      <c r="M62" s="962">
        <f t="shared" ref="M62:M63" si="23">IF(I62&gt;=70,(1+(H62-70)/70),(J62/K62))</f>
        <v>1.2857142857142856</v>
      </c>
      <c r="N62" s="1628"/>
      <c r="O62" s="1633"/>
      <c r="P62" s="1635"/>
      <c r="Q62" s="1068" t="s">
        <v>182</v>
      </c>
      <c r="R62" s="318" t="s">
        <v>541</v>
      </c>
      <c r="S62" s="318" t="s">
        <v>615</v>
      </c>
    </row>
    <row r="63" spans="1:19" ht="26.45" customHeight="1" thickBot="1" x14ac:dyDescent="0.5">
      <c r="A63" s="1617"/>
      <c r="B63" s="1619"/>
      <c r="C63" s="1685"/>
      <c r="D63" s="1004" t="s">
        <v>135</v>
      </c>
      <c r="E63" s="1005">
        <f t="shared" si="21"/>
        <v>0.8928571428571429</v>
      </c>
      <c r="F63" s="1004" t="s">
        <v>51</v>
      </c>
      <c r="G63" s="983">
        <f>E63/1</f>
        <v>0.8928571428571429</v>
      </c>
      <c r="H63" s="118">
        <v>90</v>
      </c>
      <c r="I63" s="121">
        <v>90</v>
      </c>
      <c r="J63" s="1141">
        <f>IF(I63=H63,(H63-70),H63-I63)</f>
        <v>20</v>
      </c>
      <c r="K63" s="987">
        <f t="shared" si="22"/>
        <v>0</v>
      </c>
      <c r="L63" s="1334">
        <f t="shared" si="20"/>
        <v>90</v>
      </c>
      <c r="M63" s="962">
        <f t="shared" si="23"/>
        <v>1.2857142857142856</v>
      </c>
      <c r="N63" s="1628"/>
      <c r="O63" s="1633"/>
      <c r="P63" s="1635"/>
      <c r="Q63" s="1068" t="s">
        <v>95</v>
      </c>
      <c r="R63" s="528" t="s">
        <v>542</v>
      </c>
      <c r="S63" s="318" t="s">
        <v>615</v>
      </c>
    </row>
    <row r="64" spans="1:19" ht="15" customHeight="1" thickBot="1" x14ac:dyDescent="0.5">
      <c r="A64" s="1617"/>
      <c r="B64" s="1619"/>
      <c r="C64" s="1685"/>
      <c r="D64" s="1625" t="s">
        <v>136</v>
      </c>
      <c r="E64" s="1688">
        <f>$C$61/4</f>
        <v>0.8928571428571429</v>
      </c>
      <c r="F64" s="1143" t="s">
        <v>52</v>
      </c>
      <c r="G64" s="1144">
        <f>$E$64/3</f>
        <v>0.29761904761904762</v>
      </c>
      <c r="H64" s="650">
        <v>100</v>
      </c>
      <c r="I64" s="651">
        <v>100</v>
      </c>
      <c r="J64" s="1145">
        <f t="shared" ref="J64:J66" si="24">H64-I64</f>
        <v>0</v>
      </c>
      <c r="K64" s="1146">
        <f>(100-I64)*(6/10)</f>
        <v>0</v>
      </c>
      <c r="L64" s="1334">
        <f t="shared" si="20"/>
        <v>100</v>
      </c>
      <c r="M64" s="989" t="str">
        <f t="shared" ref="M64:M66" si="25">IF(K64&lt;&gt;0,J64/K64,"100%")</f>
        <v>100%</v>
      </c>
      <c r="N64" s="1628"/>
      <c r="O64" s="1633"/>
      <c r="P64" s="1635"/>
      <c r="Q64" s="1068" t="s">
        <v>95</v>
      </c>
      <c r="R64" s="517"/>
      <c r="S64" s="529" t="s">
        <v>701</v>
      </c>
    </row>
    <row r="65" spans="1:19" ht="14.65" thickBot="1" x14ac:dyDescent="0.5">
      <c r="A65" s="1617"/>
      <c r="B65" s="1619"/>
      <c r="C65" s="1685"/>
      <c r="D65" s="1625"/>
      <c r="E65" s="1688"/>
      <c r="F65" s="1143" t="s">
        <v>53</v>
      </c>
      <c r="G65" s="1144">
        <f t="shared" ref="G65:G66" si="26">$E$64/3</f>
        <v>0.29761904761904762</v>
      </c>
      <c r="H65" s="650">
        <v>0</v>
      </c>
      <c r="I65" s="651">
        <v>0</v>
      </c>
      <c r="J65" s="1145">
        <f t="shared" si="24"/>
        <v>0</v>
      </c>
      <c r="K65" s="1146">
        <f>(100-I65)*(6/10)</f>
        <v>60</v>
      </c>
      <c r="L65" s="1334">
        <f t="shared" si="20"/>
        <v>60</v>
      </c>
      <c r="M65" s="989">
        <f t="shared" si="25"/>
        <v>0</v>
      </c>
      <c r="N65" s="1628"/>
      <c r="O65" s="1633"/>
      <c r="P65" s="1635"/>
      <c r="Q65" s="1068" t="s">
        <v>95</v>
      </c>
      <c r="R65" s="517"/>
      <c r="S65" s="529" t="s">
        <v>545</v>
      </c>
    </row>
    <row r="66" spans="1:19" ht="73.150000000000006" customHeight="1" thickBot="1" x14ac:dyDescent="0.5">
      <c r="A66" s="1617"/>
      <c r="B66" s="1620"/>
      <c r="C66" s="1686"/>
      <c r="D66" s="1626"/>
      <c r="E66" s="1689"/>
      <c r="F66" s="1147" t="s">
        <v>54</v>
      </c>
      <c r="G66" s="1148">
        <f t="shared" si="26"/>
        <v>0.29761904761904762</v>
      </c>
      <c r="H66" s="1335">
        <v>100</v>
      </c>
      <c r="I66" s="1336">
        <v>100</v>
      </c>
      <c r="J66" s="1149">
        <f t="shared" si="24"/>
        <v>0</v>
      </c>
      <c r="K66" s="1150">
        <f>(100-I66)*(6/10)</f>
        <v>0</v>
      </c>
      <c r="L66" s="1337">
        <f t="shared" si="20"/>
        <v>100</v>
      </c>
      <c r="M66" s="950" t="str">
        <f t="shared" si="25"/>
        <v>100%</v>
      </c>
      <c r="N66" s="1629"/>
      <c r="O66" s="1634"/>
      <c r="P66" s="1631"/>
      <c r="Q66" s="1152" t="s">
        <v>95</v>
      </c>
      <c r="R66" s="517" t="s">
        <v>804</v>
      </c>
      <c r="S66" s="1338"/>
    </row>
    <row r="67" spans="1:19" ht="27" customHeight="1" thickBot="1" x14ac:dyDescent="0.5">
      <c r="B67" s="1614" t="s">
        <v>55</v>
      </c>
      <c r="C67" s="1615"/>
      <c r="D67" s="1615"/>
      <c r="E67" s="1615"/>
      <c r="F67" s="1616"/>
      <c r="G67" s="1084"/>
      <c r="H67" s="1308"/>
      <c r="I67" s="1308"/>
      <c r="J67" s="1084"/>
      <c r="K67" s="1085"/>
      <c r="L67" s="1085"/>
      <c r="M67" s="996"/>
      <c r="N67" s="911">
        <f>N68</f>
        <v>0</v>
      </c>
      <c r="O67" s="912">
        <f>O68</f>
        <v>0</v>
      </c>
      <c r="P67" s="913">
        <f>O67/3.571428</f>
        <v>0</v>
      </c>
      <c r="Q67" s="1153"/>
      <c r="R67" s="109"/>
      <c r="S67" s="15"/>
    </row>
    <row r="68" spans="1:19" ht="70.150000000000006" thickBot="1" x14ac:dyDescent="0.5">
      <c r="A68" s="22">
        <v>17</v>
      </c>
      <c r="B68" s="1154" t="s">
        <v>56</v>
      </c>
      <c r="C68" s="1155">
        <f>M5</f>
        <v>3.5714285714285716</v>
      </c>
      <c r="D68" s="1154" t="s">
        <v>137</v>
      </c>
      <c r="E68" s="1155">
        <f>C68</f>
        <v>3.5714285714285716</v>
      </c>
      <c r="F68" s="1154" t="s">
        <v>57</v>
      </c>
      <c r="G68" s="1156">
        <f>E68/1</f>
        <v>3.5714285714285716</v>
      </c>
      <c r="H68" s="324">
        <v>4.5999999999999996</v>
      </c>
      <c r="I68" s="511"/>
      <c r="J68" s="1157">
        <f>IF(I68=H68,(H68-70),I68-H68)</f>
        <v>-4.5999999999999996</v>
      </c>
      <c r="K68" s="1051">
        <f t="shared" ref="K68" si="27">IF(I68&gt;=70,0,((70-I68)*(6/10)))</f>
        <v>42</v>
      </c>
      <c r="L68" s="1158">
        <f>I68-K68</f>
        <v>-42</v>
      </c>
      <c r="M68" s="971" t="str">
        <f>IF(I68=0,"0%",J68/K68)</f>
        <v>0%</v>
      </c>
      <c r="N68" s="1159">
        <f>((G68/C68)*M68)</f>
        <v>0</v>
      </c>
      <c r="O68" s="1041">
        <f>IF(((G68/C68)*M68)&gt;=1,3.571428,IF(((G68/C68)*M68)&lt;=0,0,((G68/C68)*M68)*3.571428))</f>
        <v>0</v>
      </c>
      <c r="P68" s="913">
        <f>O68/3.571428</f>
        <v>0</v>
      </c>
      <c r="Q68" s="1160" t="s">
        <v>132</v>
      </c>
      <c r="R68" s="108" t="s">
        <v>516</v>
      </c>
      <c r="S68" s="318" t="s">
        <v>702</v>
      </c>
    </row>
    <row r="69" spans="1:19" ht="22.25" customHeight="1" thickBot="1" x14ac:dyDescent="0.5">
      <c r="B69" s="1563" t="s">
        <v>58</v>
      </c>
      <c r="C69" s="1564"/>
      <c r="D69" s="1564"/>
      <c r="E69" s="1564"/>
      <c r="F69" s="1565"/>
      <c r="G69" s="223"/>
      <c r="H69" s="285"/>
      <c r="I69" s="286"/>
      <c r="J69" s="224"/>
      <c r="K69" s="92"/>
      <c r="L69" s="92"/>
      <c r="M69" s="1161"/>
      <c r="N69" s="911">
        <f>(N70+N72+N74)/3</f>
        <v>1</v>
      </c>
      <c r="O69" s="912">
        <f>(O70+O72+O74)</f>
        <v>10.714283999999999</v>
      </c>
      <c r="P69" s="913">
        <f>O69/10.714284</f>
        <v>1</v>
      </c>
      <c r="Q69" s="886"/>
      <c r="R69" s="12"/>
      <c r="S69" s="13"/>
    </row>
    <row r="70" spans="1:19" ht="20.45" customHeight="1" thickBot="1" x14ac:dyDescent="0.5">
      <c r="B70" s="1670" t="s">
        <v>59</v>
      </c>
      <c r="C70" s="1671"/>
      <c r="D70" s="1671"/>
      <c r="E70" s="1671"/>
      <c r="F70" s="1672"/>
      <c r="G70" s="996"/>
      <c r="H70" s="1298"/>
      <c r="I70" s="1299"/>
      <c r="J70" s="997"/>
      <c r="K70" s="997"/>
      <c r="L70" s="997"/>
      <c r="M70" s="1162"/>
      <c r="N70" s="911">
        <f>N71</f>
        <v>1</v>
      </c>
      <c r="O70" s="912">
        <f>O71</f>
        <v>3.571428</v>
      </c>
      <c r="P70" s="913">
        <f t="shared" ref="P70:P78" si="28">O70/3.571428</f>
        <v>1</v>
      </c>
      <c r="Q70" s="1123"/>
      <c r="R70" s="18"/>
      <c r="S70" s="18"/>
    </row>
    <row r="71" spans="1:19" ht="52.25" customHeight="1" thickBot="1" x14ac:dyDescent="0.5">
      <c r="A71" s="22">
        <v>18</v>
      </c>
      <c r="B71" s="1163" t="s">
        <v>60</v>
      </c>
      <c r="C71" s="1164">
        <f>M5</f>
        <v>3.5714285714285716</v>
      </c>
      <c r="D71" s="1165" t="s">
        <v>138</v>
      </c>
      <c r="E71" s="1166">
        <f>C71</f>
        <v>3.5714285714285716</v>
      </c>
      <c r="F71" s="1167" t="s">
        <v>61</v>
      </c>
      <c r="G71" s="1168">
        <f>E71/1</f>
        <v>3.5714285714285716</v>
      </c>
      <c r="H71" s="96">
        <v>0</v>
      </c>
      <c r="I71" s="246">
        <v>0</v>
      </c>
      <c r="J71" s="1169">
        <f>I71-H71</f>
        <v>0</v>
      </c>
      <c r="K71" s="1048">
        <f>(0.5*I71)*0.6</f>
        <v>0</v>
      </c>
      <c r="L71" s="1158">
        <f>I71-K71</f>
        <v>0</v>
      </c>
      <c r="M71" s="989" t="str">
        <f t="shared" ref="M71" si="29">IF(K71&lt;&gt;0,J71/K71,"100%")</f>
        <v>100%</v>
      </c>
      <c r="N71" s="1159">
        <f>((G71/C71)*M71)</f>
        <v>1</v>
      </c>
      <c r="O71" s="1041">
        <f>IF(((G71/C71)*M71)&gt;=1,3.571428,IF(((G71/C71)*M71)&lt;=0,0,((G71/C71)*M71)*3.571428))</f>
        <v>3.571428</v>
      </c>
      <c r="P71" s="913">
        <f t="shared" si="28"/>
        <v>1</v>
      </c>
      <c r="Q71" s="1170" t="s">
        <v>183</v>
      </c>
      <c r="R71" s="24"/>
      <c r="S71" s="108"/>
    </row>
    <row r="72" spans="1:19" ht="20.45" customHeight="1" thickBot="1" x14ac:dyDescent="0.5">
      <c r="B72" s="1679" t="s">
        <v>277</v>
      </c>
      <c r="C72" s="1680"/>
      <c r="D72" s="1680"/>
      <c r="E72" s="1680"/>
      <c r="F72" s="1681"/>
      <c r="G72" s="1054"/>
      <c r="H72" s="1298"/>
      <c r="I72" s="1302"/>
      <c r="J72" s="1055"/>
      <c r="K72" s="1056"/>
      <c r="L72" s="1056"/>
      <c r="M72" s="1057"/>
      <c r="N72" s="911">
        <f>N73</f>
        <v>1</v>
      </c>
      <c r="O72" s="912">
        <f>O73</f>
        <v>3.571428</v>
      </c>
      <c r="P72" s="913">
        <f t="shared" si="28"/>
        <v>1</v>
      </c>
      <c r="Q72" s="1171"/>
      <c r="R72" s="18"/>
      <c r="S72" s="18"/>
    </row>
    <row r="73" spans="1:19" ht="45" customHeight="1" thickBot="1" x14ac:dyDescent="0.5">
      <c r="A73" s="22">
        <v>19</v>
      </c>
      <c r="B73" s="1172" t="s">
        <v>62</v>
      </c>
      <c r="C73" s="1173">
        <f>M5</f>
        <v>3.5714285714285716</v>
      </c>
      <c r="D73" s="1174" t="s">
        <v>139</v>
      </c>
      <c r="E73" s="1173">
        <f>C73</f>
        <v>3.5714285714285716</v>
      </c>
      <c r="F73" s="1175" t="s">
        <v>63</v>
      </c>
      <c r="G73" s="1176">
        <f>E73/1</f>
        <v>3.5714285714285716</v>
      </c>
      <c r="H73" s="96">
        <v>0</v>
      </c>
      <c r="I73" s="103">
        <v>0</v>
      </c>
      <c r="J73" s="1177">
        <f>I73-H73</f>
        <v>0</v>
      </c>
      <c r="K73" s="1178">
        <f>IF(H73&gt;0,(H73),I73)</f>
        <v>0</v>
      </c>
      <c r="L73" s="1179">
        <f>I73-K73</f>
        <v>0</v>
      </c>
      <c r="M73" s="989" t="str">
        <f t="shared" ref="M73" si="30">IF(K73&lt;&gt;0,J73/K73,"100%")</f>
        <v>100%</v>
      </c>
      <c r="N73" s="1159">
        <f>((G73/C73)*M73)</f>
        <v>1</v>
      </c>
      <c r="O73" s="1041">
        <f>IF(((G73/C73)*M73)&gt;=1,3.571428,IF(((G73/C73)*M73)&lt;=0,0,((G73/C73)*M73)*3.571428))</f>
        <v>3.571428</v>
      </c>
      <c r="P73" s="913">
        <f t="shared" si="28"/>
        <v>1</v>
      </c>
      <c r="Q73" s="1180" t="s">
        <v>95</v>
      </c>
      <c r="R73" s="24"/>
      <c r="S73" s="24"/>
    </row>
    <row r="74" spans="1:19" ht="30.6" customHeight="1" thickBot="1" x14ac:dyDescent="0.5">
      <c r="B74" s="1670" t="s">
        <v>64</v>
      </c>
      <c r="C74" s="1671"/>
      <c r="D74" s="1671"/>
      <c r="E74" s="1671"/>
      <c r="F74" s="1672"/>
      <c r="G74" s="997"/>
      <c r="H74" s="1298"/>
      <c r="I74" s="1299"/>
      <c r="J74" s="997"/>
      <c r="K74" s="997"/>
      <c r="L74" s="997"/>
      <c r="M74" s="996"/>
      <c r="N74" s="911">
        <f>N75</f>
        <v>1</v>
      </c>
      <c r="O74" s="912">
        <f>O75</f>
        <v>3.571428</v>
      </c>
      <c r="P74" s="913">
        <f t="shared" si="28"/>
        <v>1</v>
      </c>
      <c r="Q74" s="1123"/>
      <c r="R74" s="18"/>
      <c r="S74" s="18"/>
    </row>
    <row r="75" spans="1:19" ht="29.45" customHeight="1" thickBot="1" x14ac:dyDescent="0.5">
      <c r="A75" s="22">
        <v>20</v>
      </c>
      <c r="B75" s="1172" t="s">
        <v>65</v>
      </c>
      <c r="C75" s="1035">
        <f>M5</f>
        <v>3.5714285714285716</v>
      </c>
      <c r="D75" s="1165" t="s">
        <v>140</v>
      </c>
      <c r="E75" s="1181">
        <f>C75</f>
        <v>3.5714285714285716</v>
      </c>
      <c r="F75" s="1174" t="s">
        <v>66</v>
      </c>
      <c r="G75" s="1168">
        <f>E75/1</f>
        <v>3.5714285714285716</v>
      </c>
      <c r="H75" s="1279">
        <v>1</v>
      </c>
      <c r="I75" s="1328">
        <v>0</v>
      </c>
      <c r="J75" s="1119">
        <f>H75-I75</f>
        <v>1</v>
      </c>
      <c r="K75" s="1120">
        <f>IF(AND(H75=0,I75=1)," 1",(H75-I75))</f>
        <v>1</v>
      </c>
      <c r="L75" s="1182">
        <f>I75+K75</f>
        <v>1</v>
      </c>
      <c r="M75" s="1183">
        <f>(IF(I75=1,1,(J75/K75)))</f>
        <v>1</v>
      </c>
      <c r="N75" s="1159">
        <f>((G75/C75)*M75)</f>
        <v>1</v>
      </c>
      <c r="O75" s="1041">
        <f>IF(((G75/C75)*M75)&gt;=1,3.571428,IF(((G75/C75)*M75)&lt;=0,0,((G75/C75)*M75)*3.571428))</f>
        <v>3.571428</v>
      </c>
      <c r="P75" s="913">
        <f t="shared" si="28"/>
        <v>1</v>
      </c>
      <c r="Q75" s="1184" t="s">
        <v>95</v>
      </c>
      <c r="R75" s="82"/>
      <c r="S75" s="193"/>
    </row>
    <row r="76" spans="1:19" ht="20.45" customHeight="1" thickBot="1" x14ac:dyDescent="0.5">
      <c r="B76" s="1682" t="s">
        <v>67</v>
      </c>
      <c r="C76" s="1683"/>
      <c r="D76" s="1683"/>
      <c r="E76" s="1683"/>
      <c r="F76" s="1684"/>
      <c r="G76" s="1185"/>
      <c r="H76" s="1313"/>
      <c r="I76" s="1314"/>
      <c r="J76" s="1186"/>
      <c r="K76" s="885"/>
      <c r="L76" s="885"/>
      <c r="M76" s="1185"/>
      <c r="N76" s="911">
        <f t="shared" ref="N76:O77" si="31">N77</f>
        <v>0.8928571428571429</v>
      </c>
      <c r="O76" s="912">
        <f t="shared" si="31"/>
        <v>3.1887750000000001</v>
      </c>
      <c r="P76" s="913">
        <f t="shared" si="28"/>
        <v>0.8928571428571429</v>
      </c>
      <c r="Q76" s="1187"/>
      <c r="R76" s="23"/>
      <c r="S76" s="23"/>
    </row>
    <row r="77" spans="1:19" ht="20.45" customHeight="1" thickBot="1" x14ac:dyDescent="0.5">
      <c r="B77" s="1670" t="s">
        <v>68</v>
      </c>
      <c r="C77" s="1671"/>
      <c r="D77" s="1671"/>
      <c r="E77" s="1671"/>
      <c r="F77" s="1672"/>
      <c r="G77" s="996"/>
      <c r="H77" s="1298"/>
      <c r="I77" s="1299"/>
      <c r="J77" s="1016"/>
      <c r="K77" s="1017"/>
      <c r="L77" s="1017"/>
      <c r="M77" s="998"/>
      <c r="N77" s="911">
        <f t="shared" si="31"/>
        <v>0.8928571428571429</v>
      </c>
      <c r="O77" s="912">
        <f t="shared" si="31"/>
        <v>3.1887750000000001</v>
      </c>
      <c r="P77" s="913">
        <f t="shared" si="28"/>
        <v>0.8928571428571429</v>
      </c>
      <c r="Q77" s="1123"/>
      <c r="R77" s="18"/>
      <c r="S77" s="18"/>
    </row>
    <row r="78" spans="1:19" ht="66.400000000000006" customHeight="1" thickBot="1" x14ac:dyDescent="0.5">
      <c r="A78" s="22">
        <v>21</v>
      </c>
      <c r="B78" s="1172" t="s">
        <v>69</v>
      </c>
      <c r="C78" s="1181">
        <f>M5</f>
        <v>3.5714285714285716</v>
      </c>
      <c r="D78" s="1188" t="s">
        <v>141</v>
      </c>
      <c r="E78" s="1181">
        <f>C78</f>
        <v>3.5714285714285716</v>
      </c>
      <c r="F78" s="1188" t="s">
        <v>70</v>
      </c>
      <c r="G78" s="1155">
        <f>E78/1</f>
        <v>3.5714285714285716</v>
      </c>
      <c r="H78" s="1327">
        <v>50</v>
      </c>
      <c r="I78" s="1328">
        <v>50</v>
      </c>
      <c r="J78" s="1157">
        <f>IF(I78=H78,(H78-60),H78-I78)</f>
        <v>-10</v>
      </c>
      <c r="K78" s="1051">
        <f>IF(I78&gt;=60,0,((60-I78)*(6/10)))</f>
        <v>6</v>
      </c>
      <c r="L78" s="1158">
        <f t="shared" ref="L78" si="32">K78+I78</f>
        <v>56</v>
      </c>
      <c r="M78" s="1039">
        <f>IF(I78&gt;=60,(1+(H78-60)/60),(H78/L78))</f>
        <v>0.8928571428571429</v>
      </c>
      <c r="N78" s="1159">
        <f>((G78/C78)*M78)</f>
        <v>0.8928571428571429</v>
      </c>
      <c r="O78" s="1041">
        <f>IF(((G78/C78)*M78)&gt;=1,3.571428,IF(((G78/C78)*M78)&lt;=0,0,((G78/C78)*M78)*3.571428))</f>
        <v>3.1887750000000001</v>
      </c>
      <c r="P78" s="913">
        <f t="shared" si="28"/>
        <v>0.8928571428571429</v>
      </c>
      <c r="Q78" s="1189" t="s">
        <v>95</v>
      </c>
      <c r="R78" s="24"/>
      <c r="S78" s="656" t="s">
        <v>805</v>
      </c>
    </row>
    <row r="79" spans="1:19" ht="21.6" customHeight="1" thickBot="1" x14ac:dyDescent="0.5">
      <c r="B79" s="1673" t="s">
        <v>71</v>
      </c>
      <c r="C79" s="1674"/>
      <c r="D79" s="1674"/>
      <c r="E79" s="1674"/>
      <c r="F79" s="1675"/>
      <c r="G79" s="1185"/>
      <c r="H79" s="1313"/>
      <c r="I79" s="1314"/>
      <c r="J79" s="1190"/>
      <c r="K79" s="1191"/>
      <c r="L79" s="1191"/>
      <c r="M79" s="1185"/>
      <c r="N79" s="911">
        <f>(N80+N86)/2</f>
        <v>1.2385136537780088</v>
      </c>
      <c r="O79" s="912">
        <f>(O80+O86)</f>
        <v>9.8110527924970263</v>
      </c>
      <c r="P79" s="913">
        <f>O79/10.714284</f>
        <v>0.915698407144801</v>
      </c>
      <c r="Q79" s="1187"/>
      <c r="R79" s="23"/>
      <c r="S79" s="23"/>
    </row>
    <row r="80" spans="1:19" ht="20.45" customHeight="1" thickBot="1" x14ac:dyDescent="0.5">
      <c r="B80" s="1614" t="s">
        <v>72</v>
      </c>
      <c r="C80" s="1615"/>
      <c r="D80" s="1615"/>
      <c r="E80" s="1615"/>
      <c r="F80" s="1616"/>
      <c r="G80" s="1018"/>
      <c r="H80" s="1315"/>
      <c r="I80" s="1316"/>
      <c r="J80" s="997"/>
      <c r="K80" s="997"/>
      <c r="L80" s="997"/>
      <c r="M80" s="1018"/>
      <c r="N80" s="911">
        <f>(N81+N83)/2</f>
        <v>0.87354761071720133</v>
      </c>
      <c r="O80" s="912">
        <f>(O81+O83)</f>
        <v>6.2396247924970254</v>
      </c>
      <c r="P80" s="913">
        <f>O80/7.142856</f>
        <v>0.87354761071720122</v>
      </c>
      <c r="Q80" s="1192"/>
      <c r="R80" s="17"/>
      <c r="S80" s="17"/>
    </row>
    <row r="81" spans="1:19" ht="58.5" thickBot="1" x14ac:dyDescent="0.5">
      <c r="A81" s="22"/>
      <c r="B81" s="1676" t="s">
        <v>73</v>
      </c>
      <c r="C81" s="1678">
        <f>M5</f>
        <v>3.5714285714285716</v>
      </c>
      <c r="D81" s="999" t="s">
        <v>267</v>
      </c>
      <c r="E81" s="931">
        <f>$C$81/2</f>
        <v>1.7857142857142858</v>
      </c>
      <c r="F81" s="1124" t="s">
        <v>278</v>
      </c>
      <c r="G81" s="978">
        <f>E81/1</f>
        <v>1.7857142857142858</v>
      </c>
      <c r="H81" s="477"/>
      <c r="I81" s="491"/>
      <c r="J81" s="1088">
        <f>IF(I81=H81,(H81-50),H81-I81)</f>
        <v>-50</v>
      </c>
      <c r="K81" s="980">
        <f>IF(I81&gt;=50,0,((50-I81)*(6/10)))</f>
        <v>30</v>
      </c>
      <c r="L81" s="1193">
        <f>I81+K81</f>
        <v>30</v>
      </c>
      <c r="M81" s="971" t="str">
        <f>IF(H81=0,"0%",J81/K81)</f>
        <v>0%</v>
      </c>
      <c r="N81" s="1627">
        <f>(((G81/C81)*M81)+((G82/C81)*M82))</f>
        <v>0.79466666666666663</v>
      </c>
      <c r="O81" s="1646">
        <f>IF((((G81/C81)*M81)+((G82/C81)*M82))&gt;=1,3.57148,IF((((G81/C81)*M81)+((G82/C81)*M82))&lt;=0,0, (((G81/C81)*M81)+((G82/C81)*M82))*3.571428))</f>
        <v>2.8380947839999999</v>
      </c>
      <c r="P81" s="1630">
        <f>O81/3.571428</f>
        <v>0.79466666666666663</v>
      </c>
      <c r="Q81" s="1194" t="s">
        <v>279</v>
      </c>
      <c r="R81" s="108" t="s">
        <v>517</v>
      </c>
      <c r="S81" s="318" t="s">
        <v>703</v>
      </c>
    </row>
    <row r="82" spans="1:19" ht="39.6" customHeight="1" thickBot="1" x14ac:dyDescent="0.5">
      <c r="A82" s="22"/>
      <c r="B82" s="1677"/>
      <c r="C82" s="1575"/>
      <c r="D82" s="1024" t="s">
        <v>268</v>
      </c>
      <c r="E82" s="944">
        <f>$C$81/2</f>
        <v>1.7857142857142858</v>
      </c>
      <c r="F82" s="1025" t="s">
        <v>74</v>
      </c>
      <c r="G82" s="992">
        <f>E82/1</f>
        <v>1.7857142857142858</v>
      </c>
      <c r="H82" s="115">
        <v>47.68</v>
      </c>
      <c r="I82" s="114">
        <v>47.5</v>
      </c>
      <c r="J82" s="1195">
        <f>IF(I82=H82,(H82-30),H82-I82)</f>
        <v>0.17999999999999972</v>
      </c>
      <c r="K82" s="994">
        <f>IF(I82&gt;=30,0,((30-I82)*(6/10)))</f>
        <v>0</v>
      </c>
      <c r="L82" s="1196">
        <f t="shared" ref="L82" si="33">K82+I82</f>
        <v>47.5</v>
      </c>
      <c r="M82" s="950">
        <f>IF(I82&gt;=30,(1+(H82-30)/30),(H82/L82))</f>
        <v>1.5893333333333333</v>
      </c>
      <c r="N82" s="1629"/>
      <c r="O82" s="1647"/>
      <c r="P82" s="1631"/>
      <c r="Q82" s="1197" t="s">
        <v>282</v>
      </c>
      <c r="R82" s="108" t="s">
        <v>518</v>
      </c>
      <c r="S82" s="108" t="s">
        <v>519</v>
      </c>
    </row>
    <row r="83" spans="1:19" ht="60" customHeight="1" thickBot="1" x14ac:dyDescent="0.5">
      <c r="A83" s="22"/>
      <c r="B83" s="1660" t="s">
        <v>142</v>
      </c>
      <c r="C83" s="1662">
        <f>M5</f>
        <v>3.5714285714285716</v>
      </c>
      <c r="D83" s="1198" t="s">
        <v>145</v>
      </c>
      <c r="E83" s="931">
        <f>$C$81/3</f>
        <v>1.1904761904761905</v>
      </c>
      <c r="F83" s="999" t="s">
        <v>143</v>
      </c>
      <c r="G83" s="931">
        <f>E83/1</f>
        <v>1.1904761904761905</v>
      </c>
      <c r="H83" s="101">
        <v>5</v>
      </c>
      <c r="I83" s="106">
        <v>7</v>
      </c>
      <c r="J83" s="1199">
        <f>I83-H83</f>
        <v>2</v>
      </c>
      <c r="K83" s="1077">
        <f>(0.2*I83)*(6/10)</f>
        <v>0.84000000000000008</v>
      </c>
      <c r="L83" s="1200">
        <f>I83-K83</f>
        <v>6.16</v>
      </c>
      <c r="M83" s="935">
        <f>IF(K83&lt;&gt;0,J83/K83,"0%")</f>
        <v>2.3809523809523809</v>
      </c>
      <c r="N83" s="1665">
        <f>(((G83/C83)*M83)+((G84/C83)*M84)+((G85/C83)*M85))</f>
        <v>0.95242855476773591</v>
      </c>
      <c r="O83" s="1632">
        <f>IF((((G83/C83)*M83)+((G84/C83)*M84)+((G85/C83)*M85))&gt;=1,3.571428,IF((((G83/C83)*M83)+((G84/C83)*M84)+((G85/C83)*M85))&lt;=0,0,(((G83/C83)*M83)+((G84/C83)*M84)+((G85/C83)*M85))*3.571428))</f>
        <v>3.4015300084970255</v>
      </c>
      <c r="P83" s="1630">
        <f>O83/3.571428</f>
        <v>0.95242855476773591</v>
      </c>
      <c r="Q83" s="1201" t="s">
        <v>184</v>
      </c>
      <c r="R83" s="108" t="s">
        <v>520</v>
      </c>
      <c r="S83" s="108" t="s">
        <v>521</v>
      </c>
    </row>
    <row r="84" spans="1:19" ht="45" customHeight="1" thickBot="1" x14ac:dyDescent="0.5">
      <c r="A84" s="22"/>
      <c r="B84" s="1660"/>
      <c r="C84" s="1663"/>
      <c r="D84" s="1202" t="s">
        <v>146</v>
      </c>
      <c r="E84" s="1005">
        <f t="shared" ref="E84:E85" si="34">$C$81/3</f>
        <v>1.1904761904761905</v>
      </c>
      <c r="F84" s="1128" t="s">
        <v>283</v>
      </c>
      <c r="G84" s="1005">
        <f>E84/1</f>
        <v>1.1904761904761905</v>
      </c>
      <c r="H84" s="119">
        <v>23</v>
      </c>
      <c r="I84" s="120">
        <v>24.7</v>
      </c>
      <c r="J84" s="1203">
        <f>I84-H84</f>
        <v>1.6999999999999993</v>
      </c>
      <c r="K84" s="1077">
        <f>(0.5*I84)*(6/10)</f>
        <v>7.4099999999999993</v>
      </c>
      <c r="L84" s="1204">
        <f>I84-K84</f>
        <v>17.29</v>
      </c>
      <c r="M84" s="971">
        <f>IF(H84&lt;=0,100%, IF(K84&lt;&gt;0,J84/K84,"0%"))</f>
        <v>0.22941970310391355</v>
      </c>
      <c r="N84" s="1666"/>
      <c r="O84" s="1633"/>
      <c r="P84" s="1635"/>
      <c r="Q84" s="1205" t="s">
        <v>185</v>
      </c>
      <c r="R84" s="108" t="s">
        <v>489</v>
      </c>
      <c r="S84" s="108" t="s">
        <v>522</v>
      </c>
    </row>
    <row r="85" spans="1:19" ht="38.450000000000003" customHeight="1" thickBot="1" x14ac:dyDescent="0.5">
      <c r="A85" s="22"/>
      <c r="B85" s="1661"/>
      <c r="C85" s="1664"/>
      <c r="D85" s="1206" t="s">
        <v>147</v>
      </c>
      <c r="E85" s="944">
        <f t="shared" si="34"/>
        <v>1.1904761904761905</v>
      </c>
      <c r="F85" s="1025" t="s">
        <v>144</v>
      </c>
      <c r="G85" s="944">
        <f>E85/1</f>
        <v>1.1904761904761905</v>
      </c>
      <c r="H85" s="720">
        <v>77</v>
      </c>
      <c r="I85" s="721">
        <v>73</v>
      </c>
      <c r="J85" s="1207">
        <f>H85-I85</f>
        <v>4</v>
      </c>
      <c r="K85" s="1208">
        <f>(100-I85)*(6/10)</f>
        <v>16.2</v>
      </c>
      <c r="L85" s="1209">
        <f>I85+K85</f>
        <v>89.2</v>
      </c>
      <c r="M85" s="971">
        <f>IF(H85&gt;=100,167%, IF(K85&lt;&gt;0,J85/K85,"0%"))</f>
        <v>0.24691358024691359</v>
      </c>
      <c r="N85" s="1667"/>
      <c r="O85" s="1634"/>
      <c r="P85" s="1631"/>
      <c r="Q85" s="1210" t="s">
        <v>284</v>
      </c>
      <c r="R85" s="108" t="s">
        <v>489</v>
      </c>
      <c r="S85" s="108" t="s">
        <v>480</v>
      </c>
    </row>
    <row r="86" spans="1:19" ht="20.45" customHeight="1" thickBot="1" x14ac:dyDescent="0.5">
      <c r="B86" s="1648" t="s">
        <v>75</v>
      </c>
      <c r="C86" s="1649"/>
      <c r="D86" s="1649"/>
      <c r="E86" s="1649"/>
      <c r="F86" s="1650"/>
      <c r="G86" s="1162"/>
      <c r="H86" s="1339"/>
      <c r="I86" s="1340"/>
      <c r="J86" s="1211"/>
      <c r="K86" s="1212"/>
      <c r="L86" s="1212"/>
      <c r="M86" s="1018"/>
      <c r="N86" s="911">
        <f>N87</f>
        <v>1.6034796968388163</v>
      </c>
      <c r="O86" s="912">
        <f>O87</f>
        <v>3.571428</v>
      </c>
      <c r="P86" s="913">
        <f>O86/3.571428</f>
        <v>1</v>
      </c>
      <c r="Q86" s="1085"/>
      <c r="R86" s="18"/>
      <c r="S86" s="18"/>
    </row>
    <row r="87" spans="1:19" ht="27.6" customHeight="1" thickBot="1" x14ac:dyDescent="0.5">
      <c r="A87" s="1651">
        <v>24</v>
      </c>
      <c r="B87" s="1652" t="s">
        <v>76</v>
      </c>
      <c r="C87" s="1654">
        <f>M5</f>
        <v>3.5714285714285716</v>
      </c>
      <c r="D87" s="1073" t="s">
        <v>159</v>
      </c>
      <c r="E87" s="1074">
        <f>($C$87/3)</f>
        <v>1.1904761904761905</v>
      </c>
      <c r="F87" s="1213" t="s">
        <v>285</v>
      </c>
      <c r="G87" s="1214">
        <f>E87/1</f>
        <v>1.1904761904761905</v>
      </c>
      <c r="H87" s="322">
        <v>14.2</v>
      </c>
      <c r="I87" s="323">
        <v>28.87</v>
      </c>
      <c r="J87" s="1215">
        <f>I87-H87</f>
        <v>14.670000000000002</v>
      </c>
      <c r="K87" s="1216">
        <f>(0.25*I87)*(6/10)</f>
        <v>4.3304999999999998</v>
      </c>
      <c r="L87" s="1217">
        <f>I87-K87</f>
        <v>24.5395</v>
      </c>
      <c r="M87" s="935">
        <f>IF(K87&lt;&gt;0,J87/K87,"0%")</f>
        <v>3.3875995843436097</v>
      </c>
      <c r="N87" s="1657">
        <f>(((G87/C87)*M87)+((G88/C87)*M88)+((G89/C87)*M89)+((G90/C87)*M90)+((G91/C87)*M91))</f>
        <v>1.6034796968388163</v>
      </c>
      <c r="O87" s="1632">
        <f>IF((((G87/C87)*M87)+((G88/C87)*M88)+((G89/C87)*M89)+((G90/C87)*M90)+((G91/C87)*M91))&gt;=1,3.571428,IF((((G87/C87)*M87)+((G88/C87)*M88)+((G89/C87)*M89)+((G90/C87)*M90)+((G91/C87)*M91))&lt;=0,0,((((G87/C87)*M87)+((G88/C87)*M88)+((G89/C87)*M89)+((G90/C87)*M90)+((G91/C87)*M91))*3.571428)))</f>
        <v>3.571428</v>
      </c>
      <c r="P87" s="1630">
        <f>O87/3.571428</f>
        <v>1</v>
      </c>
      <c r="Q87" s="1218" t="s">
        <v>186</v>
      </c>
      <c r="R87" s="108" t="s">
        <v>498</v>
      </c>
      <c r="S87" s="108" t="s">
        <v>540</v>
      </c>
    </row>
    <row r="88" spans="1:19" ht="54.75" customHeight="1" thickBot="1" x14ac:dyDescent="0.5">
      <c r="A88" s="1651"/>
      <c r="B88" s="1652"/>
      <c r="C88" s="1655"/>
      <c r="D88" s="1668" t="s">
        <v>160</v>
      </c>
      <c r="E88" s="1669">
        <f>C87/3</f>
        <v>1.1904761904761905</v>
      </c>
      <c r="F88" s="1006" t="s">
        <v>77</v>
      </c>
      <c r="G88" s="1219">
        <f>$E$88/3</f>
        <v>0.3968253968253968</v>
      </c>
      <c r="H88" s="1341">
        <v>16.600000000000001</v>
      </c>
      <c r="I88" s="1342">
        <v>72</v>
      </c>
      <c r="J88" s="1220">
        <f>I88-H88</f>
        <v>55.4</v>
      </c>
      <c r="K88" s="1221">
        <f>I88*(6/10)</f>
        <v>43.199999999999996</v>
      </c>
      <c r="L88" s="1222">
        <f>I88-K88</f>
        <v>28.800000000000004</v>
      </c>
      <c r="M88" s="971">
        <f>IF(H88=0,"0%",J88/K88)</f>
        <v>1.2824074074074074</v>
      </c>
      <c r="N88" s="1658"/>
      <c r="O88" s="1633"/>
      <c r="P88" s="1635"/>
      <c r="Q88" s="1223" t="s">
        <v>187</v>
      </c>
      <c r="R88" s="108" t="s">
        <v>489</v>
      </c>
      <c r="S88" s="656" t="s">
        <v>806</v>
      </c>
    </row>
    <row r="89" spans="1:19" ht="59.65" customHeight="1" thickBot="1" x14ac:dyDescent="0.5">
      <c r="A89" s="1651"/>
      <c r="B89" s="1652"/>
      <c r="C89" s="1655"/>
      <c r="D89" s="1668"/>
      <c r="E89" s="1669"/>
      <c r="F89" s="1006" t="s">
        <v>78</v>
      </c>
      <c r="G89" s="1219">
        <f>$E$88/3</f>
        <v>0.3968253968253968</v>
      </c>
      <c r="H89" s="118">
        <v>8.4</v>
      </c>
      <c r="I89" s="121">
        <v>9</v>
      </c>
      <c r="J89" s="1220">
        <f>I89-H89</f>
        <v>0.59999999999999964</v>
      </c>
      <c r="K89" s="1221">
        <f>I89*(6/10)</f>
        <v>5.3999999999999995</v>
      </c>
      <c r="L89" s="1222">
        <f>I89-K89</f>
        <v>3.6000000000000005</v>
      </c>
      <c r="M89" s="989">
        <f>IF(K89&lt;&gt;0,J89/K89,"0%")</f>
        <v>0.11111111111111105</v>
      </c>
      <c r="N89" s="1658"/>
      <c r="O89" s="1633"/>
      <c r="P89" s="1635"/>
      <c r="Q89" s="1223" t="s">
        <v>188</v>
      </c>
      <c r="R89" s="108" t="s">
        <v>489</v>
      </c>
      <c r="S89" s="108" t="s">
        <v>523</v>
      </c>
    </row>
    <row r="90" spans="1:19" ht="26.45" customHeight="1" thickBot="1" x14ac:dyDescent="0.5">
      <c r="A90" s="1651"/>
      <c r="B90" s="1652"/>
      <c r="C90" s="1655"/>
      <c r="D90" s="1668"/>
      <c r="E90" s="1669"/>
      <c r="F90" s="1006" t="s">
        <v>79</v>
      </c>
      <c r="G90" s="1219">
        <f>$E$88/3</f>
        <v>0.3968253968253968</v>
      </c>
      <c r="H90" s="122">
        <v>0</v>
      </c>
      <c r="I90" s="123">
        <v>0</v>
      </c>
      <c r="J90" s="1220">
        <f>I90-H90</f>
        <v>0</v>
      </c>
      <c r="K90" s="1224">
        <f>(I90)*(6/10)</f>
        <v>0</v>
      </c>
      <c r="L90" s="1225">
        <f>I90-K90</f>
        <v>0</v>
      </c>
      <c r="M90" s="989" t="str">
        <f>IF(K90&lt;&gt;0,J90/K90,"100%")</f>
        <v>100%</v>
      </c>
      <c r="N90" s="1658"/>
      <c r="O90" s="1633"/>
      <c r="P90" s="1635"/>
      <c r="Q90" s="1226" t="s">
        <v>189</v>
      </c>
      <c r="R90" s="108" t="s">
        <v>489</v>
      </c>
      <c r="S90" s="108" t="s">
        <v>500</v>
      </c>
    </row>
    <row r="91" spans="1:19" ht="40.799999999999997" customHeight="1" thickBot="1" x14ac:dyDescent="0.5">
      <c r="A91" s="1651"/>
      <c r="B91" s="1653"/>
      <c r="C91" s="1656"/>
      <c r="D91" s="991" t="s">
        <v>161</v>
      </c>
      <c r="E91" s="944">
        <f>$C$87/3</f>
        <v>1.1904761904761905</v>
      </c>
      <c r="F91" s="1227" t="s">
        <v>80</v>
      </c>
      <c r="G91" s="1228">
        <f>E91/1</f>
        <v>1.1904761904761905</v>
      </c>
      <c r="H91" s="117">
        <v>50</v>
      </c>
      <c r="I91" s="124">
        <v>50</v>
      </c>
      <c r="J91" s="1229">
        <f>H91-I91</f>
        <v>0</v>
      </c>
      <c r="K91" s="1208">
        <f>(100-I91)*(6/10)</f>
        <v>30</v>
      </c>
      <c r="L91" s="1230">
        <f>I91+K91</f>
        <v>80</v>
      </c>
      <c r="M91" s="950">
        <f>IF(I91&gt;=60,(1+(H91-60)/60),(H91/L91))</f>
        <v>0.625</v>
      </c>
      <c r="N91" s="1659"/>
      <c r="O91" s="1634"/>
      <c r="P91" s="1631"/>
      <c r="Q91" s="1231" t="s">
        <v>95</v>
      </c>
      <c r="R91" s="108"/>
      <c r="S91" s="108" t="s">
        <v>524</v>
      </c>
    </row>
    <row r="92" spans="1:19" ht="14.65" thickBot="1" x14ac:dyDescent="0.5">
      <c r="B92" s="1586" t="s">
        <v>81</v>
      </c>
      <c r="C92" s="1587"/>
      <c r="D92" s="1587"/>
      <c r="E92" s="1587"/>
      <c r="F92" s="1588"/>
      <c r="G92" s="11"/>
      <c r="H92" s="294"/>
      <c r="I92" s="295"/>
      <c r="J92" s="225"/>
      <c r="K92" s="11"/>
      <c r="L92" s="11"/>
      <c r="M92" s="223"/>
      <c r="N92" s="911">
        <f>(N93+N97)/2</f>
        <v>0.73567616928519697</v>
      </c>
      <c r="O92" s="912">
        <f>(O93+O97)</f>
        <v>6.3708871320073541</v>
      </c>
      <c r="P92" s="913">
        <f>O92/14.285712</f>
        <v>0.44596217059446208</v>
      </c>
      <c r="Q92" s="1099"/>
      <c r="R92" s="20"/>
      <c r="S92" s="23"/>
    </row>
    <row r="93" spans="1:19" ht="20.45" customHeight="1" thickBot="1" x14ac:dyDescent="0.5">
      <c r="B93" s="1614" t="s">
        <v>82</v>
      </c>
      <c r="C93" s="1615"/>
      <c r="D93" s="1615"/>
      <c r="E93" s="1615"/>
      <c r="F93" s="1616"/>
      <c r="G93" s="996"/>
      <c r="H93" s="1298"/>
      <c r="I93" s="1299"/>
      <c r="J93" s="1017"/>
      <c r="K93" s="1017"/>
      <c r="L93" s="1017"/>
      <c r="M93" s="1018"/>
      <c r="N93" s="911">
        <f>N94</f>
        <v>1.2100694444444444</v>
      </c>
      <c r="O93" s="912">
        <f>O94</f>
        <v>3.571428</v>
      </c>
      <c r="P93" s="913">
        <f>O93/3.571428</f>
        <v>1</v>
      </c>
      <c r="Q93" s="1086"/>
      <c r="R93" s="17"/>
      <c r="S93" s="18"/>
    </row>
    <row r="94" spans="1:19" ht="34.799999999999997" customHeight="1" thickBot="1" x14ac:dyDescent="0.5">
      <c r="A94" s="1617">
        <v>25</v>
      </c>
      <c r="B94" s="1618" t="s">
        <v>83</v>
      </c>
      <c r="C94" s="1621">
        <f>M5</f>
        <v>3.5714285714285716</v>
      </c>
      <c r="D94" s="1624" t="s">
        <v>214</v>
      </c>
      <c r="E94" s="1087">
        <f>$C$94/3</f>
        <v>1.1904761904761905</v>
      </c>
      <c r="F94" s="999" t="s">
        <v>269</v>
      </c>
      <c r="G94" s="1232">
        <f>E94/1</f>
        <v>1.1904761904761905</v>
      </c>
      <c r="H94" s="487">
        <v>100</v>
      </c>
      <c r="I94" s="1343">
        <v>0</v>
      </c>
      <c r="J94" s="1233">
        <f>H94-I94</f>
        <v>100</v>
      </c>
      <c r="K94" s="1234">
        <f>(100-I94)*(6/10)</f>
        <v>60</v>
      </c>
      <c r="L94" s="1235">
        <f>I94+K94</f>
        <v>60</v>
      </c>
      <c r="M94" s="935">
        <f>IF(K94&lt;&gt;0,J94/K94,"100%")</f>
        <v>1.6666666666666667</v>
      </c>
      <c r="N94" s="1627">
        <f>(((G94/C94)*M94)+((G95/C94)*M95)+((G96/C94)*M96))</f>
        <v>1.2100694444444444</v>
      </c>
      <c r="O94" s="1632">
        <f>IF((((G94/C94)*M94)+((G95/C94)*M95)+((G96/C94)*M96))&gt;=1,3.571428,IF((((G94/C94)*M94)+((G95/C94)*M95)+((G96/C94)*M96))&lt;=0,0,(((G94/C94)*M94)+((G95/C94)*M95)+((G96/C94)*M96))*3.571428))</f>
        <v>3.571428</v>
      </c>
      <c r="P94" s="1630">
        <f>O94/3.571428</f>
        <v>1</v>
      </c>
      <c r="Q94" s="1236" t="s">
        <v>190</v>
      </c>
      <c r="R94" s="60"/>
      <c r="S94" s="656" t="s">
        <v>807</v>
      </c>
    </row>
    <row r="95" spans="1:19" ht="39.6" customHeight="1" thickBot="1" x14ac:dyDescent="0.5">
      <c r="A95" s="1617"/>
      <c r="B95" s="1619"/>
      <c r="C95" s="1622"/>
      <c r="D95" s="1625"/>
      <c r="E95" s="1237">
        <f t="shared" ref="E95:E96" si="35">$C$94/3</f>
        <v>1.1904761904761905</v>
      </c>
      <c r="F95" s="1128" t="s">
        <v>270</v>
      </c>
      <c r="G95" s="1219">
        <f>E95/1</f>
        <v>1.1904761904761905</v>
      </c>
      <c r="H95" s="113">
        <v>0.73</v>
      </c>
      <c r="I95" s="1344">
        <v>0.36</v>
      </c>
      <c r="J95" s="1220">
        <f>IF(AND(I95&gt;1,(H95-I95=0)),(H95-1),(H95-I95))</f>
        <v>0.37</v>
      </c>
      <c r="K95" s="1066">
        <f>IF(AND(I95&gt;=1,H95&gt;=1),"0",((1-I95)*(6/10)))</f>
        <v>0.38400000000000001</v>
      </c>
      <c r="L95" s="1238">
        <f t="shared" ref="L95:L96" si="36">I95+K95</f>
        <v>0.74399999999999999</v>
      </c>
      <c r="M95" s="989">
        <f>IF(I95&gt;=1,(1+(H95-1)/1),(J95/K95))</f>
        <v>0.96354166666666663</v>
      </c>
      <c r="N95" s="1628"/>
      <c r="O95" s="1633"/>
      <c r="P95" s="1635"/>
      <c r="Q95" s="1239" t="s">
        <v>191</v>
      </c>
      <c r="R95" s="62"/>
      <c r="S95" s="108" t="s">
        <v>525</v>
      </c>
    </row>
    <row r="96" spans="1:19" ht="41.45" customHeight="1" thickBot="1" x14ac:dyDescent="0.5">
      <c r="A96" s="1617"/>
      <c r="B96" s="1620"/>
      <c r="C96" s="1623"/>
      <c r="D96" s="1626"/>
      <c r="E96" s="1090">
        <f t="shared" si="35"/>
        <v>1.1904761904761905</v>
      </c>
      <c r="F96" s="1024" t="s">
        <v>84</v>
      </c>
      <c r="G96" s="1228">
        <f>E96/1</f>
        <v>1.1904761904761905</v>
      </c>
      <c r="H96" s="115">
        <v>100</v>
      </c>
      <c r="I96" s="1281">
        <v>100</v>
      </c>
      <c r="J96" s="1229">
        <f>H96-I96</f>
        <v>0</v>
      </c>
      <c r="K96" s="1208">
        <f>(100-I96)*(6/10)</f>
        <v>0</v>
      </c>
      <c r="L96" s="1230">
        <f t="shared" si="36"/>
        <v>100</v>
      </c>
      <c r="M96" s="950" t="str">
        <f>IF(K96&lt;&gt;0,J96/K96,"100%")</f>
        <v>100%</v>
      </c>
      <c r="N96" s="1629"/>
      <c r="O96" s="1634"/>
      <c r="P96" s="1631"/>
      <c r="Q96" s="1240" t="s">
        <v>95</v>
      </c>
      <c r="R96" s="57"/>
      <c r="S96" s="108" t="s">
        <v>526</v>
      </c>
    </row>
    <row r="97" spans="1:19" ht="18" customHeight="1" thickBot="1" x14ac:dyDescent="0.5">
      <c r="B97" s="1636" t="s">
        <v>85</v>
      </c>
      <c r="C97" s="1637"/>
      <c r="D97" s="1637"/>
      <c r="E97" s="1637"/>
      <c r="F97" s="1638"/>
      <c r="G97" s="1241"/>
      <c r="H97" s="1241"/>
      <c r="I97" s="1246"/>
      <c r="J97" s="1241"/>
      <c r="K97" s="1242"/>
      <c r="L97" s="1242"/>
      <c r="M97" s="1243"/>
      <c r="N97" s="1244">
        <f>(N98+N99+N100)/3</f>
        <v>0.26128289412594946</v>
      </c>
      <c r="O97" s="1245">
        <f>(O98+O99+O100)</f>
        <v>2.7994591320073541</v>
      </c>
      <c r="P97" s="913">
        <f>O97/10.714284</f>
        <v>0.26128289412594946</v>
      </c>
      <c r="Q97" s="1246"/>
      <c r="R97" s="25"/>
      <c r="S97" s="25"/>
    </row>
    <row r="98" spans="1:19" ht="29.45" customHeight="1" thickBot="1" x14ac:dyDescent="0.5">
      <c r="A98" s="22">
        <v>26</v>
      </c>
      <c r="B98" s="1032" t="s">
        <v>86</v>
      </c>
      <c r="C98" s="1033">
        <f>$M$5</f>
        <v>3.5714285714285716</v>
      </c>
      <c r="D98" s="1032" t="s">
        <v>215</v>
      </c>
      <c r="E98" s="1033">
        <f>C98/1</f>
        <v>3.5714285714285716</v>
      </c>
      <c r="F98" s="1163" t="s">
        <v>291</v>
      </c>
      <c r="G98" s="1033">
        <f>E98/1</f>
        <v>3.5714285714285716</v>
      </c>
      <c r="H98" s="324">
        <v>0</v>
      </c>
      <c r="I98" s="325">
        <v>37.799999999999997</v>
      </c>
      <c r="J98" s="1248">
        <f>IF(I98=H98,(H98-10),H98-I98)</f>
        <v>-37.799999999999997</v>
      </c>
      <c r="K98" s="1051">
        <f>IF(I98&gt;=10,I98,((10-I98)*(6/10)))</f>
        <v>37.799999999999997</v>
      </c>
      <c r="L98" s="1158">
        <f>I98+K98</f>
        <v>75.599999999999994</v>
      </c>
      <c r="M98" s="1094">
        <f>IF(I98&gt;=10,(1+(H98-10)/10),(J98/K98))</f>
        <v>0</v>
      </c>
      <c r="N98" s="1159">
        <f>((G98/C98)*M98)</f>
        <v>0</v>
      </c>
      <c r="O98" s="1041">
        <f>IF(((G98/C98)*M98)&gt;=1,3.571428,IF(((G98/C98)*M98)&lt;=0,0,((G98/C98)*M98)*3.571428))</f>
        <v>0</v>
      </c>
      <c r="P98" s="913">
        <f>O98/3.571428</f>
        <v>0</v>
      </c>
      <c r="Q98" s="1249" t="s">
        <v>95</v>
      </c>
      <c r="R98" s="108" t="s">
        <v>527</v>
      </c>
      <c r="S98" s="108" t="s">
        <v>528</v>
      </c>
    </row>
    <row r="99" spans="1:19" ht="35.25" thickBot="1" x14ac:dyDescent="0.5">
      <c r="A99" s="22">
        <v>27</v>
      </c>
      <c r="B99" s="1032" t="s">
        <v>87</v>
      </c>
      <c r="C99" s="1033">
        <f>$M$5</f>
        <v>3.5714285714285716</v>
      </c>
      <c r="D99" s="1032" t="s">
        <v>216</v>
      </c>
      <c r="E99" s="1033">
        <f>C99/1</f>
        <v>3.5714285714285716</v>
      </c>
      <c r="F99" s="1163" t="s">
        <v>271</v>
      </c>
      <c r="G99" s="1033">
        <f>E99/1</f>
        <v>3.5714285714285716</v>
      </c>
      <c r="H99" s="326">
        <v>18.18</v>
      </c>
      <c r="I99" s="325">
        <v>15.17</v>
      </c>
      <c r="J99" s="1248">
        <f>IF(I99=H99,(H99-75),H99-I99)</f>
        <v>3.01</v>
      </c>
      <c r="K99" s="1051">
        <f>IF(I99&gt;=75,0,((75-I99)*(6/10)))</f>
        <v>35.897999999999996</v>
      </c>
      <c r="L99" s="1182">
        <f>I99+K99</f>
        <v>51.067999999999998</v>
      </c>
      <c r="M99" s="1250">
        <f>IF(I99&gt;=75,(1+(H99-75)/75),(J99/K99))</f>
        <v>8.3848682377848358E-2</v>
      </c>
      <c r="N99" s="1159">
        <f>((G99/C99)*M99)</f>
        <v>8.3848682377848358E-2</v>
      </c>
      <c r="O99" s="1041">
        <f>IF(((G99/C99)*M99)&gt;=1,3.571428,IF(((G99/C99)*M99)&lt;=0,0,((G99/C99)*M99)*3.571428))</f>
        <v>0.2994595320073542</v>
      </c>
      <c r="P99" s="913">
        <f>O99/3.571428</f>
        <v>8.3848682377848358E-2</v>
      </c>
      <c r="Q99" s="1249" t="s">
        <v>192</v>
      </c>
      <c r="R99" s="108" t="s">
        <v>529</v>
      </c>
      <c r="S99" s="108" t="s">
        <v>530</v>
      </c>
    </row>
    <row r="100" spans="1:19" ht="35.25" thickBot="1" x14ac:dyDescent="0.5">
      <c r="A100" s="1617">
        <v>28</v>
      </c>
      <c r="B100" s="1639" t="s">
        <v>88</v>
      </c>
      <c r="C100" s="1641">
        <f>M5</f>
        <v>3.5714285714285716</v>
      </c>
      <c r="D100" s="1639" t="s">
        <v>217</v>
      </c>
      <c r="E100" s="1641">
        <f>C100/1</f>
        <v>3.5714285714285716</v>
      </c>
      <c r="F100" s="1124" t="s">
        <v>89</v>
      </c>
      <c r="G100" s="931">
        <f>$E$100/2</f>
        <v>1.7857142857142858</v>
      </c>
      <c r="H100" s="101">
        <v>15</v>
      </c>
      <c r="I100" s="106">
        <v>16.7</v>
      </c>
      <c r="J100" s="1252">
        <f>IF(I100=H100,(25-H100),I100-H100)</f>
        <v>1.6999999999999993</v>
      </c>
      <c r="K100" s="1105">
        <f>IF(I100&lt;=25,0,((0.25*I100)*(6/10)))</f>
        <v>0</v>
      </c>
      <c r="L100" s="1253">
        <f>I100-K100</f>
        <v>16.7</v>
      </c>
      <c r="M100" s="935">
        <f>IF(I100&lt;=25,(1+(25-H100)/25),(J100/K100))</f>
        <v>1.4</v>
      </c>
      <c r="N100" s="1644">
        <f>((G100/$C$100)*M100)+((G101/$C$100)*M101)</f>
        <v>0.7</v>
      </c>
      <c r="O100" s="1646">
        <f>IF((((G100/C100)*M100)+((G101/C100)*M101))&gt;=1,3.57148,IF((((G100/C100)*M100)+((G101/C100)*M101))&lt;=0,0, (((G100/C100)*M100)+((G101/C100)*M101))*3.571428))</f>
        <v>2.4999995999999998</v>
      </c>
      <c r="P100" s="1630">
        <f>O100/3.571428</f>
        <v>0.7</v>
      </c>
      <c r="Q100" s="1254" t="s">
        <v>193</v>
      </c>
      <c r="R100" s="108" t="s">
        <v>531</v>
      </c>
      <c r="S100" s="108" t="s">
        <v>532</v>
      </c>
    </row>
    <row r="101" spans="1:19" ht="38.450000000000003" customHeight="1" thickBot="1" x14ac:dyDescent="0.5">
      <c r="A101" s="1617"/>
      <c r="B101" s="1640"/>
      <c r="C101" s="1642"/>
      <c r="D101" s="1640"/>
      <c r="E101" s="1643"/>
      <c r="F101" s="1024" t="s">
        <v>90</v>
      </c>
      <c r="G101" s="944">
        <f>$E$100/2</f>
        <v>1.7857142857142858</v>
      </c>
      <c r="H101" s="475"/>
      <c r="I101" s="492">
        <v>0</v>
      </c>
      <c r="J101" s="1255">
        <f>IF(I101=H101,(H101-25),H101-I101)</f>
        <v>-25</v>
      </c>
      <c r="K101" s="994">
        <f>IF(I101&gt;=25,0,((25-I101)*(6/10)))</f>
        <v>15</v>
      </c>
      <c r="L101" s="1256">
        <f t="shared" ref="L101" si="37">K101+I101</f>
        <v>15</v>
      </c>
      <c r="M101" s="971" t="str">
        <f>IF(H101=0,"0%",J101/K101)</f>
        <v>0%</v>
      </c>
      <c r="N101" s="1645"/>
      <c r="O101" s="1647"/>
      <c r="P101" s="1631"/>
      <c r="Q101" s="1257" t="s">
        <v>95</v>
      </c>
      <c r="R101" s="108" t="s">
        <v>531</v>
      </c>
      <c r="S101" s="318" t="s">
        <v>704</v>
      </c>
    </row>
    <row r="102" spans="1:19" ht="34.25" customHeight="1" thickBot="1" x14ac:dyDescent="0.5">
      <c r="B102" s="1258" t="s">
        <v>194</v>
      </c>
      <c r="C102" s="1259">
        <f>C11+C13+C15+C19+C24+C33+C34+C35+C36+C38+C41+C44+C48+C51+C53+C61+C68+C71+C73+C75+C78+C81+C83+C87+C94+C98+C99+C100</f>
        <v>99.999999999999972</v>
      </c>
      <c r="D102" s="1260"/>
      <c r="E102" s="1259">
        <f>E11+E12+E13+E14+E15+E19+E20+E21+E22+E24+E25+E28+E31+E33+E34+E35+E36+E38+E39+E41+E42+E44+E45+E48+E49++E51+E53+E54+E55+E56+E57+E61+E62+E63+E64+E68+E71+E73+E75+E78+E81++E82+E83+E84+E85+E87+E88+E91+E94+E95+E96+E98+E99+E100</f>
        <v>100.00714285714285</v>
      </c>
      <c r="F102" s="1261"/>
      <c r="G102" s="1259">
        <f>G11+G12+G13+G14+G15+G16+G17+G19+G20+G21+G22+G24+G25+G26+G27+G28+G29+G30+G31+G33+G34+G35+G36+G38+G39+G41+G42+G44+G45+G48+G49+G51+G53+G54+G55+G56+G57+G58+G61+G62+G63+G64+G65+G66+G68+G71+G73+G75+G78+G81+G82+G83+G84+G85+G87+G88+G89+G90+G91+G94+G95+G96+G98+G99+G100+G101</f>
        <v>100.00714285714285</v>
      </c>
      <c r="H102" s="1262"/>
      <c r="I102" s="1263"/>
      <c r="J102" s="1262"/>
      <c r="K102" s="1264"/>
      <c r="L102" s="1261"/>
      <c r="M102" s="1265"/>
      <c r="N102" s="1266"/>
      <c r="O102" s="1267"/>
      <c r="P102" s="1267"/>
      <c r="Q102" s="1268"/>
      <c r="R102" s="26"/>
      <c r="S102" s="27"/>
    </row>
    <row r="104" spans="1:19" ht="15.75" x14ac:dyDescent="0.5">
      <c r="B104" s="28"/>
    </row>
    <row r="107" spans="1:19" ht="15.75" x14ac:dyDescent="0.5">
      <c r="B107" s="28"/>
    </row>
    <row r="108" spans="1:19" x14ac:dyDescent="0.45">
      <c r="B108" s="29"/>
    </row>
    <row r="109" spans="1:19" x14ac:dyDescent="0.45">
      <c r="B109" s="29"/>
    </row>
    <row r="111" spans="1:19" x14ac:dyDescent="0.45">
      <c r="E111"/>
      <c r="F111" s="1269" t="s">
        <v>196</v>
      </c>
    </row>
    <row r="112" spans="1:19" x14ac:dyDescent="0.45">
      <c r="E112" s="1270">
        <v>1</v>
      </c>
      <c r="F112" s="1270" t="s">
        <v>197</v>
      </c>
    </row>
    <row r="113" spans="5:6" x14ac:dyDescent="0.45">
      <c r="E113" s="1270">
        <v>2</v>
      </c>
      <c r="F113" s="1270" t="s">
        <v>227</v>
      </c>
    </row>
    <row r="114" spans="5:6" x14ac:dyDescent="0.45">
      <c r="E114" s="1270">
        <v>3</v>
      </c>
      <c r="F114" s="1270" t="s">
        <v>228</v>
      </c>
    </row>
    <row r="115" spans="5:6" x14ac:dyDescent="0.45">
      <c r="E115" s="1270">
        <v>4</v>
      </c>
      <c r="F115" s="1270" t="s">
        <v>229</v>
      </c>
    </row>
    <row r="116" spans="5:6" x14ac:dyDescent="0.45">
      <c r="E116" s="1270">
        <v>5</v>
      </c>
      <c r="F116" s="1270" t="s">
        <v>198</v>
      </c>
    </row>
    <row r="117" spans="5:6" x14ac:dyDescent="0.45">
      <c r="E117" s="1270">
        <v>6</v>
      </c>
      <c r="F117" s="1270" t="s">
        <v>230</v>
      </c>
    </row>
    <row r="118" spans="5:6" x14ac:dyDescent="0.45">
      <c r="E118" s="1270">
        <v>7</v>
      </c>
      <c r="F118" s="1270" t="s">
        <v>231</v>
      </c>
    </row>
    <row r="119" spans="5:6" x14ac:dyDescent="0.45">
      <c r="E119" s="1270">
        <v>8</v>
      </c>
      <c r="F119" s="1270" t="s">
        <v>199</v>
      </c>
    </row>
    <row r="120" spans="5:6" x14ac:dyDescent="0.45">
      <c r="E120" s="1270">
        <v>9</v>
      </c>
      <c r="F120" s="1270" t="s">
        <v>200</v>
      </c>
    </row>
    <row r="121" spans="5:6" x14ac:dyDescent="0.45">
      <c r="E121" s="1270">
        <v>10</v>
      </c>
      <c r="F121" s="1270" t="s">
        <v>201</v>
      </c>
    </row>
    <row r="122" spans="5:6" x14ac:dyDescent="0.45">
      <c r="E122" s="1270">
        <v>11</v>
      </c>
      <c r="F122" s="1270" t="s">
        <v>232</v>
      </c>
    </row>
    <row r="123" spans="5:6" x14ac:dyDescent="0.45">
      <c r="E123" s="1270">
        <v>12</v>
      </c>
      <c r="F123" s="1270" t="s">
        <v>202</v>
      </c>
    </row>
    <row r="124" spans="5:6" x14ac:dyDescent="0.45">
      <c r="E124" s="1270">
        <f t="shared" ref="E124:E145" si="38">E123+1</f>
        <v>13</v>
      </c>
      <c r="F124" s="1270" t="s">
        <v>203</v>
      </c>
    </row>
    <row r="125" spans="5:6" x14ac:dyDescent="0.45">
      <c r="E125" s="1270">
        <v>14</v>
      </c>
      <c r="F125" s="1270" t="s">
        <v>233</v>
      </c>
    </row>
    <row r="126" spans="5:6" x14ac:dyDescent="0.45">
      <c r="E126" s="1270">
        <v>15</v>
      </c>
      <c r="F126" s="1270" t="s">
        <v>234</v>
      </c>
    </row>
    <row r="127" spans="5:6" x14ac:dyDescent="0.45">
      <c r="E127" s="1270">
        <v>16</v>
      </c>
      <c r="F127" s="1270" t="s">
        <v>213</v>
      </c>
    </row>
    <row r="128" spans="5:6" x14ac:dyDescent="0.45">
      <c r="E128" s="1270">
        <v>17</v>
      </c>
      <c r="F128" s="1270" t="s">
        <v>235</v>
      </c>
    </row>
    <row r="129" spans="5:6" x14ac:dyDescent="0.45">
      <c r="E129" s="1270">
        <v>18</v>
      </c>
      <c r="F129" s="1270" t="s">
        <v>263</v>
      </c>
    </row>
    <row r="130" spans="5:6" x14ac:dyDescent="0.45">
      <c r="E130" s="1270">
        <v>19</v>
      </c>
      <c r="F130" s="1270" t="s">
        <v>204</v>
      </c>
    </row>
    <row r="131" spans="5:6" x14ac:dyDescent="0.45">
      <c r="E131" s="1270">
        <v>20</v>
      </c>
      <c r="F131" s="1270" t="s">
        <v>236</v>
      </c>
    </row>
    <row r="132" spans="5:6" x14ac:dyDescent="0.45">
      <c r="E132" s="1270">
        <v>21</v>
      </c>
      <c r="F132" s="1270" t="s">
        <v>237</v>
      </c>
    </row>
    <row r="133" spans="5:6" x14ac:dyDescent="0.45">
      <c r="E133" s="1270">
        <v>22</v>
      </c>
      <c r="F133" s="1270" t="s">
        <v>238</v>
      </c>
    </row>
    <row r="134" spans="5:6" x14ac:dyDescent="0.45">
      <c r="E134" s="1270">
        <v>23</v>
      </c>
      <c r="F134" s="1270" t="s">
        <v>205</v>
      </c>
    </row>
    <row r="135" spans="5:6" x14ac:dyDescent="0.45">
      <c r="E135" s="1270">
        <v>24</v>
      </c>
      <c r="F135" s="1270" t="s">
        <v>239</v>
      </c>
    </row>
    <row r="136" spans="5:6" x14ac:dyDescent="0.45">
      <c r="E136" s="1270">
        <v>25</v>
      </c>
      <c r="F136" s="1270" t="s">
        <v>240</v>
      </c>
    </row>
    <row r="137" spans="5:6" x14ac:dyDescent="0.45">
      <c r="E137" s="1270">
        <v>26</v>
      </c>
      <c r="F137" s="1270" t="s">
        <v>241</v>
      </c>
    </row>
    <row r="138" spans="5:6" x14ac:dyDescent="0.45">
      <c r="E138" s="1270">
        <v>27</v>
      </c>
      <c r="F138" s="1270" t="s">
        <v>206</v>
      </c>
    </row>
    <row r="139" spans="5:6" x14ac:dyDescent="0.45">
      <c r="E139" s="1270">
        <v>28</v>
      </c>
      <c r="F139" s="1270" t="s">
        <v>242</v>
      </c>
    </row>
    <row r="140" spans="5:6" x14ac:dyDescent="0.45">
      <c r="E140" s="1270">
        <v>29</v>
      </c>
      <c r="F140" s="1270" t="s">
        <v>243</v>
      </c>
    </row>
    <row r="141" spans="5:6" x14ac:dyDescent="0.45">
      <c r="E141" s="1270">
        <v>30</v>
      </c>
      <c r="F141" s="1270" t="s">
        <v>244</v>
      </c>
    </row>
    <row r="142" spans="5:6" x14ac:dyDescent="0.45">
      <c r="E142" s="1270">
        <v>31</v>
      </c>
      <c r="F142" s="1270" t="s">
        <v>245</v>
      </c>
    </row>
    <row r="143" spans="5:6" x14ac:dyDescent="0.45">
      <c r="E143" s="1270">
        <v>32</v>
      </c>
      <c r="F143" s="1270" t="s">
        <v>246</v>
      </c>
    </row>
    <row r="144" spans="5:6" x14ac:dyDescent="0.45">
      <c r="E144" s="1270">
        <v>33</v>
      </c>
      <c r="F144" s="1270" t="s">
        <v>207</v>
      </c>
    </row>
    <row r="145" spans="5:6" x14ac:dyDescent="0.45">
      <c r="E145" s="1270">
        <f t="shared" si="38"/>
        <v>34</v>
      </c>
      <c r="F145" s="1270" t="s">
        <v>208</v>
      </c>
    </row>
    <row r="146" spans="5:6" x14ac:dyDescent="0.45">
      <c r="E146" s="1270">
        <v>35</v>
      </c>
      <c r="F146" s="1270" t="s">
        <v>247</v>
      </c>
    </row>
    <row r="147" spans="5:6" x14ac:dyDescent="0.45">
      <c r="E147" s="1270">
        <v>36</v>
      </c>
      <c r="F147" s="1270" t="s">
        <v>248</v>
      </c>
    </row>
    <row r="148" spans="5:6" x14ac:dyDescent="0.45">
      <c r="E148" s="1270">
        <v>36</v>
      </c>
      <c r="F148" s="1270" t="s">
        <v>249</v>
      </c>
    </row>
    <row r="149" spans="5:6" x14ac:dyDescent="0.45">
      <c r="E149" s="1270">
        <v>38</v>
      </c>
      <c r="F149" s="1270" t="s">
        <v>250</v>
      </c>
    </row>
    <row r="150" spans="5:6" x14ac:dyDescent="0.45">
      <c r="E150" s="1270">
        <v>39</v>
      </c>
      <c r="F150" s="1270" t="s">
        <v>251</v>
      </c>
    </row>
    <row r="151" spans="5:6" x14ac:dyDescent="0.45">
      <c r="E151" s="1270">
        <v>40</v>
      </c>
      <c r="F151" s="1270" t="s">
        <v>209</v>
      </c>
    </row>
    <row r="152" spans="5:6" x14ac:dyDescent="0.45">
      <c r="E152" s="1270">
        <v>41</v>
      </c>
      <c r="F152" s="1270" t="s">
        <v>264</v>
      </c>
    </row>
    <row r="153" spans="5:6" x14ac:dyDescent="0.45">
      <c r="E153" s="1270">
        <v>42</v>
      </c>
      <c r="F153" s="1270" t="s">
        <v>252</v>
      </c>
    </row>
    <row r="154" spans="5:6" x14ac:dyDescent="0.45">
      <c r="E154" s="1270">
        <v>43</v>
      </c>
      <c r="F154" s="1270" t="s">
        <v>253</v>
      </c>
    </row>
    <row r="155" spans="5:6" x14ac:dyDescent="0.45">
      <c r="E155" s="1270">
        <v>44</v>
      </c>
      <c r="F155" s="1270" t="s">
        <v>254</v>
      </c>
    </row>
    <row r="156" spans="5:6" x14ac:dyDescent="0.45">
      <c r="E156" s="1270">
        <v>45</v>
      </c>
      <c r="F156" s="1270" t="s">
        <v>210</v>
      </c>
    </row>
    <row r="157" spans="5:6" x14ac:dyDescent="0.45">
      <c r="E157" s="1270">
        <v>46</v>
      </c>
      <c r="F157" s="1270" t="s">
        <v>255</v>
      </c>
    </row>
    <row r="158" spans="5:6" x14ac:dyDescent="0.45">
      <c r="E158" s="1270">
        <v>47</v>
      </c>
      <c r="F158" s="1270" t="s">
        <v>211</v>
      </c>
    </row>
    <row r="159" spans="5:6" x14ac:dyDescent="0.45">
      <c r="E159" s="1270">
        <v>48</v>
      </c>
      <c r="F159" s="1270" t="s">
        <v>256</v>
      </c>
    </row>
    <row r="160" spans="5:6" x14ac:dyDescent="0.45">
      <c r="E160" s="1270">
        <v>49</v>
      </c>
      <c r="F160" s="1270" t="s">
        <v>257</v>
      </c>
    </row>
    <row r="161" spans="5:6" x14ac:dyDescent="0.45">
      <c r="E161" s="1270">
        <v>50</v>
      </c>
      <c r="F161" s="1270" t="s">
        <v>260</v>
      </c>
    </row>
    <row r="162" spans="5:6" x14ac:dyDescent="0.45">
      <c r="E162" s="1270">
        <v>51</v>
      </c>
      <c r="F162" s="1270" t="s">
        <v>258</v>
      </c>
    </row>
    <row r="163" spans="5:6" x14ac:dyDescent="0.45">
      <c r="E163" s="1270">
        <v>52</v>
      </c>
      <c r="F163" s="1270" t="s">
        <v>212</v>
      </c>
    </row>
    <row r="164" spans="5:6" x14ac:dyDescent="0.45">
      <c r="E164" s="1270">
        <v>53</v>
      </c>
      <c r="F164" s="1270" t="s">
        <v>259</v>
      </c>
    </row>
    <row r="165" spans="5:6" x14ac:dyDescent="0.45">
      <c r="E165" s="1270">
        <v>54</v>
      </c>
      <c r="F165" s="1270" t="s">
        <v>261</v>
      </c>
    </row>
    <row r="166" spans="5:6" x14ac:dyDescent="0.45">
      <c r="E166" s="1270">
        <v>55</v>
      </c>
      <c r="F166" s="1270" t="s">
        <v>262</v>
      </c>
    </row>
    <row r="167" spans="5:6" x14ac:dyDescent="0.45">
      <c r="E167"/>
      <c r="F167"/>
    </row>
    <row r="168" spans="5:6" x14ac:dyDescent="0.45">
      <c r="E168"/>
      <c r="F168"/>
    </row>
  </sheetData>
  <sheetProtection algorithmName="SHA-512" hashValue="wOZLvCjRKEkB+ejSJPx4eB1WUrH2TshlV6ZpwBqr//PEsxh/zzfNa4zb9/A6UZglsHxCCYtt2AB0K7yrjGcnHA==" saltValue="b2koHQ4A5OiOFLhiro7Rlw==" spinCount="100000" sheet="1" objects="1" scenarios="1"/>
  <mergeCells count="140">
    <mergeCell ref="K4:M4"/>
    <mergeCell ref="B5:K5"/>
    <mergeCell ref="B6:F6"/>
    <mergeCell ref="B7:F7"/>
    <mergeCell ref="B9:F9"/>
    <mergeCell ref="B10:F10"/>
    <mergeCell ref="A13:A14"/>
    <mergeCell ref="B13:B14"/>
    <mergeCell ref="C13:C14"/>
    <mergeCell ref="N13:N14"/>
    <mergeCell ref="O13:O14"/>
    <mergeCell ref="P13:P14"/>
    <mergeCell ref="A11:A12"/>
    <mergeCell ref="B11:B12"/>
    <mergeCell ref="C11:C12"/>
    <mergeCell ref="N11:N12"/>
    <mergeCell ref="O11:O12"/>
    <mergeCell ref="P11:P1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B37:F37"/>
    <mergeCell ref="A38:A39"/>
    <mergeCell ref="B38:B39"/>
    <mergeCell ref="C38:C39"/>
    <mergeCell ref="N38:N39"/>
    <mergeCell ref="O38:O39"/>
    <mergeCell ref="P24:P31"/>
    <mergeCell ref="D25:D27"/>
    <mergeCell ref="E25:E27"/>
    <mergeCell ref="D28:D30"/>
    <mergeCell ref="E28:E30"/>
    <mergeCell ref="B32:F32"/>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77:F77"/>
    <mergeCell ref="B79:F79"/>
    <mergeCell ref="B80:F80"/>
    <mergeCell ref="B81:B82"/>
    <mergeCell ref="C81:C82"/>
    <mergeCell ref="N81:N82"/>
    <mergeCell ref="B67:F67"/>
    <mergeCell ref="B69:F69"/>
    <mergeCell ref="B70:F70"/>
    <mergeCell ref="B72:F72"/>
    <mergeCell ref="B74:F74"/>
    <mergeCell ref="B76:F76"/>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69 O10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80 O59">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B6938DBA-10AB-4556-8BB3-0F36E052F925}">
      <formula1>$F$112:$F$166</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1E51BC-B792-4E38-80D3-CE42DE30E97D}">
  <dimension ref="A1:AA168"/>
  <sheetViews>
    <sheetView topLeftCell="B1" zoomScale="60" zoomScaleNormal="60" workbookViewId="0">
      <selection activeCell="I12" sqref="I12"/>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871"/>
      <c r="R1" s="3"/>
      <c r="S1" s="4"/>
      <c r="U1" s="872"/>
      <c r="V1" s="872"/>
      <c r="W1" s="872"/>
      <c r="X1" s="872"/>
      <c r="Y1" s="872"/>
      <c r="Z1" s="872"/>
      <c r="AA1" s="872"/>
    </row>
    <row r="2" spans="1:27" ht="30" x14ac:dyDescent="1.1000000000000001">
      <c r="B2" s="873"/>
      <c r="C2" s="874"/>
      <c r="D2" s="875" t="s">
        <v>286</v>
      </c>
      <c r="E2" s="874"/>
      <c r="F2" s="876"/>
      <c r="G2" s="876"/>
      <c r="H2" s="876"/>
      <c r="I2" s="876"/>
      <c r="J2" s="876"/>
      <c r="K2" s="876"/>
      <c r="L2" s="876"/>
      <c r="M2" s="876"/>
      <c r="N2" s="876"/>
      <c r="O2" s="876"/>
      <c r="P2" s="876"/>
      <c r="Q2" s="874"/>
      <c r="R2" s="876"/>
      <c r="S2" s="6"/>
    </row>
    <row r="3" spans="1:27" ht="14.65" thickBot="1" x14ac:dyDescent="0.5">
      <c r="B3" s="877"/>
      <c r="C3" s="878"/>
      <c r="D3" s="878"/>
      <c r="E3" s="878"/>
      <c r="F3" s="879"/>
      <c r="G3" s="879"/>
      <c r="H3" s="879"/>
      <c r="I3" s="879"/>
      <c r="J3" s="879"/>
      <c r="K3" s="879"/>
      <c r="L3" s="879"/>
      <c r="M3" s="879"/>
      <c r="N3" s="879"/>
      <c r="O3" s="879"/>
      <c r="P3" s="879"/>
      <c r="Q3" s="878"/>
      <c r="R3" s="879"/>
      <c r="S3" s="7"/>
    </row>
    <row r="4" spans="1:27" ht="26.45" customHeight="1" thickBot="1" x14ac:dyDescent="0.5">
      <c r="B4" s="877"/>
      <c r="C4" s="878"/>
      <c r="D4" s="880" t="s">
        <v>195</v>
      </c>
      <c r="E4" s="878"/>
      <c r="F4" s="8" t="s">
        <v>246</v>
      </c>
      <c r="G4" s="879"/>
      <c r="H4" s="879"/>
      <c r="I4" s="879"/>
      <c r="J4" s="879"/>
      <c r="K4" s="1737" t="s">
        <v>723</v>
      </c>
      <c r="L4" s="1738"/>
      <c r="M4" s="1739"/>
      <c r="N4" s="881">
        <f>(N9+N46+N59+N69+N76+N79+N92)/7</f>
        <v>-0.95556088339236467</v>
      </c>
      <c r="O4" s="882">
        <f>(O9+O46+O59+O69+O76+O79+O92)</f>
        <v>11.690090689506215</v>
      </c>
      <c r="P4" s="881">
        <f>O4/100</f>
        <v>0.11690090689506215</v>
      </c>
      <c r="Q4" s="878"/>
      <c r="R4" s="879"/>
      <c r="S4" s="7"/>
    </row>
    <row r="5" spans="1:27" ht="18.399999999999999" thickBot="1" x14ac:dyDescent="0.6">
      <c r="B5" s="1740"/>
      <c r="C5" s="1741"/>
      <c r="D5" s="1741"/>
      <c r="E5" s="1741"/>
      <c r="F5" s="1741"/>
      <c r="G5" s="1741"/>
      <c r="H5" s="1741"/>
      <c r="I5" s="1741"/>
      <c r="J5" s="1741"/>
      <c r="K5" s="1741"/>
      <c r="L5" s="68"/>
      <c r="M5" s="883">
        <f>100/28</f>
        <v>3.5714285714285716</v>
      </c>
      <c r="N5" s="9"/>
      <c r="O5" s="647"/>
      <c r="P5" s="647"/>
      <c r="Q5" s="884"/>
      <c r="R5" s="9"/>
      <c r="S5" s="10"/>
    </row>
    <row r="6" spans="1:27" ht="33.6" customHeight="1" thickBot="1" x14ac:dyDescent="0.5">
      <c r="B6" s="1742"/>
      <c r="C6" s="1743"/>
      <c r="D6" s="1743"/>
      <c r="E6" s="1743"/>
      <c r="F6" s="1744"/>
      <c r="G6" s="885"/>
      <c r="H6" s="885"/>
      <c r="I6" s="885"/>
      <c r="J6" s="885"/>
      <c r="K6" s="885"/>
      <c r="L6" s="885"/>
      <c r="M6" s="885"/>
      <c r="N6" s="886"/>
      <c r="O6" s="887"/>
      <c r="P6" s="887"/>
      <c r="Q6" s="886"/>
      <c r="R6" s="12"/>
      <c r="S6" s="13"/>
    </row>
    <row r="7" spans="1:27" ht="55.8" customHeight="1" thickBot="1" x14ac:dyDescent="0.5">
      <c r="B7" s="1745"/>
      <c r="C7" s="1746"/>
      <c r="D7" s="1746"/>
      <c r="E7" s="1746"/>
      <c r="F7" s="1747"/>
      <c r="G7" s="888"/>
      <c r="H7" s="889" t="s">
        <v>218</v>
      </c>
      <c r="I7" s="890" t="s">
        <v>219</v>
      </c>
      <c r="J7" s="891" t="s">
        <v>91</v>
      </c>
      <c r="K7" s="892" t="s">
        <v>107</v>
      </c>
      <c r="L7" s="892" t="s">
        <v>104</v>
      </c>
      <c r="M7" s="892" t="s">
        <v>105</v>
      </c>
      <c r="N7" s="890" t="s">
        <v>106</v>
      </c>
      <c r="O7" s="890" t="s">
        <v>646</v>
      </c>
      <c r="P7" s="893" t="s">
        <v>647</v>
      </c>
      <c r="Q7" s="894" t="s">
        <v>93</v>
      </c>
      <c r="R7" s="895" t="s">
        <v>110</v>
      </c>
      <c r="S7" s="896" t="s">
        <v>103</v>
      </c>
    </row>
    <row r="8" spans="1:27" ht="25.25" customHeight="1" thickBot="1" x14ac:dyDescent="0.5">
      <c r="B8" s="897" t="s">
        <v>2</v>
      </c>
      <c r="C8" s="897" t="s">
        <v>92</v>
      </c>
      <c r="D8" s="897" t="s">
        <v>3</v>
      </c>
      <c r="E8" s="897" t="s">
        <v>94</v>
      </c>
      <c r="F8" s="897" t="s">
        <v>102</v>
      </c>
      <c r="G8" s="897" t="s">
        <v>96</v>
      </c>
      <c r="H8" s="898"/>
      <c r="I8" s="899"/>
      <c r="J8" s="898"/>
      <c r="K8" s="900"/>
      <c r="L8" s="900"/>
      <c r="M8" s="897"/>
      <c r="N8" s="901"/>
      <c r="O8" s="902"/>
      <c r="P8" s="903"/>
      <c r="Q8" s="899"/>
      <c r="R8" s="901"/>
      <c r="S8" s="901"/>
      <c r="V8" s="904" t="s">
        <v>151</v>
      </c>
      <c r="W8" s="905"/>
      <c r="X8" s="905"/>
      <c r="Y8" s="905"/>
      <c r="Z8" s="906"/>
    </row>
    <row r="9" spans="1:27" s="207" customFormat="1" ht="25.25" customHeight="1" thickBot="1" x14ac:dyDescent="0.5">
      <c r="B9" s="1748" t="s">
        <v>0</v>
      </c>
      <c r="C9" s="1749"/>
      <c r="D9" s="1749"/>
      <c r="E9" s="1749"/>
      <c r="F9" s="1750"/>
      <c r="G9" s="907"/>
      <c r="H9" s="908"/>
      <c r="I9" s="909"/>
      <c r="J9" s="910"/>
      <c r="K9" s="910"/>
      <c r="L9" s="910"/>
      <c r="M9" s="907"/>
      <c r="N9" s="911">
        <f>(N10+N18+N23+N32+N37+N40+N43)/7</f>
        <v>-0.13994968179291239</v>
      </c>
      <c r="O9" s="912">
        <f>(O10+O18+O23+O32+O37+O40+O43)</f>
        <v>1.9391531354284297</v>
      </c>
      <c r="P9" s="913">
        <f>O9/42.857136</f>
        <v>4.5246913732836229E-2</v>
      </c>
      <c r="Q9" s="910"/>
      <c r="R9" s="914"/>
      <c r="S9" s="914"/>
      <c r="U9" s="915"/>
      <c r="V9" s="916"/>
      <c r="W9" s="917"/>
      <c r="X9" s="917"/>
      <c r="Y9" s="917"/>
      <c r="Z9" s="918"/>
      <c r="AA9" s="915"/>
    </row>
    <row r="10" spans="1:27" s="109" customFormat="1" ht="25.25" customHeight="1" thickBot="1" x14ac:dyDescent="0.5">
      <c r="B10" s="1751" t="s">
        <v>1</v>
      </c>
      <c r="C10" s="1752"/>
      <c r="D10" s="1752"/>
      <c r="E10" s="1752"/>
      <c r="F10" s="1753"/>
      <c r="G10" s="919"/>
      <c r="H10" s="920"/>
      <c r="I10" s="921"/>
      <c r="J10" s="922"/>
      <c r="K10" s="922"/>
      <c r="L10" s="922"/>
      <c r="M10" s="919"/>
      <c r="N10" s="911">
        <f>(N11+N13+N15)/3</f>
        <v>0.15727015279615114</v>
      </c>
      <c r="O10" s="912">
        <f>(O11+O13+O15)</f>
        <v>1.7660218436861195</v>
      </c>
      <c r="P10" s="913">
        <f>O10/10.714284</f>
        <v>0.16482873178330157</v>
      </c>
      <c r="Q10" s="922"/>
      <c r="R10" s="923"/>
      <c r="S10" s="923"/>
      <c r="U10" s="924"/>
      <c r="V10" s="925"/>
      <c r="W10" s="926"/>
      <c r="X10" s="926"/>
      <c r="Y10" s="926"/>
      <c r="Z10" s="927"/>
      <c r="AA10" s="924"/>
    </row>
    <row r="11" spans="1:27" ht="27.6" customHeight="1" x14ac:dyDescent="0.45">
      <c r="A11" s="1617">
        <v>1</v>
      </c>
      <c r="B11" s="1733" t="s">
        <v>4</v>
      </c>
      <c r="C11" s="1735">
        <f>M5</f>
        <v>3.5714285714285716</v>
      </c>
      <c r="D11" s="928" t="s">
        <v>111</v>
      </c>
      <c r="E11" s="929">
        <f>$C$11/2</f>
        <v>1.7857142857142858</v>
      </c>
      <c r="F11" s="930" t="s">
        <v>5</v>
      </c>
      <c r="G11" s="931">
        <f>E11/1</f>
        <v>1.7857142857142858</v>
      </c>
      <c r="H11" s="302">
        <v>660</v>
      </c>
      <c r="I11" s="303">
        <v>630</v>
      </c>
      <c r="J11" s="932">
        <f>(H11-I11)</f>
        <v>30</v>
      </c>
      <c r="K11" s="933">
        <f>(0.3*I11)*6/10</f>
        <v>113.4</v>
      </c>
      <c r="L11" s="934">
        <f>I11+K11</f>
        <v>743.4</v>
      </c>
      <c r="M11" s="935">
        <f>IF(K11&lt;&gt;0,J11/K11,"0%")</f>
        <v>0.26455026455026454</v>
      </c>
      <c r="N11" s="1731">
        <f>(((G11/C11)*M11)+((G12/C11)*M12))</f>
        <v>0.19700005136898374</v>
      </c>
      <c r="O11" s="1646">
        <f>IF((((G11/C11)*M11)+((G12/C11)*M12))&gt;=1,3.57148,IF((((G11/C11)*M11)+((G12/C11)*M12))&lt;=0,0, (((G11/C11)*M11)+((G12/C11)*M12))*3.571428))</f>
        <v>0.70357149946062691</v>
      </c>
      <c r="P11" s="1630">
        <f>O11/3.571428</f>
        <v>0.19700005136898374</v>
      </c>
      <c r="Q11" s="936" t="s">
        <v>97</v>
      </c>
      <c r="R11" s="154" t="s">
        <v>579</v>
      </c>
      <c r="S11" s="327"/>
      <c r="V11" s="937" t="s">
        <v>109</v>
      </c>
      <c r="W11" s="938" t="e">
        <f>#REF!</f>
        <v>#REF!</v>
      </c>
      <c r="X11" s="939"/>
      <c r="Y11" s="939"/>
      <c r="Z11" s="940"/>
    </row>
    <row r="12" spans="1:27" ht="27" customHeight="1" thickBot="1" x14ac:dyDescent="0.5">
      <c r="A12" s="1617"/>
      <c r="B12" s="1734"/>
      <c r="C12" s="1736"/>
      <c r="D12" s="941" t="s">
        <v>112</v>
      </c>
      <c r="E12" s="942">
        <f>$C$11/2</f>
        <v>1.7857142857142858</v>
      </c>
      <c r="F12" s="943" t="s">
        <v>281</v>
      </c>
      <c r="G12" s="944">
        <f>E12/1</f>
        <v>1.7857142857142858</v>
      </c>
      <c r="H12" s="1322">
        <v>10.1</v>
      </c>
      <c r="I12" s="1323">
        <v>10.3</v>
      </c>
      <c r="J12" s="947">
        <f>I12-H12</f>
        <v>0.20000000000000107</v>
      </c>
      <c r="K12" s="948">
        <f>(0.25*I12)*(6/10)</f>
        <v>1.5450000000000002</v>
      </c>
      <c r="L12" s="949">
        <f>I12-K12</f>
        <v>8.7550000000000008</v>
      </c>
      <c r="M12" s="950">
        <f>IF(K12&lt;&gt;0,J12/K12,"0%")</f>
        <v>0.12944983818770295</v>
      </c>
      <c r="N12" s="1732"/>
      <c r="O12" s="1647"/>
      <c r="P12" s="1631"/>
      <c r="Q12" s="951" t="s">
        <v>98</v>
      </c>
      <c r="R12" s="108" t="s">
        <v>580</v>
      </c>
      <c r="S12" s="328"/>
      <c r="V12" s="952">
        <v>0.02</v>
      </c>
      <c r="W12" s="953" t="e">
        <f>(W11-(W11*V12))</f>
        <v>#REF!</v>
      </c>
      <c r="X12" s="953" t="e">
        <f>W11-(V12*W11)</f>
        <v>#REF!</v>
      </c>
      <c r="Y12" s="939"/>
      <c r="Z12" s="940"/>
    </row>
    <row r="13" spans="1:27" ht="32.450000000000003" customHeight="1" thickBot="1" x14ac:dyDescent="0.5">
      <c r="A13" s="1617">
        <v>2</v>
      </c>
      <c r="B13" s="1754" t="s">
        <v>6</v>
      </c>
      <c r="C13" s="1756">
        <f>M5</f>
        <v>3.5714285714285716</v>
      </c>
      <c r="D13" s="954" t="s">
        <v>273</v>
      </c>
      <c r="E13" s="955">
        <f>$C$13/2</f>
        <v>1.7857142857142858</v>
      </c>
      <c r="F13" s="956" t="s">
        <v>7</v>
      </c>
      <c r="G13" s="957">
        <f>E13/1</f>
        <v>1.7857142857142858</v>
      </c>
      <c r="H13" s="304">
        <v>19</v>
      </c>
      <c r="I13" s="305">
        <v>25.5</v>
      </c>
      <c r="J13" s="959">
        <f>IF(I13=H13,(5-H13),I13-H13)</f>
        <v>6.5</v>
      </c>
      <c r="K13" s="960">
        <f>IF(I13&lt;=5,0,((I13-5)*(6/10)))</f>
        <v>12.299999999999999</v>
      </c>
      <c r="L13" s="961">
        <f>I13-K13</f>
        <v>13.200000000000001</v>
      </c>
      <c r="M13" s="962">
        <f>IF(I13&lt;=5,(1+(5-H13)/5),(J13/K13))</f>
        <v>0.52845528455284563</v>
      </c>
      <c r="N13" s="1731">
        <f>(((G13/C13)*M13)+((G14/C13)*M14))</f>
        <v>0.29748614398092094</v>
      </c>
      <c r="O13" s="1646">
        <f>IF((((G13/C13)*M13)+((G14/C13)*M14))&gt;=1,3.57148,IF((((G13/C13)*M13)+((G14/C13)*M14))&lt;=0,0, (((G13/C13)*M13)+((G14/C13)*M14))*3.571428))</f>
        <v>1.0624503442254924</v>
      </c>
      <c r="P13" s="1630">
        <f>O13/3.571428</f>
        <v>0.29748614398092094</v>
      </c>
      <c r="Q13" s="963" t="s">
        <v>99</v>
      </c>
      <c r="R13" s="108" t="s">
        <v>581</v>
      </c>
      <c r="S13" s="329"/>
      <c r="V13" s="952">
        <v>0.02</v>
      </c>
      <c r="W13" s="953" t="e">
        <f>(#REF!-(#REF!*V13))</f>
        <v>#REF!</v>
      </c>
      <c r="X13" s="953" t="e">
        <f>(W11-(V12*W11))-((W11-(V12*W11))*0.02)-(((W11-(V12*W11))-((W11-(V12*W11))*0.02))*0.02)-(((W11-(V12*W11))-((W11-(V12*W11))*0.02)-(((W11-(V12*W11))-((W11-(V12*W11))*0.02))*0.02))*0.02)</f>
        <v>#REF!</v>
      </c>
      <c r="Y13" s="964" t="e">
        <f>(W11-W14)/W11</f>
        <v>#REF!</v>
      </c>
      <c r="Z13" s="940"/>
    </row>
    <row r="14" spans="1:27" ht="33" customHeight="1" thickBot="1" x14ac:dyDescent="0.5">
      <c r="A14" s="1617"/>
      <c r="B14" s="1755"/>
      <c r="C14" s="1757"/>
      <c r="D14" s="941" t="s">
        <v>274</v>
      </c>
      <c r="E14" s="965">
        <f>$C$13/2</f>
        <v>1.7857142857142858</v>
      </c>
      <c r="F14" s="966" t="s">
        <v>8</v>
      </c>
      <c r="G14" s="967">
        <f>E14/1</f>
        <v>1.7857142857142858</v>
      </c>
      <c r="H14" s="306">
        <v>79.7</v>
      </c>
      <c r="I14" s="307">
        <v>78.900000000000006</v>
      </c>
      <c r="J14" s="968">
        <f>H14-I14</f>
        <v>0.79999999999999716</v>
      </c>
      <c r="K14" s="969">
        <f>(0.95*(100-I14))*6/10</f>
        <v>12.026999999999997</v>
      </c>
      <c r="L14" s="970">
        <f>K14+I14</f>
        <v>90.927000000000007</v>
      </c>
      <c r="M14" s="971">
        <f>IF(K14&lt;&gt;0,J14/K14,"1%")</f>
        <v>6.6517003408996203E-2</v>
      </c>
      <c r="N14" s="1732"/>
      <c r="O14" s="1647"/>
      <c r="P14" s="1631"/>
      <c r="Q14" s="972" t="s">
        <v>100</v>
      </c>
      <c r="R14" s="108" t="s">
        <v>580</v>
      </c>
      <c r="S14" s="330"/>
      <c r="V14" s="973">
        <v>0.02</v>
      </c>
      <c r="W14" s="974" t="e">
        <f>(#REF!-(#REF!*V14))</f>
        <v>#REF!</v>
      </c>
      <c r="X14" s="974"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975" t="e">
        <f>W11-X14</f>
        <v>#REF!</v>
      </c>
      <c r="Z14" s="976"/>
    </row>
    <row r="15" spans="1:27" ht="22.25" customHeight="1" thickBot="1" x14ac:dyDescent="0.5">
      <c r="A15" s="1651">
        <v>3</v>
      </c>
      <c r="B15" s="1727" t="s">
        <v>9</v>
      </c>
      <c r="C15" s="1729">
        <f>M5</f>
        <v>3.5714285714285716</v>
      </c>
      <c r="D15" s="1727" t="s">
        <v>113</v>
      </c>
      <c r="E15" s="1729">
        <f>$C$15/1</f>
        <v>3.5714285714285716</v>
      </c>
      <c r="F15" s="977" t="s">
        <v>221</v>
      </c>
      <c r="G15" s="978">
        <f>$E$15/3</f>
        <v>1.1904761904761905</v>
      </c>
      <c r="H15" s="489"/>
      <c r="I15" s="231"/>
      <c r="J15" s="979">
        <f>H15-I15</f>
        <v>0</v>
      </c>
      <c r="K15" s="980">
        <f>(0.5*I15)*6/10</f>
        <v>0</v>
      </c>
      <c r="L15" s="934">
        <f>I15+K15</f>
        <v>0</v>
      </c>
      <c r="M15" s="935" t="str">
        <f>IF(K15&lt;&gt;0,J15/K15,"0%")</f>
        <v>0%</v>
      </c>
      <c r="N15" s="1702">
        <f>(((G15/C15)*M15)+((G16/C15)*M16)+((G17/C15)*M17))</f>
        <v>-2.2675736961451247E-2</v>
      </c>
      <c r="O15" s="1632">
        <f>IF((((G15/C15)*M15)+((G16/C15)*M16)+((G17/C15)*M17))&gt;=1,3.571428,IF((((G15/C15)*M15)+((G16/C15)*M16)+((G17/C15)*M17))&lt;=0,0,(((G15/C15)*M15)+((G16/C15)*M16)+((G17/C15)*M17))*3.571428))</f>
        <v>0</v>
      </c>
      <c r="P15" s="1630">
        <f>O15/3.571428</f>
        <v>0</v>
      </c>
      <c r="Q15" s="981" t="s">
        <v>101</v>
      </c>
      <c r="R15" s="232"/>
      <c r="S15" s="193" t="s">
        <v>615</v>
      </c>
    </row>
    <row r="16" spans="1:27" ht="14.65" thickBot="1" x14ac:dyDescent="0.5">
      <c r="A16" s="1651"/>
      <c r="B16" s="1727"/>
      <c r="C16" s="1729"/>
      <c r="D16" s="1727"/>
      <c r="E16" s="1729"/>
      <c r="F16" s="982" t="s">
        <v>220</v>
      </c>
      <c r="G16" s="983">
        <f t="shared" ref="G16:G17" si="0">$E$15/3</f>
        <v>1.1904761904761905</v>
      </c>
      <c r="H16" s="233">
        <v>24</v>
      </c>
      <c r="I16" s="234">
        <v>24.5</v>
      </c>
      <c r="J16" s="986">
        <f>H16-I16</f>
        <v>-0.5</v>
      </c>
      <c r="K16" s="987">
        <f>(0.5*I16)*6/10</f>
        <v>7.35</v>
      </c>
      <c r="L16" s="988">
        <f t="shared" ref="L16:L17" si="1">I16+K16</f>
        <v>31.85</v>
      </c>
      <c r="M16" s="989">
        <f>IF(K16&lt;&gt;0,J16/K16,"0%")</f>
        <v>-6.8027210884353748E-2</v>
      </c>
      <c r="N16" s="1657"/>
      <c r="O16" s="1633"/>
      <c r="P16" s="1635"/>
      <c r="Q16" s="990" t="s">
        <v>95</v>
      </c>
      <c r="R16" s="108" t="s">
        <v>580</v>
      </c>
      <c r="S16" s="331"/>
    </row>
    <row r="17" spans="1:19" ht="25.25" customHeight="1" thickBot="1" x14ac:dyDescent="0.5">
      <c r="A17" s="1651"/>
      <c r="B17" s="1728"/>
      <c r="C17" s="1730"/>
      <c r="D17" s="1728"/>
      <c r="E17" s="1730"/>
      <c r="F17" s="991" t="s">
        <v>10</v>
      </c>
      <c r="G17" s="992">
        <f t="shared" si="0"/>
        <v>1.1904761904761905</v>
      </c>
      <c r="H17" s="485"/>
      <c r="I17" s="486"/>
      <c r="J17" s="993">
        <f>H17-I17</f>
        <v>0</v>
      </c>
      <c r="K17" s="994">
        <f>(0.5*I17)*6/10</f>
        <v>0</v>
      </c>
      <c r="L17" s="949">
        <f t="shared" si="1"/>
        <v>0</v>
      </c>
      <c r="M17" s="950" t="str">
        <f>IF(K17&lt;&gt;0,J17/K17,"0%")</f>
        <v>0%</v>
      </c>
      <c r="N17" s="1703"/>
      <c r="O17" s="1634"/>
      <c r="P17" s="1635"/>
      <c r="Q17" s="995" t="s">
        <v>162</v>
      </c>
      <c r="R17" s="236"/>
      <c r="S17" s="193" t="s">
        <v>615</v>
      </c>
    </row>
    <row r="18" spans="1:19" ht="21.4" thickBot="1" x14ac:dyDescent="0.7">
      <c r="A18" s="14"/>
      <c r="B18" s="1670" t="s">
        <v>11</v>
      </c>
      <c r="C18" s="1671"/>
      <c r="D18" s="1671"/>
      <c r="E18" s="1671"/>
      <c r="F18" s="1672"/>
      <c r="G18" s="996"/>
      <c r="H18" s="1274"/>
      <c r="I18" s="1274"/>
      <c r="J18" s="997"/>
      <c r="K18" s="997"/>
      <c r="L18" s="997"/>
      <c r="M18" s="998"/>
      <c r="N18" s="911">
        <f>N19</f>
        <v>3.3514492753623219E-2</v>
      </c>
      <c r="O18" s="912">
        <f>O19</f>
        <v>0.11969459782608707</v>
      </c>
      <c r="P18" s="913">
        <f>O18/3.571428</f>
        <v>3.3514492753623219E-2</v>
      </c>
      <c r="Q18" s="997"/>
      <c r="R18" s="333"/>
      <c r="S18" s="334"/>
    </row>
    <row r="19" spans="1:19" ht="34.25" customHeight="1" thickBot="1" x14ac:dyDescent="0.5">
      <c r="A19" s="1617">
        <v>4</v>
      </c>
      <c r="B19" s="1618" t="s">
        <v>12</v>
      </c>
      <c r="C19" s="1678">
        <f>M5</f>
        <v>3.5714285714285716</v>
      </c>
      <c r="D19" s="999" t="s">
        <v>114</v>
      </c>
      <c r="E19" s="931">
        <f>$C$19/4</f>
        <v>0.8928571428571429</v>
      </c>
      <c r="F19" s="1000" t="s">
        <v>222</v>
      </c>
      <c r="G19" s="978">
        <f>E19/1</f>
        <v>0.8928571428571429</v>
      </c>
      <c r="H19" s="477"/>
      <c r="I19" s="491"/>
      <c r="J19" s="1001">
        <f>H19-I19</f>
        <v>0</v>
      </c>
      <c r="K19" s="980">
        <f>(2*I19)*6/10</f>
        <v>0</v>
      </c>
      <c r="L19" s="1002">
        <f t="shared" ref="L19:L22" si="2">K19+I19</f>
        <v>0</v>
      </c>
      <c r="M19" s="935" t="str">
        <f>IF(K19&lt;&gt;0,J19/K19,"0%")</f>
        <v>0%</v>
      </c>
      <c r="N19" s="1721">
        <f>(((G19/C19)*M19)+((G20/C19)*M20)+((G21/C19)*M21)+((G22/C19)*M22))</f>
        <v>3.3514492753623219E-2</v>
      </c>
      <c r="O19" s="1723">
        <f>IF((((G19/C19)*M19)+((G20/C19)*M20)+((G21/C19)*M21)+((G22/C19)*M22))&gt;=1,3.571428,IF((((G19/C19)*M19)+((G20/C19)*M20)+((G21/C19)*M21)+((G22/C19)*M22))&lt;=0,0,((((G19/C19)*M19)+((G20/C19)*M20)+((G21/C19)*M21)+((G22/C19)*M22))*3.571428)))</f>
        <v>0.11969459782608707</v>
      </c>
      <c r="P19" s="1630">
        <f>O19/3.571428</f>
        <v>3.3514492753623219E-2</v>
      </c>
      <c r="Q19" s="1003" t="s">
        <v>163</v>
      </c>
      <c r="R19" s="157"/>
      <c r="S19" s="193" t="s">
        <v>615</v>
      </c>
    </row>
    <row r="20" spans="1:19" ht="39" customHeight="1" thickBot="1" x14ac:dyDescent="0.5">
      <c r="A20" s="1617"/>
      <c r="B20" s="1619"/>
      <c r="C20" s="1685"/>
      <c r="D20" s="1004" t="s">
        <v>152</v>
      </c>
      <c r="E20" s="1005">
        <f>($C$19/4)</f>
        <v>0.8928571428571429</v>
      </c>
      <c r="F20" s="1006" t="s">
        <v>265</v>
      </c>
      <c r="G20" s="983">
        <f>E20/1</f>
        <v>0.8928571428571429</v>
      </c>
      <c r="H20" s="113">
        <v>57.7</v>
      </c>
      <c r="I20" s="107">
        <v>54</v>
      </c>
      <c r="J20" s="1007">
        <f t="shared" ref="J20:J24" si="3">H20-I20</f>
        <v>3.7000000000000028</v>
      </c>
      <c r="K20" s="987">
        <f>(100-I20)*(6/10)</f>
        <v>27.599999999999998</v>
      </c>
      <c r="L20" s="1008">
        <f t="shared" si="2"/>
        <v>81.599999999999994</v>
      </c>
      <c r="M20" s="935">
        <f>IF(K20&lt;&gt;0,J20/K20,"0%")</f>
        <v>0.13405797101449288</v>
      </c>
      <c r="N20" s="1722"/>
      <c r="O20" s="1633"/>
      <c r="P20" s="1635"/>
      <c r="Q20" s="1009" t="s">
        <v>164</v>
      </c>
      <c r="R20" s="158" t="s">
        <v>582</v>
      </c>
      <c r="S20" s="62"/>
    </row>
    <row r="21" spans="1:19" ht="56.45" customHeight="1" thickBot="1" x14ac:dyDescent="0.5">
      <c r="A21" s="1617"/>
      <c r="B21" s="1619"/>
      <c r="C21" s="1685"/>
      <c r="D21" s="1004" t="s">
        <v>153</v>
      </c>
      <c r="E21" s="1005">
        <f t="shared" ref="E21:E22" si="4">($C$19/4)</f>
        <v>0.8928571428571429</v>
      </c>
      <c r="F21" s="1006" t="s">
        <v>155</v>
      </c>
      <c r="G21" s="983">
        <f>E21/1</f>
        <v>0.8928571428571429</v>
      </c>
      <c r="H21" s="566"/>
      <c r="I21" s="567"/>
      <c r="J21" s="1007">
        <f t="shared" si="3"/>
        <v>0</v>
      </c>
      <c r="K21" s="987">
        <f>(0.3*I21)*6/10</f>
        <v>0</v>
      </c>
      <c r="L21" s="1008">
        <f t="shared" si="2"/>
        <v>0</v>
      </c>
      <c r="M21" s="989" t="str">
        <f>IF(K21&lt;&gt;0,J21/K21,"0%")</f>
        <v>0%</v>
      </c>
      <c r="N21" s="1722"/>
      <c r="O21" s="1633"/>
      <c r="P21" s="1635"/>
      <c r="Q21" s="1009" t="s">
        <v>165</v>
      </c>
      <c r="R21" s="159"/>
      <c r="S21" s="193" t="s">
        <v>615</v>
      </c>
    </row>
    <row r="22" spans="1:19" ht="36.6" customHeight="1" thickBot="1" x14ac:dyDescent="0.5">
      <c r="A22" s="1617"/>
      <c r="B22" s="1724"/>
      <c r="C22" s="1725"/>
      <c r="D22" s="966" t="s">
        <v>154</v>
      </c>
      <c r="E22" s="1010">
        <f t="shared" si="4"/>
        <v>0.8928571428571429</v>
      </c>
      <c r="F22" s="1011" t="s">
        <v>156</v>
      </c>
      <c r="G22" s="1012">
        <f>E22/1</f>
        <v>0.8928571428571429</v>
      </c>
      <c r="H22" s="568"/>
      <c r="I22" s="569"/>
      <c r="J22" s="1013">
        <f t="shared" si="3"/>
        <v>0</v>
      </c>
      <c r="K22" s="994">
        <f>(100-I22)*(6/10)</f>
        <v>60</v>
      </c>
      <c r="L22" s="1014">
        <f t="shared" si="2"/>
        <v>60</v>
      </c>
      <c r="M22" s="950">
        <f>IF(K22&lt;&gt;0,J22/K22,"100%")</f>
        <v>0</v>
      </c>
      <c r="N22" s="1726"/>
      <c r="O22" s="1634"/>
      <c r="P22" s="1631"/>
      <c r="Q22" s="1015" t="s">
        <v>95</v>
      </c>
      <c r="R22" s="211"/>
      <c r="S22" s="193" t="s">
        <v>615</v>
      </c>
    </row>
    <row r="23" spans="1:19" ht="20.45" customHeight="1" thickBot="1" x14ac:dyDescent="0.5">
      <c r="B23" s="1614" t="s">
        <v>13</v>
      </c>
      <c r="C23" s="1615"/>
      <c r="D23" s="1615"/>
      <c r="E23" s="1615"/>
      <c r="F23" s="1616"/>
      <c r="G23" s="996"/>
      <c r="H23" s="1274"/>
      <c r="I23" s="1274"/>
      <c r="J23" s="1016"/>
      <c r="K23" s="1017"/>
      <c r="L23" s="1017"/>
      <c r="M23" s="1018"/>
      <c r="N23" s="911">
        <f>N24</f>
        <v>1.4962276690506759E-2</v>
      </c>
      <c r="O23" s="912">
        <f>O24</f>
        <v>5.3436693916223174E-2</v>
      </c>
      <c r="P23" s="913">
        <f>O23/3.571428</f>
        <v>1.4962276690506759E-2</v>
      </c>
      <c r="Q23" s="997"/>
      <c r="R23" s="336"/>
      <c r="S23" s="336"/>
    </row>
    <row r="24" spans="1:19" ht="36" customHeight="1" thickBot="1" x14ac:dyDescent="0.5">
      <c r="A24" s="1617">
        <v>5</v>
      </c>
      <c r="B24" s="1618" t="s">
        <v>14</v>
      </c>
      <c r="C24" s="1678">
        <f>M5</f>
        <v>3.5714285714285716</v>
      </c>
      <c r="D24" s="999" t="s">
        <v>115</v>
      </c>
      <c r="E24" s="931">
        <f>$C$24/4</f>
        <v>0.8928571428571429</v>
      </c>
      <c r="F24" s="999" t="s">
        <v>280</v>
      </c>
      <c r="G24" s="931">
        <f>E24/1</f>
        <v>0.8928571428571429</v>
      </c>
      <c r="H24" s="489"/>
      <c r="I24" s="491"/>
      <c r="J24" s="1020">
        <f t="shared" si="3"/>
        <v>0</v>
      </c>
      <c r="K24" s="980">
        <f>(0.3*I24)*6/10</f>
        <v>0</v>
      </c>
      <c r="L24" s="1002">
        <f>K24+I24</f>
        <v>0</v>
      </c>
      <c r="M24" s="935" t="str">
        <f t="shared" ref="M24:M31" si="5">IF(K24&lt;&gt;0,J24/K24,"0%")</f>
        <v>0%</v>
      </c>
      <c r="N24" s="1721">
        <f>(((G24/C24)*M24)+((G25/C24)*M25)+ ((G26/C24)*M26)+((G27/C24)*M27)+((G28/C24)*M28)+((G29/C24)*M29)+((G30/C24)*M30)+((G31/C24)*M31))</f>
        <v>1.4962276690506759E-2</v>
      </c>
      <c r="O24" s="1723">
        <f>IF((((G24/C24)*M24)+((G25/C24)*M25)+ ((G26/C24)*M26)+((G27/C24)*M27)+((G28/C24)*M28)+((G29/C24)*M29)+((G30/C24)*M30)+((G31/C24)*M31))&gt;=1,3.571428,IF((((G24/C24)*M24)+((G25/C24)*M25)+ ((G26/C24)*M26)+((G27/C24)*M27)+((G28/C24)*M28)+((G29/C24)*M29)+((G30/C24)*M30)+((G31/C24)*M31))&lt;=0,0,((((G24/C24)*M24)+((G25/C24)*M25)+ ((G26/C24)*M26)+((G27/C24)*M27)+((G28/C24)*M28)+((G29/C24)*M29)+((G30/C24)*M30)+((G31/C24)*M31))*3.571428)))</f>
        <v>5.3436693916223174E-2</v>
      </c>
      <c r="P24" s="1630">
        <f>O24/3.571428</f>
        <v>1.4962276690506759E-2</v>
      </c>
      <c r="Q24" s="1021" t="s">
        <v>166</v>
      </c>
      <c r="R24" s="238"/>
      <c r="S24" s="193" t="s">
        <v>615</v>
      </c>
    </row>
    <row r="25" spans="1:19" ht="19.8" customHeight="1" x14ac:dyDescent="0.45">
      <c r="A25" s="1617"/>
      <c r="B25" s="1619"/>
      <c r="C25" s="1685"/>
      <c r="D25" s="1625" t="s">
        <v>158</v>
      </c>
      <c r="E25" s="1688">
        <v>0.9</v>
      </c>
      <c r="F25" s="1004" t="s">
        <v>15</v>
      </c>
      <c r="G25" s="1005">
        <f>$E$25/3</f>
        <v>0.3</v>
      </c>
      <c r="H25" s="113">
        <v>325</v>
      </c>
      <c r="I25" s="107">
        <v>368</v>
      </c>
      <c r="J25" s="1022">
        <f t="shared" ref="J25:J30" si="6">I25-H25</f>
        <v>43</v>
      </c>
      <c r="K25" s="987">
        <f>(0.5*I25)*6/10</f>
        <v>110.4</v>
      </c>
      <c r="L25" s="1008">
        <f t="shared" ref="L25:L30" si="7">I25-K25</f>
        <v>257.60000000000002</v>
      </c>
      <c r="M25" s="989">
        <f t="shared" si="5"/>
        <v>0.38949275362318836</v>
      </c>
      <c r="N25" s="1722"/>
      <c r="O25" s="1633"/>
      <c r="P25" s="1635"/>
      <c r="Q25" s="1023" t="s">
        <v>167</v>
      </c>
      <c r="R25" s="212"/>
      <c r="S25" s="62"/>
    </row>
    <row r="26" spans="1:19" ht="19.8" customHeight="1" x14ac:dyDescent="0.45">
      <c r="A26" s="1617"/>
      <c r="B26" s="1619"/>
      <c r="C26" s="1685"/>
      <c r="D26" s="1713"/>
      <c r="E26" s="1714"/>
      <c r="F26" s="1004" t="s">
        <v>16</v>
      </c>
      <c r="G26" s="1005">
        <f t="shared" ref="G26:G27" si="8">$E$25/3</f>
        <v>0.3</v>
      </c>
      <c r="H26" s="113">
        <v>33</v>
      </c>
      <c r="I26" s="107">
        <v>34</v>
      </c>
      <c r="J26" s="1022">
        <f t="shared" si="6"/>
        <v>1</v>
      </c>
      <c r="K26" s="987">
        <f>(0.8*I26)*6/10</f>
        <v>16.32</v>
      </c>
      <c r="L26" s="1008">
        <f t="shared" si="7"/>
        <v>17.68</v>
      </c>
      <c r="M26" s="989">
        <f t="shared" si="5"/>
        <v>6.1274509803921566E-2</v>
      </c>
      <c r="N26" s="1722"/>
      <c r="O26" s="1633"/>
      <c r="P26" s="1635"/>
      <c r="Q26" s="1023" t="s">
        <v>168</v>
      </c>
      <c r="R26" s="240"/>
      <c r="S26" s="62"/>
    </row>
    <row r="27" spans="1:19" ht="19.8" customHeight="1" thickBot="1" x14ac:dyDescent="0.5">
      <c r="A27" s="1617"/>
      <c r="B27" s="1619"/>
      <c r="C27" s="1685"/>
      <c r="D27" s="1713"/>
      <c r="E27" s="1714"/>
      <c r="F27" s="1004" t="s">
        <v>17</v>
      </c>
      <c r="G27" s="1005">
        <f t="shared" si="8"/>
        <v>0.3</v>
      </c>
      <c r="H27" s="113">
        <v>101</v>
      </c>
      <c r="I27" s="107">
        <v>95</v>
      </c>
      <c r="J27" s="1022">
        <f t="shared" si="6"/>
        <v>-6</v>
      </c>
      <c r="K27" s="987">
        <f>(0.5*I27)*(6/10)</f>
        <v>28.5</v>
      </c>
      <c r="L27" s="1008">
        <f t="shared" si="7"/>
        <v>66.5</v>
      </c>
      <c r="M27" s="989">
        <f t="shared" si="5"/>
        <v>-0.21052631578947367</v>
      </c>
      <c r="N27" s="1722"/>
      <c r="O27" s="1633"/>
      <c r="P27" s="1635"/>
      <c r="Q27" s="1023" t="s">
        <v>169</v>
      </c>
      <c r="R27" s="108" t="s">
        <v>581</v>
      </c>
      <c r="S27" s="62"/>
    </row>
    <row r="28" spans="1:19" ht="30.6" customHeight="1" thickBot="1" x14ac:dyDescent="0.5">
      <c r="A28" s="22"/>
      <c r="B28" s="1619"/>
      <c r="C28" s="1685"/>
      <c r="D28" s="1625" t="s">
        <v>116</v>
      </c>
      <c r="E28" s="1688">
        <f t="shared" ref="E28:E31" si="9">$C$24/4</f>
        <v>0.8928571428571429</v>
      </c>
      <c r="F28" s="1004" t="s">
        <v>148</v>
      </c>
      <c r="G28" s="1005">
        <f>$E$28/3</f>
        <v>0.29761904761904762</v>
      </c>
      <c r="H28" s="470"/>
      <c r="I28" s="496"/>
      <c r="J28" s="1022">
        <f t="shared" si="6"/>
        <v>0</v>
      </c>
      <c r="K28" s="987">
        <f>(0.5*I28)*(6/10)</f>
        <v>0</v>
      </c>
      <c r="L28" s="1008">
        <f t="shared" si="7"/>
        <v>0</v>
      </c>
      <c r="M28" s="989" t="str">
        <f t="shared" si="5"/>
        <v>0%</v>
      </c>
      <c r="N28" s="1658"/>
      <c r="O28" s="1633"/>
      <c r="P28" s="1635"/>
      <c r="Q28" s="1023" t="s">
        <v>170</v>
      </c>
      <c r="R28" s="108"/>
      <c r="S28" s="193" t="s">
        <v>615</v>
      </c>
    </row>
    <row r="29" spans="1:19" ht="20.45" customHeight="1" x14ac:dyDescent="0.45">
      <c r="A29" s="22"/>
      <c r="B29" s="1619"/>
      <c r="C29" s="1685"/>
      <c r="D29" s="1713"/>
      <c r="E29" s="1714"/>
      <c r="F29" s="1004" t="s">
        <v>149</v>
      </c>
      <c r="G29" s="1005">
        <f t="shared" ref="G29:G30" si="10">$E$28/3</f>
        <v>0.29761904761904762</v>
      </c>
      <c r="H29" s="113">
        <v>0.38</v>
      </c>
      <c r="I29" s="107">
        <v>0.36</v>
      </c>
      <c r="J29" s="1022">
        <f t="shared" si="6"/>
        <v>-2.0000000000000018E-2</v>
      </c>
      <c r="K29" s="987">
        <f>(0.5*I29)*(6/10)</f>
        <v>0.108</v>
      </c>
      <c r="L29" s="1008">
        <f t="shared" si="7"/>
        <v>0.252</v>
      </c>
      <c r="M29" s="989">
        <f t="shared" si="5"/>
        <v>-0.18518518518518534</v>
      </c>
      <c r="N29" s="1658"/>
      <c r="O29" s="1633"/>
      <c r="P29" s="1635"/>
      <c r="Q29" s="1023" t="s">
        <v>171</v>
      </c>
      <c r="R29" s="212"/>
      <c r="S29" s="62"/>
    </row>
    <row r="30" spans="1:19" ht="20.45" customHeight="1" thickBot="1" x14ac:dyDescent="0.5">
      <c r="A30" s="22"/>
      <c r="B30" s="1718"/>
      <c r="C30" s="1714"/>
      <c r="D30" s="1713"/>
      <c r="E30" s="1714"/>
      <c r="F30" s="1004" t="s">
        <v>150</v>
      </c>
      <c r="G30" s="1005">
        <f t="shared" si="10"/>
        <v>0.29761904761904762</v>
      </c>
      <c r="H30" s="113">
        <v>126</v>
      </c>
      <c r="I30" s="107">
        <v>130.81</v>
      </c>
      <c r="J30" s="1022">
        <f t="shared" si="6"/>
        <v>4.8100000000000023</v>
      </c>
      <c r="K30" s="987">
        <f>(0.5*I30)*(6/10)</f>
        <v>39.243000000000002</v>
      </c>
      <c r="L30" s="1008">
        <f t="shared" si="7"/>
        <v>91.567000000000007</v>
      </c>
      <c r="M30" s="989">
        <f t="shared" si="5"/>
        <v>0.12256963025252916</v>
      </c>
      <c r="N30" s="1658"/>
      <c r="O30" s="1633"/>
      <c r="P30" s="1635"/>
      <c r="Q30" s="1023" t="s">
        <v>172</v>
      </c>
      <c r="R30" s="212"/>
      <c r="S30" s="62"/>
    </row>
    <row r="31" spans="1:19" ht="34.9" customHeight="1" thickBot="1" x14ac:dyDescent="0.5">
      <c r="A31" s="22"/>
      <c r="B31" s="1719"/>
      <c r="C31" s="1720"/>
      <c r="D31" s="1024" t="s">
        <v>117</v>
      </c>
      <c r="E31" s="944">
        <f t="shared" si="9"/>
        <v>0.8928571428571429</v>
      </c>
      <c r="F31" s="1025" t="s">
        <v>223</v>
      </c>
      <c r="G31" s="944">
        <f>E31/1</f>
        <v>0.8928571428571429</v>
      </c>
      <c r="H31" s="475"/>
      <c r="I31" s="492"/>
      <c r="J31" s="1026">
        <f t="shared" ref="J31" si="11">H31-I31</f>
        <v>0</v>
      </c>
      <c r="K31" s="994">
        <f>(100-I31)*(6/10)</f>
        <v>60</v>
      </c>
      <c r="L31" s="1014">
        <f>K31+I31</f>
        <v>60</v>
      </c>
      <c r="M31" s="971">
        <f t="shared" si="5"/>
        <v>0</v>
      </c>
      <c r="N31" s="1659"/>
      <c r="O31" s="1634"/>
      <c r="P31" s="1631"/>
      <c r="Q31" s="1027" t="s">
        <v>95</v>
      </c>
      <c r="R31" s="241"/>
      <c r="S31" s="193" t="s">
        <v>615</v>
      </c>
    </row>
    <row r="32" spans="1:19" ht="20.45" customHeight="1" thickBot="1" x14ac:dyDescent="0.5">
      <c r="B32" s="1715" t="s">
        <v>18</v>
      </c>
      <c r="C32" s="1716"/>
      <c r="D32" s="1716"/>
      <c r="E32" s="1716"/>
      <c r="F32" s="1717"/>
      <c r="G32" s="996"/>
      <c r="H32" s="242"/>
      <c r="I32" s="243"/>
      <c r="J32" s="1028"/>
      <c r="K32" s="1029"/>
      <c r="L32" s="1030"/>
      <c r="M32" s="1031"/>
      <c r="N32" s="911">
        <f>(N33+N34+N35+N36)/4</f>
        <v>-0.23301374240971562</v>
      </c>
      <c r="O32" s="912">
        <f>(O33+O34+O35+O36)</f>
        <v>0</v>
      </c>
      <c r="P32" s="913">
        <f>O32/14.285712</f>
        <v>0</v>
      </c>
      <c r="Q32" s="997"/>
      <c r="R32" s="334"/>
      <c r="S32" s="334"/>
    </row>
    <row r="33" spans="1:19" ht="33.6" customHeight="1" thickBot="1" x14ac:dyDescent="0.5">
      <c r="A33" s="22">
        <v>6</v>
      </c>
      <c r="B33" s="1032" t="s">
        <v>19</v>
      </c>
      <c r="C33" s="1033">
        <f>$M$5</f>
        <v>3.5714285714285716</v>
      </c>
      <c r="D33" s="1034" t="s">
        <v>287</v>
      </c>
      <c r="E33" s="1035">
        <f>C33/1</f>
        <v>3.5714285714285716</v>
      </c>
      <c r="F33" s="1032" t="s">
        <v>288</v>
      </c>
      <c r="G33" s="1033">
        <f>E33/1</f>
        <v>3.5714285714285716</v>
      </c>
      <c r="H33" s="213">
        <v>5.8</v>
      </c>
      <c r="I33" s="722">
        <v>1.7</v>
      </c>
      <c r="J33" s="1036">
        <f>IF(H33&lt;7,(H33-7),(H33-I33))</f>
        <v>-1.2000000000000002</v>
      </c>
      <c r="K33" s="1037">
        <f>IF((7-H33&gt;=0),(7-H33),0)</f>
        <v>1.2000000000000002</v>
      </c>
      <c r="L33" s="1038">
        <f>IF((I33&lt;7),7,I33)</f>
        <v>7</v>
      </c>
      <c r="M33" s="1039">
        <f>IF(K33&lt;&gt;0,J33/7,(1+((H33-I33)/I33)))</f>
        <v>-0.17142857142857146</v>
      </c>
      <c r="N33" s="1040">
        <f>((G33/C33)*M33)</f>
        <v>-0.17142857142857146</v>
      </c>
      <c r="O33" s="1041">
        <f>IF(((G33/C33)*M33)&gt;=1,3.571428,IF(((G33/C33)*M33)&lt;=0,0,((G33/C33)*M33)*3.571428))</f>
        <v>0</v>
      </c>
      <c r="P33" s="913">
        <f>O33/3.571428</f>
        <v>0</v>
      </c>
      <c r="Q33" s="1042" t="s">
        <v>97</v>
      </c>
      <c r="R33" s="340"/>
      <c r="S33" s="1345"/>
    </row>
    <row r="34" spans="1:19" ht="51" customHeight="1" thickBot="1" x14ac:dyDescent="0.5">
      <c r="A34" s="22">
        <v>7</v>
      </c>
      <c r="B34" s="1032" t="s">
        <v>20</v>
      </c>
      <c r="C34" s="1033">
        <f t="shared" ref="C34:C36" si="12">$M$5</f>
        <v>3.5714285714285716</v>
      </c>
      <c r="D34" s="1032" t="s">
        <v>118</v>
      </c>
      <c r="E34" s="1035">
        <f t="shared" ref="E34:E36" si="13">C34/1</f>
        <v>3.5714285714285716</v>
      </c>
      <c r="F34" s="1032" t="s">
        <v>21</v>
      </c>
      <c r="G34" s="1033">
        <f>E34/1</f>
        <v>3.5714285714285716</v>
      </c>
      <c r="H34" s="1296">
        <v>11.5</v>
      </c>
      <c r="I34" s="1293">
        <v>14.9</v>
      </c>
      <c r="J34" s="1044">
        <f>H34-I34</f>
        <v>-3.4000000000000004</v>
      </c>
      <c r="K34" s="1045">
        <f>(0.5*I34)*(6/10)</f>
        <v>4.47</v>
      </c>
      <c r="L34" s="1046">
        <f>K34+I34</f>
        <v>19.37</v>
      </c>
      <c r="M34" s="1039">
        <f>IF(K34&lt;&gt;0,J34/K34,"0%")</f>
        <v>-0.76062639821029099</v>
      </c>
      <c r="N34" s="1040">
        <f>((G34/C34)*M34)</f>
        <v>-0.76062639821029099</v>
      </c>
      <c r="O34" s="1041">
        <f>IF(((G34/C34)*M34)&gt;=1,3.571428,IF(((G34/C34)*M34)&lt;=0,0,((G34/C34)*M34)*3.571428))</f>
        <v>0</v>
      </c>
      <c r="P34" s="913">
        <f t="shared" ref="P34:P36" si="14">O34/3.571428</f>
        <v>0</v>
      </c>
      <c r="Q34" s="1042" t="s">
        <v>173</v>
      </c>
      <c r="R34" s="338"/>
      <c r="S34" s="355"/>
    </row>
    <row r="35" spans="1:19" ht="40.799999999999997" customHeight="1" thickBot="1" x14ac:dyDescent="0.5">
      <c r="A35" s="22">
        <v>8</v>
      </c>
      <c r="B35" s="1032" t="s">
        <v>22</v>
      </c>
      <c r="C35" s="1033">
        <f t="shared" si="12"/>
        <v>3.5714285714285716</v>
      </c>
      <c r="D35" s="1032" t="s">
        <v>119</v>
      </c>
      <c r="E35" s="1035">
        <f t="shared" si="13"/>
        <v>3.5714285714285716</v>
      </c>
      <c r="F35" s="1032" t="s">
        <v>23</v>
      </c>
      <c r="G35" s="1033">
        <f>E35/1</f>
        <v>3.5714285714285716</v>
      </c>
      <c r="H35" s="570"/>
      <c r="I35" s="589"/>
      <c r="J35" s="1047">
        <f>H35-I35</f>
        <v>0</v>
      </c>
      <c r="K35" s="1048">
        <f>IF((I35&gt;=1),0,((1-I35)*0.6))</f>
        <v>0.6</v>
      </c>
      <c r="L35" s="1038">
        <f>I35+K35</f>
        <v>0.6</v>
      </c>
      <c r="M35" s="1039">
        <f>IF(K35&lt;&gt;0,J35/K35,"0%")</f>
        <v>0</v>
      </c>
      <c r="N35" s="1040">
        <f>((G35/C35)*M35)</f>
        <v>0</v>
      </c>
      <c r="O35" s="1041">
        <f>IF(((G35/C35)*M35)&gt;=1,3.571428,IF(((G35/C35)*M35)&lt;=0,0,((G35/C35)*M35)*3.571428))</f>
        <v>0</v>
      </c>
      <c r="P35" s="913">
        <f t="shared" si="14"/>
        <v>0</v>
      </c>
      <c r="Q35" s="1042" t="s">
        <v>174</v>
      </c>
      <c r="R35" s="338"/>
      <c r="S35" s="193" t="s">
        <v>615</v>
      </c>
    </row>
    <row r="36" spans="1:19" ht="32.450000000000003" customHeight="1" thickBot="1" x14ac:dyDescent="0.5">
      <c r="A36" s="22">
        <v>9</v>
      </c>
      <c r="B36" s="1032" t="s">
        <v>24</v>
      </c>
      <c r="C36" s="1033">
        <f t="shared" si="12"/>
        <v>3.5714285714285716</v>
      </c>
      <c r="D36" s="1032" t="s">
        <v>275</v>
      </c>
      <c r="E36" s="1035">
        <f t="shared" si="13"/>
        <v>3.5714285714285716</v>
      </c>
      <c r="F36" s="1049" t="s">
        <v>25</v>
      </c>
      <c r="G36" s="1033">
        <f>E36/1</f>
        <v>3.5714285714285716</v>
      </c>
      <c r="H36" s="571"/>
      <c r="I36" s="589"/>
      <c r="J36" s="1050">
        <f>H36-I36</f>
        <v>0</v>
      </c>
      <c r="K36" s="1051">
        <f>(1*I36)*(6/10)</f>
        <v>0</v>
      </c>
      <c r="L36" s="1052">
        <f>I36+K36</f>
        <v>0</v>
      </c>
      <c r="M36" s="1039" t="str">
        <f>IF(K36&lt;&gt;0,J36/K36,"0%")</f>
        <v>0%</v>
      </c>
      <c r="N36" s="1040">
        <f>((G36/C36)*M36)</f>
        <v>0</v>
      </c>
      <c r="O36" s="1041">
        <f>IF(((G36/C36)*M36)&gt;=1,3.571428,IF(((G36/C36)*M36)&lt;=0,0,((G36/C36)*M36)*3.571428))</f>
        <v>0</v>
      </c>
      <c r="P36" s="913">
        <f t="shared" si="14"/>
        <v>0</v>
      </c>
      <c r="Q36" s="1053" t="s">
        <v>175</v>
      </c>
      <c r="R36" s="341"/>
      <c r="S36" s="193" t="s">
        <v>615</v>
      </c>
    </row>
    <row r="37" spans="1:19" ht="30.6" customHeight="1" thickBot="1" x14ac:dyDescent="0.5">
      <c r="B37" s="1710" t="s">
        <v>26</v>
      </c>
      <c r="C37" s="1711"/>
      <c r="D37" s="1711"/>
      <c r="E37" s="1711"/>
      <c r="F37" s="1712"/>
      <c r="G37" s="1054"/>
      <c r="H37" s="1277"/>
      <c r="I37" s="1277"/>
      <c r="J37" s="1055"/>
      <c r="K37" s="1056"/>
      <c r="L37" s="1056"/>
      <c r="M37" s="1057"/>
      <c r="N37" s="911">
        <f>N38</f>
        <v>0</v>
      </c>
      <c r="O37" s="912">
        <f>O38</f>
        <v>0</v>
      </c>
      <c r="P37" s="913">
        <f>O37/3.571428</f>
        <v>0</v>
      </c>
      <c r="Q37" s="1058"/>
      <c r="R37" s="333"/>
      <c r="S37" s="334"/>
    </row>
    <row r="38" spans="1:19" ht="25.8" customHeight="1" thickBot="1" x14ac:dyDescent="0.5">
      <c r="A38" s="1617">
        <v>10</v>
      </c>
      <c r="B38" s="1618" t="s">
        <v>27</v>
      </c>
      <c r="C38" s="1678">
        <f>M5</f>
        <v>3.5714285714285716</v>
      </c>
      <c r="D38" s="977" t="s">
        <v>120</v>
      </c>
      <c r="E38" s="931">
        <f>$C$38/2</f>
        <v>1.7857142857142858</v>
      </c>
      <c r="F38" s="1059" t="s">
        <v>224</v>
      </c>
      <c r="G38" s="931">
        <f>E38/1</f>
        <v>1.7857142857142858</v>
      </c>
      <c r="H38" s="507"/>
      <c r="I38" s="508"/>
      <c r="J38" s="1060">
        <f>H38-I38</f>
        <v>0</v>
      </c>
      <c r="K38" s="1061">
        <f>(1*I38)*(6/10)</f>
        <v>0</v>
      </c>
      <c r="L38" s="1062">
        <f>I38+K38</f>
        <v>0</v>
      </c>
      <c r="M38" s="935" t="str">
        <f>IF(K38&lt;&gt;0,J38/K38,"0%")</f>
        <v>0%</v>
      </c>
      <c r="N38" s="1702">
        <f>(((G38/C38)*M38)+((G39/C38)*M39))</f>
        <v>0</v>
      </c>
      <c r="O38" s="1646">
        <f>IF((((G38/C38)*M38)+((G39/C38)*M39))&gt;=1,3.57148,IF((((G38/C38)*M38)+((G39/C38)*M39))&lt;=0,0, (((G38/C38)*M38)+((G39/C38)*M39))*3.571428))</f>
        <v>0</v>
      </c>
      <c r="P38" s="1630">
        <f>O38/3.571428</f>
        <v>0</v>
      </c>
      <c r="Q38" s="1063" t="s">
        <v>176</v>
      </c>
      <c r="R38" s="342"/>
      <c r="S38" s="193" t="s">
        <v>615</v>
      </c>
    </row>
    <row r="39" spans="1:19" ht="35.25" thickBot="1" x14ac:dyDescent="0.5">
      <c r="A39" s="1617"/>
      <c r="B39" s="1619"/>
      <c r="C39" s="1685"/>
      <c r="D39" s="982" t="s">
        <v>157</v>
      </c>
      <c r="E39" s="944">
        <f>$C$38/2</f>
        <v>1.7857142857142858</v>
      </c>
      <c r="F39" s="1064" t="s">
        <v>225</v>
      </c>
      <c r="G39" s="1005">
        <f>E39/1</f>
        <v>1.7857142857142858</v>
      </c>
      <c r="H39" s="470"/>
      <c r="I39" s="501"/>
      <c r="J39" s="1065">
        <f>H39-I39</f>
        <v>0</v>
      </c>
      <c r="K39" s="1066">
        <f>IF(AND(I39&gt;=10,H39&gt;=I39),0,((10-H39)*(6/10)))</f>
        <v>6</v>
      </c>
      <c r="L39" s="1067">
        <f>I39+K39</f>
        <v>6</v>
      </c>
      <c r="M39" s="950">
        <f>IF(K39&lt;&gt;0,J39/K39,"0%")</f>
        <v>0</v>
      </c>
      <c r="N39" s="1657"/>
      <c r="O39" s="1647"/>
      <c r="P39" s="1631"/>
      <c r="Q39" s="1068" t="s">
        <v>95</v>
      </c>
      <c r="R39" s="339"/>
      <c r="S39" s="193" t="s">
        <v>615</v>
      </c>
    </row>
    <row r="40" spans="1:19" ht="20.45" customHeight="1" thickBot="1" x14ac:dyDescent="0.5">
      <c r="B40" s="1679" t="s">
        <v>28</v>
      </c>
      <c r="C40" s="1680"/>
      <c r="D40" s="1680"/>
      <c r="E40" s="1704"/>
      <c r="F40" s="1681"/>
      <c r="G40" s="1054"/>
      <c r="H40" s="247"/>
      <c r="I40" s="247"/>
      <c r="J40" s="1069"/>
      <c r="K40" s="1070"/>
      <c r="L40" s="1070"/>
      <c r="M40" s="1071"/>
      <c r="N40" s="911">
        <f>N41</f>
        <v>-0.11904761904761889</v>
      </c>
      <c r="O40" s="912">
        <f>O41</f>
        <v>0</v>
      </c>
      <c r="P40" s="913">
        <f>O40/3.571428</f>
        <v>0</v>
      </c>
      <c r="Q40" s="1072"/>
      <c r="R40" s="343"/>
      <c r="S40" s="336"/>
    </row>
    <row r="41" spans="1:19" ht="35.25" thickBot="1" x14ac:dyDescent="0.5">
      <c r="A41" s="1617">
        <v>11</v>
      </c>
      <c r="B41" s="1705" t="s">
        <v>29</v>
      </c>
      <c r="C41" s="1707">
        <f>M5</f>
        <v>3.5714285714285716</v>
      </c>
      <c r="D41" s="1073" t="s">
        <v>121</v>
      </c>
      <c r="E41" s="1074">
        <f>$C$41/2</f>
        <v>1.7857142857142858</v>
      </c>
      <c r="F41" s="956" t="s">
        <v>30</v>
      </c>
      <c r="G41" s="1075">
        <f>E41/1</f>
        <v>1.7857142857142858</v>
      </c>
      <c r="H41" s="319">
        <v>2.6</v>
      </c>
      <c r="I41" s="320">
        <v>2.8</v>
      </c>
      <c r="J41" s="1076">
        <f>H41-I41</f>
        <v>-0.19999999999999973</v>
      </c>
      <c r="K41" s="1077">
        <f>(0.5*I41)*(6/10)</f>
        <v>0.84</v>
      </c>
      <c r="L41" s="1078">
        <f>I41+K41</f>
        <v>3.6399999999999997</v>
      </c>
      <c r="M41" s="935">
        <f>IF(K41&lt;&gt;0,J41/K41,"0%")</f>
        <v>-0.23809523809523778</v>
      </c>
      <c r="N41" s="1709">
        <f>(((G41/C41)*M41)+(G42/C41)*M42)</f>
        <v>-0.11904761904761889</v>
      </c>
      <c r="O41" s="1646">
        <f>IF((((G41/C41)*M41)+((G42/C41)*M42))&gt;=1,3.57148,IF((((G41/C41)*M41)+((G42/C41)*M42))&lt;=0,0, (((G41/C41)*M41)+((G42/C41)*M42))*3.571428))</f>
        <v>0</v>
      </c>
      <c r="P41" s="1630">
        <f>O41/3.571428</f>
        <v>0</v>
      </c>
      <c r="Q41" s="1079" t="s">
        <v>177</v>
      </c>
      <c r="R41" s="337"/>
      <c r="S41" s="327"/>
    </row>
    <row r="42" spans="1:19" ht="23.65" thickBot="1" x14ac:dyDescent="0.5">
      <c r="A42" s="1617"/>
      <c r="B42" s="1706"/>
      <c r="C42" s="1708"/>
      <c r="D42" s="1080" t="s">
        <v>122</v>
      </c>
      <c r="E42" s="1010">
        <f>$C$41/2</f>
        <v>1.7857142857142858</v>
      </c>
      <c r="F42" s="966" t="s">
        <v>31</v>
      </c>
      <c r="G42" s="1081">
        <f>E42/1</f>
        <v>1.7857142857142858</v>
      </c>
      <c r="H42" s="505"/>
      <c r="I42" s="506"/>
      <c r="J42" s="1082">
        <f>H42-I42</f>
        <v>0</v>
      </c>
      <c r="K42" s="969">
        <f>(0.5*I42)*(6/10)</f>
        <v>0</v>
      </c>
      <c r="L42" s="1083">
        <f>I42+K42</f>
        <v>0</v>
      </c>
      <c r="M42" s="950" t="str">
        <f>IF(K42&lt;&gt;0,J42/K42,"0%")</f>
        <v>0%</v>
      </c>
      <c r="N42" s="1709"/>
      <c r="O42" s="1647"/>
      <c r="P42" s="1631"/>
      <c r="Q42" s="1079" t="s">
        <v>95</v>
      </c>
      <c r="R42" s="344"/>
      <c r="S42" s="193" t="s">
        <v>615</v>
      </c>
    </row>
    <row r="43" spans="1:19" ht="30.6" customHeight="1" thickBot="1" x14ac:dyDescent="0.5">
      <c r="B43" s="1670" t="s">
        <v>32</v>
      </c>
      <c r="C43" s="1671"/>
      <c r="D43" s="1671"/>
      <c r="E43" s="1671"/>
      <c r="F43" s="1672"/>
      <c r="G43" s="996"/>
      <c r="H43" s="248"/>
      <c r="I43" s="248"/>
      <c r="J43" s="1084"/>
      <c r="K43" s="1085"/>
      <c r="L43" s="1085"/>
      <c r="M43" s="996"/>
      <c r="N43" s="911">
        <f>N44</f>
        <v>-0.83333333333333337</v>
      </c>
      <c r="O43" s="912">
        <f>O44</f>
        <v>0</v>
      </c>
      <c r="P43" s="913">
        <f>O43/3.571428</f>
        <v>0</v>
      </c>
      <c r="Q43" s="1086"/>
      <c r="R43" s="336"/>
      <c r="S43" s="336"/>
    </row>
    <row r="44" spans="1:19" ht="37.799999999999997" customHeight="1" thickBot="1" x14ac:dyDescent="0.5">
      <c r="A44" s="1617">
        <v>12</v>
      </c>
      <c r="B44" s="1624" t="s">
        <v>33</v>
      </c>
      <c r="C44" s="1678">
        <f>M5</f>
        <v>3.5714285714285716</v>
      </c>
      <c r="D44" s="999" t="s">
        <v>123</v>
      </c>
      <c r="E44" s="1087">
        <f>C44/2</f>
        <v>1.7857142857142858</v>
      </c>
      <c r="F44" s="999" t="s">
        <v>34</v>
      </c>
      <c r="G44" s="931">
        <f>$E$44/1</f>
        <v>1.7857142857142858</v>
      </c>
      <c r="H44" s="477"/>
      <c r="I44" s="491"/>
      <c r="J44" s="1088">
        <f>IF(I44=H44,(H44-30),H44-I44)</f>
        <v>-30</v>
      </c>
      <c r="K44" s="980">
        <f>IF(I44&gt;=30,0,((30-I44)*(6/10)))</f>
        <v>18</v>
      </c>
      <c r="L44" s="1089">
        <f>I44+K44</f>
        <v>18</v>
      </c>
      <c r="M44" s="935">
        <f>IF(I44&gt;=30,(1+(H44-30)/30),(J44/K44))</f>
        <v>-1.6666666666666667</v>
      </c>
      <c r="N44" s="1702">
        <f>(((G44/C44)*M44)+((G45/C44)*M45))</f>
        <v>-0.83333333333333337</v>
      </c>
      <c r="O44" s="1646">
        <f>IF((((G44/C44)*M44)+((G45/C44)*M45))&gt;=1,3.57148,IF((((G44/C44)*M44)+((G45/C44)*M45))&lt;=0,0, (((G44/C44)*M44)+((G45/C44)*M45))*3.571428))</f>
        <v>0</v>
      </c>
      <c r="P44" s="1630">
        <f>O44/3.571428</f>
        <v>0</v>
      </c>
      <c r="Q44" s="981" t="s">
        <v>178</v>
      </c>
      <c r="R44" s="346"/>
      <c r="S44" s="193" t="s">
        <v>615</v>
      </c>
    </row>
    <row r="45" spans="1:19" ht="35.25" thickBot="1" x14ac:dyDescent="0.5">
      <c r="A45" s="1617"/>
      <c r="B45" s="1626"/>
      <c r="C45" s="1686"/>
      <c r="D45" s="1024" t="s">
        <v>124</v>
      </c>
      <c r="E45" s="1090">
        <f>(C44/2)</f>
        <v>1.7857142857142858</v>
      </c>
      <c r="F45" s="1024" t="s">
        <v>35</v>
      </c>
      <c r="G45" s="944">
        <f>$E$45/1</f>
        <v>1.7857142857142858</v>
      </c>
      <c r="H45" s="475"/>
      <c r="I45" s="492"/>
      <c r="J45" s="1091">
        <f>IF(I45=H45,(H45-17),H45-I45)</f>
        <v>-17</v>
      </c>
      <c r="K45" s="1092">
        <f>IF(I45&gt;=17,0,((17-I45)*(6/10)))</f>
        <v>10.199999999999999</v>
      </c>
      <c r="L45" s="1093">
        <f>I45+K45</f>
        <v>10.199999999999999</v>
      </c>
      <c r="M45" s="1094" t="str">
        <f>IF(K45&lt;&gt;0,"0%",J45/K45)</f>
        <v>0%</v>
      </c>
      <c r="N45" s="1703"/>
      <c r="O45" s="1647"/>
      <c r="P45" s="1631"/>
      <c r="Q45" s="995" t="s">
        <v>179</v>
      </c>
      <c r="R45" s="347"/>
      <c r="S45" s="193" t="s">
        <v>615</v>
      </c>
    </row>
    <row r="46" spans="1:19" ht="30.6" customHeight="1" thickBot="1" x14ac:dyDescent="0.5">
      <c r="B46" s="1694" t="s">
        <v>36</v>
      </c>
      <c r="C46" s="1695"/>
      <c r="D46" s="1695"/>
      <c r="E46" s="1695"/>
      <c r="F46" s="1696"/>
      <c r="G46" s="1095"/>
      <c r="H46" s="138"/>
      <c r="I46" s="139"/>
      <c r="J46" s="1096"/>
      <c r="K46" s="1097"/>
      <c r="L46" s="1097"/>
      <c r="M46" s="1098"/>
      <c r="N46" s="911">
        <f>(N47+N50+N52)/3</f>
        <v>0.55885066561223151</v>
      </c>
      <c r="O46" s="912">
        <f>(O47+O50+O52)</f>
        <v>3.6067327449584816</v>
      </c>
      <c r="P46" s="913">
        <f>O46/10.714284</f>
        <v>0.33662844339000925</v>
      </c>
      <c r="Q46" s="1099"/>
      <c r="R46" s="348"/>
      <c r="S46" s="348"/>
    </row>
    <row r="47" spans="1:19" ht="20.45" customHeight="1" thickBot="1" x14ac:dyDescent="0.5">
      <c r="B47" s="1614" t="s">
        <v>37</v>
      </c>
      <c r="C47" s="1615"/>
      <c r="D47" s="1615"/>
      <c r="E47" s="1615"/>
      <c r="F47" s="1616"/>
      <c r="G47" s="1100"/>
      <c r="H47" s="247"/>
      <c r="I47" s="247"/>
      <c r="J47" s="1101"/>
      <c r="K47" s="1102"/>
      <c r="L47" s="1102"/>
      <c r="M47" s="996"/>
      <c r="N47" s="911">
        <f>N48</f>
        <v>0</v>
      </c>
      <c r="O47" s="912">
        <f>O48</f>
        <v>0</v>
      </c>
      <c r="P47" s="913">
        <f>O47/3.571428</f>
        <v>0</v>
      </c>
      <c r="Q47" s="1086"/>
      <c r="R47" s="336"/>
      <c r="S47" s="336"/>
    </row>
    <row r="48" spans="1:19" ht="37.799999999999997" customHeight="1" thickBot="1" x14ac:dyDescent="0.5">
      <c r="A48" s="1617">
        <v>13</v>
      </c>
      <c r="B48" s="1624" t="s">
        <v>38</v>
      </c>
      <c r="C48" s="1678">
        <f>M5</f>
        <v>3.5714285714285716</v>
      </c>
      <c r="D48" s="999" t="s">
        <v>125</v>
      </c>
      <c r="E48" s="931">
        <f>$C$48/2</f>
        <v>1.7857142857142858</v>
      </c>
      <c r="F48" s="1103" t="s">
        <v>289</v>
      </c>
      <c r="G48" s="931">
        <f>E48/1</f>
        <v>1.7857142857142858</v>
      </c>
      <c r="H48" s="477"/>
      <c r="I48" s="497"/>
      <c r="J48" s="1104">
        <f>H48-I48</f>
        <v>0</v>
      </c>
      <c r="K48" s="1105">
        <f>(0.5*I48)* (6/10)</f>
        <v>0</v>
      </c>
      <c r="L48" s="1106">
        <f>I48-K48</f>
        <v>0</v>
      </c>
      <c r="M48" s="962" t="str">
        <f>IF(K48&lt;&gt;0,J48/K48,"0%")</f>
        <v>0%</v>
      </c>
      <c r="N48" s="1700">
        <f>(((G48/C48)*M48)+((G49/C48)*M49))</f>
        <v>0</v>
      </c>
      <c r="O48" s="1646">
        <f>IF((((G48/C48)*M48)+((G49/C48)*M49))&gt;=1,3.57148,IF((((G48/C48)*M48)+((G49/C48)*M49))&lt;=0,0, (((G48/C48)*M48)+((G49/C48)*M49))*3.571428))</f>
        <v>0</v>
      </c>
      <c r="P48" s="1630">
        <f>O48/3.571428</f>
        <v>0</v>
      </c>
      <c r="Q48" s="1021" t="s">
        <v>95</v>
      </c>
      <c r="R48" s="342"/>
      <c r="S48" s="193" t="s">
        <v>615</v>
      </c>
    </row>
    <row r="49" spans="1:19" ht="30.6" customHeight="1" thickBot="1" x14ac:dyDescent="0.5">
      <c r="A49" s="1617"/>
      <c r="B49" s="1626"/>
      <c r="C49" s="1686"/>
      <c r="D49" s="1024" t="s">
        <v>126</v>
      </c>
      <c r="E49" s="944">
        <f>$C$48/2</f>
        <v>1.7857142857142858</v>
      </c>
      <c r="F49" s="1024" t="s">
        <v>290</v>
      </c>
      <c r="G49" s="944">
        <f>E49/1</f>
        <v>1.7857142857142858</v>
      </c>
      <c r="H49" s="498"/>
      <c r="I49" s="499"/>
      <c r="J49" s="1026">
        <f>H49-I49</f>
        <v>0</v>
      </c>
      <c r="K49" s="1107">
        <f>(2*I49)*(6/10)</f>
        <v>0</v>
      </c>
      <c r="L49" s="1108">
        <f>I49+K49</f>
        <v>0</v>
      </c>
      <c r="M49" s="950" t="str">
        <f>IF(K49&lt;&gt;0,J49/K49,"0%")</f>
        <v>0%</v>
      </c>
      <c r="N49" s="1701"/>
      <c r="O49" s="1647"/>
      <c r="P49" s="1631"/>
      <c r="Q49" s="1027" t="s">
        <v>95</v>
      </c>
      <c r="R49" s="344" t="s">
        <v>533</v>
      </c>
      <c r="S49" s="193" t="s">
        <v>615</v>
      </c>
    </row>
    <row r="50" spans="1:19" ht="15" customHeight="1" thickBot="1" x14ac:dyDescent="0.5">
      <c r="B50" s="1670" t="s">
        <v>39</v>
      </c>
      <c r="C50" s="1671"/>
      <c r="D50" s="1671"/>
      <c r="E50" s="1671"/>
      <c r="F50" s="1672"/>
      <c r="G50" s="1109"/>
      <c r="H50" s="250"/>
      <c r="I50" s="250"/>
      <c r="J50" s="1110"/>
      <c r="K50" s="1110"/>
      <c r="L50" s="1110"/>
      <c r="M50" s="1111"/>
      <c r="N50" s="911">
        <f>N51</f>
        <v>1.6666666666666667</v>
      </c>
      <c r="O50" s="912">
        <f>O51</f>
        <v>3.571428</v>
      </c>
      <c r="P50" s="913">
        <f>O50/3.571428</f>
        <v>1</v>
      </c>
      <c r="Q50" s="1112"/>
      <c r="R50" s="349"/>
      <c r="S50" s="349"/>
    </row>
    <row r="51" spans="1:19" ht="30.6" customHeight="1" thickBot="1" x14ac:dyDescent="0.5">
      <c r="A51" s="21">
        <v>14</v>
      </c>
      <c r="B51" s="1113" t="s">
        <v>226</v>
      </c>
      <c r="C51" s="1114">
        <f>M5</f>
        <v>3.5714285714285716</v>
      </c>
      <c r="D51" s="1115" t="s">
        <v>272</v>
      </c>
      <c r="E51" s="1116">
        <f>C51</f>
        <v>3.5714285714285716</v>
      </c>
      <c r="F51" s="1117" t="s">
        <v>266</v>
      </c>
      <c r="G51" s="1118">
        <f>E51/1</f>
        <v>3.5714285714285716</v>
      </c>
      <c r="H51" s="636">
        <v>100</v>
      </c>
      <c r="I51" s="637">
        <v>0</v>
      </c>
      <c r="J51" s="1119">
        <f>H51-I51</f>
        <v>100</v>
      </c>
      <c r="K51" s="1120">
        <f>(100-I51)*(6/10)</f>
        <v>60</v>
      </c>
      <c r="L51" s="1121">
        <f>I51+K51</f>
        <v>60</v>
      </c>
      <c r="M51" s="971">
        <f>IF(K51&lt;&gt;0,J51/K51,"100%")</f>
        <v>1.6666666666666667</v>
      </c>
      <c r="N51" s="1040">
        <f>((G51/C51)*M51)</f>
        <v>1.6666666666666667</v>
      </c>
      <c r="O51" s="1041">
        <f>IF(((G51/C51)*M51)&gt;=1,3.571428,IF(((G51/C51)*M51)&lt;=0,0,((G51/C51)*M51)*3.571428))</f>
        <v>3.571428</v>
      </c>
      <c r="P51" s="913">
        <f>O51/3.571428</f>
        <v>1</v>
      </c>
      <c r="Q51" s="1122" t="s">
        <v>95</v>
      </c>
      <c r="R51" s="350"/>
      <c r="S51" s="574" t="s">
        <v>583</v>
      </c>
    </row>
    <row r="52" spans="1:19" ht="20.45" customHeight="1" thickBot="1" x14ac:dyDescent="0.5">
      <c r="B52" s="1670" t="s">
        <v>40</v>
      </c>
      <c r="C52" s="1671"/>
      <c r="D52" s="1671"/>
      <c r="E52" s="1671"/>
      <c r="F52" s="1672"/>
      <c r="G52" s="1100"/>
      <c r="H52" s="247"/>
      <c r="I52" s="247"/>
      <c r="J52" s="1101"/>
      <c r="K52" s="1102"/>
      <c r="L52" s="1102"/>
      <c r="M52" s="1018"/>
      <c r="N52" s="911">
        <f>N53</f>
        <v>9.8853301700276789E-3</v>
      </c>
      <c r="O52" s="912">
        <f>O53</f>
        <v>3.5304744958481613E-2</v>
      </c>
      <c r="P52" s="913">
        <f>O52/3.571428</f>
        <v>9.8853301700276789E-3</v>
      </c>
      <c r="Q52" s="1123"/>
      <c r="R52" s="349"/>
      <c r="S52" s="349"/>
    </row>
    <row r="53" spans="1:19" ht="43.8" customHeight="1" thickBot="1" x14ac:dyDescent="0.5">
      <c r="A53" s="1617">
        <v>15</v>
      </c>
      <c r="B53" s="1618" t="s">
        <v>108</v>
      </c>
      <c r="C53" s="1678">
        <f>M5</f>
        <v>3.5714285714285716</v>
      </c>
      <c r="D53" s="1124" t="s">
        <v>127</v>
      </c>
      <c r="E53" s="1125">
        <f>$C$53/5</f>
        <v>0.7142857142857143</v>
      </c>
      <c r="F53" s="1126" t="s">
        <v>41</v>
      </c>
      <c r="G53" s="978">
        <f>E53/1</f>
        <v>0.7142857142857143</v>
      </c>
      <c r="H53" s="723"/>
      <c r="I53" s="724"/>
      <c r="J53" s="1001">
        <f>H53-I53</f>
        <v>0</v>
      </c>
      <c r="K53" s="1105">
        <f>(100-I53)*(6/10)</f>
        <v>60</v>
      </c>
      <c r="L53" s="1062">
        <f t="shared" ref="L53:L58" si="15">I53+K53</f>
        <v>60</v>
      </c>
      <c r="M53" s="935">
        <f t="shared" ref="M53:M55" si="16">IF(K53&lt;&gt;0,J53/K53,"0%")</f>
        <v>0</v>
      </c>
      <c r="N53" s="1697">
        <f>(((G53/C53)*M53)+((G54/C53)*M54)+((G55/C53)*M55)+((G56/C53)*M56)+((G57/C53)*M57)+((G58/C53)*M58))</f>
        <v>9.8853301700276789E-3</v>
      </c>
      <c r="O53" s="1687">
        <f>IF((((G53/C53)*M53)+((G54/C53)*M54)+((G55/C53)*M55)+((G56/C53)*M56)+((G57/C53)*M57)+((G58/C53)*M58))&gt;=1,3.571428,IF((((G53/C53)*M53)+((G54/C53)*M54)+((G55/C53)*M55)+((G56/C53)*M56)+((G57/C53)*M57)+((G58/C53)*M58))&lt;=0,0,((((G53/C53)*M53)+((G54/C53)*M54)+((G55/C53)*M55)+((G56/C53)*M56)+((G57/C53)*M57)+((G58/C53)*M58))*3.571428)))</f>
        <v>3.5304744958481613E-2</v>
      </c>
      <c r="P53" s="1630">
        <f>O53/3.571428</f>
        <v>9.8853301700276789E-3</v>
      </c>
      <c r="Q53" s="1127" t="s">
        <v>95</v>
      </c>
      <c r="R53" s="351"/>
      <c r="S53" s="193" t="s">
        <v>615</v>
      </c>
    </row>
    <row r="54" spans="1:19" ht="35.450000000000003" customHeight="1" thickBot="1" x14ac:dyDescent="0.5">
      <c r="A54" s="1617"/>
      <c r="B54" s="1619"/>
      <c r="C54" s="1685"/>
      <c r="D54" s="1128" t="s">
        <v>128</v>
      </c>
      <c r="E54" s="1129">
        <f t="shared" ref="E54:E57" si="17">$C$53/5</f>
        <v>0.7142857142857143</v>
      </c>
      <c r="F54" s="1130" t="s">
        <v>42</v>
      </c>
      <c r="G54" s="983">
        <f>E54/1</f>
        <v>0.7142857142857143</v>
      </c>
      <c r="H54" s="630"/>
      <c r="I54" s="631"/>
      <c r="J54" s="1007">
        <f>H54-I54</f>
        <v>0</v>
      </c>
      <c r="K54" s="1066">
        <f>(100-I54)*(6/6)</f>
        <v>100</v>
      </c>
      <c r="L54" s="1067">
        <f>I54+K54</f>
        <v>100</v>
      </c>
      <c r="M54" s="989">
        <f t="shared" si="16"/>
        <v>0</v>
      </c>
      <c r="N54" s="1698"/>
      <c r="O54" s="1633"/>
      <c r="P54" s="1635"/>
      <c r="Q54" s="1131" t="s">
        <v>95</v>
      </c>
      <c r="R54" s="331"/>
      <c r="S54" s="193" t="s">
        <v>615</v>
      </c>
    </row>
    <row r="55" spans="1:19" ht="34.25" customHeight="1" thickBot="1" x14ac:dyDescent="0.5">
      <c r="A55" s="1617"/>
      <c r="B55" s="1619"/>
      <c r="C55" s="1685"/>
      <c r="D55" s="1128" t="s">
        <v>129</v>
      </c>
      <c r="E55" s="1129">
        <f t="shared" si="17"/>
        <v>0.7142857142857143</v>
      </c>
      <c r="F55" s="1130" t="s">
        <v>43</v>
      </c>
      <c r="G55" s="983">
        <f>E55/1</f>
        <v>0.7142857142857143</v>
      </c>
      <c r="H55" s="632"/>
      <c r="I55" s="631"/>
      <c r="J55" s="1007">
        <f>H55-I55</f>
        <v>0</v>
      </c>
      <c r="K55" s="1066">
        <f>(100-I55)*(6/10)</f>
        <v>60</v>
      </c>
      <c r="L55" s="1067">
        <f t="shared" si="15"/>
        <v>60</v>
      </c>
      <c r="M55" s="989">
        <f t="shared" si="16"/>
        <v>0</v>
      </c>
      <c r="N55" s="1698"/>
      <c r="O55" s="1633"/>
      <c r="P55" s="1635"/>
      <c r="Q55" s="1131" t="s">
        <v>95</v>
      </c>
      <c r="R55" s="331"/>
      <c r="S55" s="193" t="s">
        <v>615</v>
      </c>
    </row>
    <row r="56" spans="1:19" ht="37.25" customHeight="1" thickBot="1" x14ac:dyDescent="0.5">
      <c r="A56" s="1617"/>
      <c r="B56" s="1619"/>
      <c r="C56" s="1685"/>
      <c r="D56" s="1128" t="s">
        <v>130</v>
      </c>
      <c r="E56" s="1129">
        <f t="shared" si="17"/>
        <v>0.7142857142857143</v>
      </c>
      <c r="F56" s="1130" t="s">
        <v>44</v>
      </c>
      <c r="G56" s="983">
        <f>E56/1</f>
        <v>0.7142857142857143</v>
      </c>
      <c r="H56" s="649"/>
      <c r="I56" s="725"/>
      <c r="J56" s="1007">
        <f>H56-I56</f>
        <v>0</v>
      </c>
      <c r="K56" s="1132">
        <f>(0.5*I56)*(6/7)</f>
        <v>0</v>
      </c>
      <c r="L56" s="1067">
        <f t="shared" si="15"/>
        <v>0</v>
      </c>
      <c r="M56" s="989" t="str">
        <f>IF(K56&lt;&gt;0,J56/K56,"0%")</f>
        <v>0%</v>
      </c>
      <c r="N56" s="1698"/>
      <c r="O56" s="1633"/>
      <c r="P56" s="1635"/>
      <c r="Q56" s="1131" t="s">
        <v>101</v>
      </c>
      <c r="R56" s="331"/>
      <c r="S56" s="193" t="s">
        <v>615</v>
      </c>
    </row>
    <row r="57" spans="1:19" ht="22.8" customHeight="1" thickBot="1" x14ac:dyDescent="0.5">
      <c r="A57" s="1617"/>
      <c r="B57" s="1619"/>
      <c r="C57" s="1685"/>
      <c r="D57" s="1690" t="s">
        <v>131</v>
      </c>
      <c r="E57" s="1692">
        <f t="shared" si="17"/>
        <v>0.7142857142857143</v>
      </c>
      <c r="F57" s="1130" t="s">
        <v>45</v>
      </c>
      <c r="G57" s="983">
        <f>$E$57/2</f>
        <v>0.35714285714285715</v>
      </c>
      <c r="H57" s="1346">
        <v>89.3</v>
      </c>
      <c r="I57" s="1347">
        <v>84.3</v>
      </c>
      <c r="J57" s="1007">
        <f t="shared" ref="J57:J58" si="18">H57-I57</f>
        <v>5</v>
      </c>
      <c r="K57" s="1133">
        <f>(1*I57)*(6/10)</f>
        <v>50.58</v>
      </c>
      <c r="L57" s="1067">
        <f t="shared" si="15"/>
        <v>134.88</v>
      </c>
      <c r="M57" s="989">
        <f>IF(K57&lt;&gt;0,J57/K57,"0%")</f>
        <v>9.8853301700276799E-2</v>
      </c>
      <c r="N57" s="1698"/>
      <c r="O57" s="1633"/>
      <c r="P57" s="1635"/>
      <c r="Q57" s="1131" t="s">
        <v>180</v>
      </c>
      <c r="R57" s="331"/>
      <c r="S57" s="331"/>
    </row>
    <row r="58" spans="1:19" ht="15" customHeight="1" thickBot="1" x14ac:dyDescent="0.5">
      <c r="A58" s="1617"/>
      <c r="B58" s="1620"/>
      <c r="C58" s="1686"/>
      <c r="D58" s="1691"/>
      <c r="E58" s="1693"/>
      <c r="F58" s="943" t="s">
        <v>46</v>
      </c>
      <c r="G58" s="992">
        <f>$E$57/2</f>
        <v>0.35714285714285715</v>
      </c>
      <c r="H58" s="633"/>
      <c r="I58" s="634"/>
      <c r="J58" s="1013">
        <f t="shared" si="18"/>
        <v>0</v>
      </c>
      <c r="K58" s="1107">
        <f>(1*I58)*(6/10)</f>
        <v>0</v>
      </c>
      <c r="L58" s="1134">
        <f t="shared" si="15"/>
        <v>0</v>
      </c>
      <c r="M58" s="950" t="str">
        <f>IF(K58&lt;&gt;0,J58/K58,"0%")</f>
        <v>0%</v>
      </c>
      <c r="N58" s="1699"/>
      <c r="O58" s="1634"/>
      <c r="P58" s="1631"/>
      <c r="Q58" s="1135" t="s">
        <v>95</v>
      </c>
      <c r="R58" s="332"/>
      <c r="S58" s="193" t="s">
        <v>615</v>
      </c>
    </row>
    <row r="59" spans="1:19" ht="23.45" customHeight="1" thickBot="1" x14ac:dyDescent="0.5">
      <c r="B59" s="1694" t="s">
        <v>47</v>
      </c>
      <c r="C59" s="1695"/>
      <c r="D59" s="1695"/>
      <c r="E59" s="1695"/>
      <c r="F59" s="1696"/>
      <c r="G59" s="1136"/>
      <c r="H59" s="254"/>
      <c r="I59" s="254"/>
      <c r="J59" s="1137"/>
      <c r="K59" s="1137"/>
      <c r="L59" s="1137"/>
      <c r="M59" s="1098"/>
      <c r="N59" s="911">
        <f>(N60+N67)/2</f>
        <v>0.1388888888888889</v>
      </c>
      <c r="O59" s="912">
        <f>(O60+O67)</f>
        <v>0.99206333333333341</v>
      </c>
      <c r="P59" s="913">
        <f>O59/7.142856</f>
        <v>0.1388888888888889</v>
      </c>
      <c r="Q59" s="1138"/>
      <c r="R59" s="352"/>
      <c r="S59" s="353"/>
    </row>
    <row r="60" spans="1:19" ht="22.25" customHeight="1" thickBot="1" x14ac:dyDescent="0.5">
      <c r="B60" s="1670" t="s">
        <v>48</v>
      </c>
      <c r="C60" s="1671"/>
      <c r="D60" s="1671"/>
      <c r="E60" s="1671"/>
      <c r="F60" s="1672"/>
      <c r="G60" s="996"/>
      <c r="H60" s="248"/>
      <c r="I60" s="248"/>
      <c r="J60" s="1016"/>
      <c r="K60" s="1017"/>
      <c r="L60" s="1017"/>
      <c r="M60" s="996"/>
      <c r="N60" s="911">
        <f>N61</f>
        <v>0.27777777777777779</v>
      </c>
      <c r="O60" s="912">
        <f>O61</f>
        <v>0.99206333333333341</v>
      </c>
      <c r="P60" s="913">
        <f>O60/3.571428</f>
        <v>0.27777777777777779</v>
      </c>
      <c r="Q60" s="997"/>
      <c r="R60" s="336"/>
      <c r="S60" s="336"/>
    </row>
    <row r="61" spans="1:19" ht="39" customHeight="1" thickBot="1" x14ac:dyDescent="0.5">
      <c r="A61" s="1617">
        <v>16</v>
      </c>
      <c r="B61" s="1618" t="s">
        <v>49</v>
      </c>
      <c r="C61" s="1678">
        <f>M5</f>
        <v>3.5714285714285716</v>
      </c>
      <c r="D61" s="999" t="s">
        <v>133</v>
      </c>
      <c r="E61" s="931">
        <f>$C$61/4</f>
        <v>0.8928571428571429</v>
      </c>
      <c r="F61" s="999" t="s">
        <v>50</v>
      </c>
      <c r="G61" s="978">
        <f>E61/1</f>
        <v>0.8928571428571429</v>
      </c>
      <c r="H61" s="489"/>
      <c r="I61" s="231"/>
      <c r="J61" s="1088">
        <f>IF(I61=H61,(H61-70),H61-I61)</f>
        <v>-70</v>
      </c>
      <c r="K61" s="980">
        <f>IF(I61&gt;=70,0,((70-I61)*(6/10)))</f>
        <v>42</v>
      </c>
      <c r="L61" s="1140">
        <f t="shared" ref="L61:L66" si="19">I61+K61</f>
        <v>42</v>
      </c>
      <c r="M61" s="989" t="str">
        <f>IF(H61=0,"0%",J61/K61)</f>
        <v>0%</v>
      </c>
      <c r="N61" s="1627">
        <f>(((G61/C61)*M61)+((G62/C61)*M62)+((G63/C61)*M63)+((G64/C61)*M64)+((G65/C61)*M65)+((G66/C61)*M66))</f>
        <v>0.27777777777777779</v>
      </c>
      <c r="O61" s="1687">
        <f>IF((((G61/C61)*M61)+((G62/C61)*M62)+((G63/C61)*M63)+((G64/C61)*M64)+((G65/C61)*M65)+((G66/C61)*M66))&gt;=1,3.571428,IF((((G61/C61)*M61)+((G62/C61)*M62)+((G63/C61)*M63)+((G64/C61)*M64)+((G65/C61)*M65)+((G66/C61)*M66))&lt;=0,0,((((G61/C61)*M61)+((G62/C61)*M62)+((G63/C61)*M63)+((G64/C61)*M64)+((G65/C61)*M65)+((G66/C61)*M66))*3.571428)))</f>
        <v>0.99206333333333341</v>
      </c>
      <c r="P61" s="1630">
        <f>O61/3.571428</f>
        <v>0.27777777777777779</v>
      </c>
      <c r="Q61" s="1063" t="s">
        <v>181</v>
      </c>
      <c r="R61" s="342"/>
      <c r="S61" s="193" t="s">
        <v>615</v>
      </c>
    </row>
    <row r="62" spans="1:19" ht="58.25" customHeight="1" thickBot="1" x14ac:dyDescent="0.5">
      <c r="A62" s="1617"/>
      <c r="B62" s="1619"/>
      <c r="C62" s="1685"/>
      <c r="D62" s="1004" t="s">
        <v>134</v>
      </c>
      <c r="E62" s="1005">
        <f t="shared" ref="E62:E63" si="20">$C$61/4</f>
        <v>0.8928571428571429</v>
      </c>
      <c r="F62" s="1128" t="s">
        <v>276</v>
      </c>
      <c r="G62" s="983">
        <f>$E$62/1</f>
        <v>0.8928571428571429</v>
      </c>
      <c r="H62" s="470"/>
      <c r="I62" s="496"/>
      <c r="J62" s="1141">
        <f>IF(I62=H62,(H62-70),H62-I62)</f>
        <v>-70</v>
      </c>
      <c r="K62" s="987">
        <f t="shared" ref="K62:K63" si="21">IF(I62&gt;=70,0,((70-I62)*(6/10)))</f>
        <v>42</v>
      </c>
      <c r="L62" s="1142">
        <f t="shared" si="19"/>
        <v>42</v>
      </c>
      <c r="M62" s="989" t="str">
        <f>IF(H62=0,"0%",J62/K62)</f>
        <v>0%</v>
      </c>
      <c r="N62" s="1628"/>
      <c r="O62" s="1633"/>
      <c r="P62" s="1635"/>
      <c r="Q62" s="1068" t="s">
        <v>182</v>
      </c>
      <c r="R62" s="339"/>
      <c r="S62" s="193" t="s">
        <v>615</v>
      </c>
    </row>
    <row r="63" spans="1:19" ht="26.45" customHeight="1" thickBot="1" x14ac:dyDescent="0.5">
      <c r="A63" s="1617"/>
      <c r="B63" s="1619"/>
      <c r="C63" s="1685"/>
      <c r="D63" s="1004" t="s">
        <v>135</v>
      </c>
      <c r="E63" s="1005">
        <f t="shared" si="20"/>
        <v>0.8928571428571429</v>
      </c>
      <c r="F63" s="1004" t="s">
        <v>51</v>
      </c>
      <c r="G63" s="983">
        <f>E63/1</f>
        <v>0.8928571428571429</v>
      </c>
      <c r="H63" s="481"/>
      <c r="I63" s="482"/>
      <c r="J63" s="1141">
        <f>IF(I63=H63,(H63-70),H63-I63)</f>
        <v>-70</v>
      </c>
      <c r="K63" s="987">
        <f t="shared" si="21"/>
        <v>42</v>
      </c>
      <c r="L63" s="1142">
        <f t="shared" si="19"/>
        <v>42</v>
      </c>
      <c r="M63" s="989" t="str">
        <f>IF(H63=0,"0%",J63/K63)</f>
        <v>0%</v>
      </c>
      <c r="N63" s="1628"/>
      <c r="O63" s="1633"/>
      <c r="P63" s="1635"/>
      <c r="Q63" s="1068" t="s">
        <v>95</v>
      </c>
      <c r="R63" s="339"/>
      <c r="S63" s="193" t="s">
        <v>615</v>
      </c>
    </row>
    <row r="64" spans="1:19" ht="15" customHeight="1" thickBot="1" x14ac:dyDescent="0.5">
      <c r="A64" s="1617"/>
      <c r="B64" s="1619"/>
      <c r="C64" s="1685"/>
      <c r="D64" s="1625" t="s">
        <v>136</v>
      </c>
      <c r="E64" s="1688">
        <f>$C$61/4</f>
        <v>0.8928571428571429</v>
      </c>
      <c r="F64" s="1143" t="s">
        <v>52</v>
      </c>
      <c r="G64" s="1144">
        <f>$E$64/3</f>
        <v>0.29761904761904762</v>
      </c>
      <c r="H64" s="650">
        <v>100</v>
      </c>
      <c r="I64" s="651">
        <v>0</v>
      </c>
      <c r="J64" s="1145">
        <f t="shared" ref="J64:J66" si="22">H64-I64</f>
        <v>100</v>
      </c>
      <c r="K64" s="1146">
        <f>(100-I64)*(6/10)</f>
        <v>60</v>
      </c>
      <c r="L64" s="1142">
        <f t="shared" si="19"/>
        <v>60</v>
      </c>
      <c r="M64" s="989">
        <f t="shared" ref="M64:M66" si="23">IF(K64&lt;&gt;0,J64/K64,"100%")</f>
        <v>1.6666666666666667</v>
      </c>
      <c r="N64" s="1628"/>
      <c r="O64" s="1633"/>
      <c r="P64" s="1635"/>
      <c r="Q64" s="1068" t="s">
        <v>95</v>
      </c>
      <c r="R64" s="344"/>
      <c r="S64" s="575" t="s">
        <v>584</v>
      </c>
    </row>
    <row r="65" spans="1:19" ht="14.65" thickBot="1" x14ac:dyDescent="0.5">
      <c r="A65" s="1617"/>
      <c r="B65" s="1619"/>
      <c r="C65" s="1685"/>
      <c r="D65" s="1625"/>
      <c r="E65" s="1688"/>
      <c r="F65" s="1143" t="s">
        <v>53</v>
      </c>
      <c r="G65" s="1144">
        <f t="shared" ref="G65:G66" si="24">$E$64/3</f>
        <v>0.29761904761904762</v>
      </c>
      <c r="H65" s="650">
        <v>100</v>
      </c>
      <c r="I65" s="651">
        <v>0</v>
      </c>
      <c r="J65" s="1145">
        <f t="shared" si="22"/>
        <v>100</v>
      </c>
      <c r="K65" s="1146">
        <f>(100-I65)*(6/10)</f>
        <v>60</v>
      </c>
      <c r="L65" s="1142">
        <f t="shared" si="19"/>
        <v>60</v>
      </c>
      <c r="M65" s="989">
        <f t="shared" si="23"/>
        <v>1.6666666666666667</v>
      </c>
      <c r="N65" s="1628"/>
      <c r="O65" s="1633"/>
      <c r="P65" s="1635"/>
      <c r="Q65" s="1068" t="s">
        <v>95</v>
      </c>
      <c r="R65" s="344"/>
      <c r="S65" s="575" t="s">
        <v>584</v>
      </c>
    </row>
    <row r="66" spans="1:19" ht="27.6" customHeight="1" thickBot="1" x14ac:dyDescent="0.5">
      <c r="A66" s="1617"/>
      <c r="B66" s="1620"/>
      <c r="C66" s="1686"/>
      <c r="D66" s="1626"/>
      <c r="E66" s="1689"/>
      <c r="F66" s="1147" t="s">
        <v>54</v>
      </c>
      <c r="G66" s="1148">
        <f t="shared" si="24"/>
        <v>0.29761904761904762</v>
      </c>
      <c r="H66" s="485"/>
      <c r="I66" s="486"/>
      <c r="J66" s="1149">
        <f t="shared" si="22"/>
        <v>0</v>
      </c>
      <c r="K66" s="1150">
        <f>(100-I66)*(6/10)</f>
        <v>60</v>
      </c>
      <c r="L66" s="1151">
        <f t="shared" si="19"/>
        <v>60</v>
      </c>
      <c r="M66" s="950">
        <f t="shared" si="23"/>
        <v>0</v>
      </c>
      <c r="N66" s="1629"/>
      <c r="O66" s="1634"/>
      <c r="P66" s="1631"/>
      <c r="Q66" s="1152" t="s">
        <v>95</v>
      </c>
      <c r="R66" s="344"/>
      <c r="S66" s="193" t="s">
        <v>705</v>
      </c>
    </row>
    <row r="67" spans="1:19" ht="27" customHeight="1" thickBot="1" x14ac:dyDescent="0.5">
      <c r="B67" s="1614" t="s">
        <v>55</v>
      </c>
      <c r="C67" s="1615"/>
      <c r="D67" s="1615"/>
      <c r="E67" s="1615"/>
      <c r="F67" s="1616"/>
      <c r="G67" s="1084"/>
      <c r="H67" s="248"/>
      <c r="I67" s="248"/>
      <c r="J67" s="1084"/>
      <c r="K67" s="1085"/>
      <c r="L67" s="1085"/>
      <c r="M67" s="996"/>
      <c r="N67" s="911">
        <f>N68</f>
        <v>0</v>
      </c>
      <c r="O67" s="912">
        <f>O68</f>
        <v>0</v>
      </c>
      <c r="P67" s="913">
        <f>O67/3.571428</f>
        <v>0</v>
      </c>
      <c r="Q67" s="1153"/>
      <c r="R67" s="354"/>
      <c r="S67" s="349"/>
    </row>
    <row r="68" spans="1:19" ht="58.5" thickBot="1" x14ac:dyDescent="0.5">
      <c r="A68" s="22">
        <v>17</v>
      </c>
      <c r="B68" s="1154" t="s">
        <v>56</v>
      </c>
      <c r="C68" s="1155">
        <f>M5</f>
        <v>3.5714285714285716</v>
      </c>
      <c r="D68" s="1154" t="s">
        <v>137</v>
      </c>
      <c r="E68" s="1155">
        <f>C68</f>
        <v>3.5714285714285716</v>
      </c>
      <c r="F68" s="1154" t="s">
        <v>57</v>
      </c>
      <c r="G68" s="1156">
        <f>E68/1</f>
        <v>3.5714285714285716</v>
      </c>
      <c r="H68" s="474"/>
      <c r="I68" s="264"/>
      <c r="J68" s="1157">
        <f>IF(I68=H68,(H68-70),I68-H68)</f>
        <v>-70</v>
      </c>
      <c r="K68" s="1051">
        <f t="shared" ref="K68" si="25">IF(I68&gt;=70,0,((70-I68)*(6/10)))</f>
        <v>42</v>
      </c>
      <c r="L68" s="1158">
        <f>I68-K68</f>
        <v>-42</v>
      </c>
      <c r="M68" s="989" t="str">
        <f>IF(H68=0,"0%",J68/K68)</f>
        <v>0%</v>
      </c>
      <c r="N68" s="1159">
        <f>((G68/C68)*M68)</f>
        <v>0</v>
      </c>
      <c r="O68" s="1041">
        <f>IF(((G68/C68)*M68)&gt;=1,3.571428,IF(((G68/C68)*M68)&lt;=0,0,((G68/C68)*M68)*3.571428))</f>
        <v>0</v>
      </c>
      <c r="P68" s="913">
        <f>O68/3.571428</f>
        <v>0</v>
      </c>
      <c r="Q68" s="1160" t="s">
        <v>132</v>
      </c>
      <c r="R68" s="355"/>
      <c r="S68" s="193" t="s">
        <v>615</v>
      </c>
    </row>
    <row r="69" spans="1:19" ht="22.25" customHeight="1" thickBot="1" x14ac:dyDescent="0.5">
      <c r="B69" s="1563" t="s">
        <v>58</v>
      </c>
      <c r="C69" s="1564"/>
      <c r="D69" s="1564"/>
      <c r="E69" s="1564"/>
      <c r="F69" s="1565"/>
      <c r="G69" s="223"/>
      <c r="H69" s="144"/>
      <c r="I69" s="255"/>
      <c r="J69" s="224"/>
      <c r="K69" s="92"/>
      <c r="L69" s="92"/>
      <c r="M69" s="1161"/>
      <c r="N69" s="911">
        <f>(N70+N72+N74)/3</f>
        <v>-7.4059829059829072</v>
      </c>
      <c r="O69" s="912">
        <f>(O70+O72+O74)</f>
        <v>3.571428</v>
      </c>
      <c r="P69" s="913">
        <f>O69/10.714284</f>
        <v>0.33333333333333337</v>
      </c>
      <c r="Q69" s="886"/>
      <c r="R69" s="255"/>
      <c r="S69" s="356"/>
    </row>
    <row r="70" spans="1:19" ht="20.45" customHeight="1" thickBot="1" x14ac:dyDescent="0.5">
      <c r="B70" s="1670" t="s">
        <v>59</v>
      </c>
      <c r="C70" s="1671"/>
      <c r="D70" s="1671"/>
      <c r="E70" s="1671"/>
      <c r="F70" s="1672"/>
      <c r="G70" s="996"/>
      <c r="H70" s="136"/>
      <c r="I70" s="137"/>
      <c r="J70" s="997"/>
      <c r="K70" s="997"/>
      <c r="L70" s="997"/>
      <c r="M70" s="1162"/>
      <c r="N70" s="911">
        <f>N71</f>
        <v>-22.500000000000004</v>
      </c>
      <c r="O70" s="912">
        <f>O71</f>
        <v>0</v>
      </c>
      <c r="P70" s="913">
        <f t="shared" ref="P70:P78" si="26">O70/3.571428</f>
        <v>0</v>
      </c>
      <c r="Q70" s="1123"/>
      <c r="R70" s="349"/>
      <c r="S70" s="349"/>
    </row>
    <row r="71" spans="1:19" ht="52.25" customHeight="1" thickBot="1" x14ac:dyDescent="0.5">
      <c r="A71" s="22">
        <v>18</v>
      </c>
      <c r="B71" s="1163" t="s">
        <v>60</v>
      </c>
      <c r="C71" s="1164">
        <f>M5</f>
        <v>3.5714285714285716</v>
      </c>
      <c r="D71" s="1165" t="s">
        <v>138</v>
      </c>
      <c r="E71" s="1166">
        <f>C71</f>
        <v>3.5714285714285716</v>
      </c>
      <c r="F71" s="1167" t="s">
        <v>61</v>
      </c>
      <c r="G71" s="1168">
        <f>E71/1</f>
        <v>3.5714285714285716</v>
      </c>
      <c r="H71" s="576">
        <v>3.1</v>
      </c>
      <c r="I71" s="726">
        <v>0.4</v>
      </c>
      <c r="J71" s="1169">
        <f>I71-H71</f>
        <v>-2.7</v>
      </c>
      <c r="K71" s="1048">
        <f>(0.5*I71)*0.6</f>
        <v>0.12</v>
      </c>
      <c r="L71" s="1158">
        <f>I71-K71</f>
        <v>0.28000000000000003</v>
      </c>
      <c r="M71" s="989">
        <f t="shared" ref="M71" si="27">IF(K71&lt;&gt;0,J71/K71,"100%")</f>
        <v>-22.500000000000004</v>
      </c>
      <c r="N71" s="1159">
        <f>((G71/C71)*M71)</f>
        <v>-22.500000000000004</v>
      </c>
      <c r="O71" s="1041">
        <f>IF(((G71/C71)*M71)&gt;=1,3.571428,IF(((G71/C71)*M71)&lt;=0,0,((G71/C71)*M71)*3.571428))</f>
        <v>0</v>
      </c>
      <c r="P71" s="913">
        <f t="shared" si="26"/>
        <v>0</v>
      </c>
      <c r="Q71" s="1170" t="s">
        <v>183</v>
      </c>
      <c r="R71" s="355"/>
      <c r="S71" s="521" t="s">
        <v>706</v>
      </c>
    </row>
    <row r="72" spans="1:19" ht="20.45" customHeight="1" thickBot="1" x14ac:dyDescent="0.5">
      <c r="B72" s="1679" t="s">
        <v>277</v>
      </c>
      <c r="C72" s="1680"/>
      <c r="D72" s="1680"/>
      <c r="E72" s="1680"/>
      <c r="F72" s="1681"/>
      <c r="G72" s="1054"/>
      <c r="H72" s="134"/>
      <c r="I72" s="247"/>
      <c r="J72" s="1055"/>
      <c r="K72" s="1056"/>
      <c r="L72" s="1056"/>
      <c r="M72" s="1057"/>
      <c r="N72" s="911">
        <f>N73</f>
        <v>-0.71794871794871795</v>
      </c>
      <c r="O72" s="912">
        <f>O73</f>
        <v>0</v>
      </c>
      <c r="P72" s="913">
        <f t="shared" si="26"/>
        <v>0</v>
      </c>
      <c r="Q72" s="1171"/>
      <c r="R72" s="349"/>
      <c r="S72" s="349"/>
    </row>
    <row r="73" spans="1:19" ht="45" customHeight="1" thickBot="1" x14ac:dyDescent="0.5">
      <c r="A73" s="22">
        <v>19</v>
      </c>
      <c r="B73" s="1172" t="s">
        <v>62</v>
      </c>
      <c r="C73" s="1173">
        <f>M5</f>
        <v>3.5714285714285716</v>
      </c>
      <c r="D73" s="1174" t="s">
        <v>139</v>
      </c>
      <c r="E73" s="1173">
        <f>C73</f>
        <v>3.5714285714285716</v>
      </c>
      <c r="F73" s="1175" t="s">
        <v>63</v>
      </c>
      <c r="G73" s="1176">
        <f>E73/1</f>
        <v>3.5714285714285716</v>
      </c>
      <c r="H73" s="577">
        <v>39</v>
      </c>
      <c r="I73" s="578">
        <v>11</v>
      </c>
      <c r="J73" s="1177">
        <f>I73-H73</f>
        <v>-28</v>
      </c>
      <c r="K73" s="1178">
        <f>IF(H73&gt;0,(H73),I73)</f>
        <v>39</v>
      </c>
      <c r="L73" s="1179">
        <f>I73-K73</f>
        <v>-28</v>
      </c>
      <c r="M73" s="989">
        <f t="shared" ref="M73" si="28">IF(K73&lt;&gt;0,J73/K73,"100%")</f>
        <v>-0.71794871794871795</v>
      </c>
      <c r="N73" s="1159">
        <f>((G73/C73)*M73)</f>
        <v>-0.71794871794871795</v>
      </c>
      <c r="O73" s="1041">
        <f>IF(((G73/C73)*M73)&gt;=1,3.571428,IF(((G73/C73)*M73)&lt;=0,0,((G73/C73)*M73)*3.571428))</f>
        <v>0</v>
      </c>
      <c r="P73" s="913">
        <f t="shared" si="26"/>
        <v>0</v>
      </c>
      <c r="Q73" s="1180" t="s">
        <v>95</v>
      </c>
      <c r="R73" s="355"/>
      <c r="S73" s="521" t="s">
        <v>707</v>
      </c>
    </row>
    <row r="74" spans="1:19" ht="30.6" customHeight="1" thickBot="1" x14ac:dyDescent="0.5">
      <c r="B74" s="1670" t="s">
        <v>64</v>
      </c>
      <c r="C74" s="1671"/>
      <c r="D74" s="1671"/>
      <c r="E74" s="1671"/>
      <c r="F74" s="1672"/>
      <c r="G74" s="997"/>
      <c r="H74" s="136"/>
      <c r="I74" s="137"/>
      <c r="J74" s="997"/>
      <c r="K74" s="997"/>
      <c r="L74" s="997"/>
      <c r="M74" s="996"/>
      <c r="N74" s="911">
        <f>N75</f>
        <v>1</v>
      </c>
      <c r="O74" s="912">
        <f>O75</f>
        <v>3.571428</v>
      </c>
      <c r="P74" s="913">
        <f t="shared" si="26"/>
        <v>1</v>
      </c>
      <c r="Q74" s="1123"/>
      <c r="R74" s="349"/>
      <c r="S74" s="349"/>
    </row>
    <row r="75" spans="1:19" ht="29.45" customHeight="1" thickBot="1" x14ac:dyDescent="0.5">
      <c r="A75" s="22">
        <v>20</v>
      </c>
      <c r="B75" s="1172" t="s">
        <v>65</v>
      </c>
      <c r="C75" s="1035">
        <f>M5</f>
        <v>3.5714285714285716</v>
      </c>
      <c r="D75" s="1165" t="s">
        <v>140</v>
      </c>
      <c r="E75" s="1181">
        <f>C75</f>
        <v>3.5714285714285716</v>
      </c>
      <c r="F75" s="1174" t="s">
        <v>66</v>
      </c>
      <c r="G75" s="1168">
        <f>E75/1</f>
        <v>3.5714285714285716</v>
      </c>
      <c r="H75" s="1279">
        <v>1</v>
      </c>
      <c r="I75" s="1278">
        <v>1</v>
      </c>
      <c r="J75" s="1119">
        <f>H75-I75</f>
        <v>0</v>
      </c>
      <c r="K75" s="1120">
        <f>IF(AND(H75=0,I75=1)," 1",(H75-I75))</f>
        <v>0</v>
      </c>
      <c r="L75" s="1182">
        <f>I75+K75</f>
        <v>1</v>
      </c>
      <c r="M75" s="1183">
        <f>(IF(I75=1,1,(J75/K75)))</f>
        <v>1</v>
      </c>
      <c r="N75" s="1159">
        <f>((G75/C75)*M75)</f>
        <v>1</v>
      </c>
      <c r="O75" s="1041">
        <f>IF(((G75/C75)*M75)&gt;=1,3.571428,IF(((G75/C75)*M75)&lt;=0,0,((G75/C75)*M75)*3.571428))</f>
        <v>3.571428</v>
      </c>
      <c r="P75" s="913">
        <f t="shared" si="26"/>
        <v>1</v>
      </c>
      <c r="Q75" s="1184" t="s">
        <v>95</v>
      </c>
      <c r="R75" s="357"/>
      <c r="S75" s="355"/>
    </row>
    <row r="76" spans="1:19" ht="20.45" customHeight="1" thickBot="1" x14ac:dyDescent="0.5">
      <c r="B76" s="1682" t="s">
        <v>67</v>
      </c>
      <c r="C76" s="1683"/>
      <c r="D76" s="1683"/>
      <c r="E76" s="1683"/>
      <c r="F76" s="1684"/>
      <c r="G76" s="1185"/>
      <c r="H76" s="146"/>
      <c r="I76" s="147"/>
      <c r="J76" s="1186"/>
      <c r="K76" s="885"/>
      <c r="L76" s="885"/>
      <c r="M76" s="1185"/>
      <c r="N76" s="911">
        <f t="shared" ref="N76:O77" si="29">N77</f>
        <v>0</v>
      </c>
      <c r="O76" s="912">
        <f t="shared" si="29"/>
        <v>0</v>
      </c>
      <c r="P76" s="913">
        <f t="shared" si="26"/>
        <v>0</v>
      </c>
      <c r="Q76" s="1187"/>
      <c r="R76" s="358"/>
      <c r="S76" s="358"/>
    </row>
    <row r="77" spans="1:19" ht="20.45" customHeight="1" thickBot="1" x14ac:dyDescent="0.5">
      <c r="B77" s="1670" t="s">
        <v>68</v>
      </c>
      <c r="C77" s="1671"/>
      <c r="D77" s="1671"/>
      <c r="E77" s="1671"/>
      <c r="F77" s="1672"/>
      <c r="G77" s="996"/>
      <c r="H77" s="136"/>
      <c r="I77" s="137"/>
      <c r="J77" s="1016"/>
      <c r="K77" s="1017"/>
      <c r="L77" s="1017"/>
      <c r="M77" s="998"/>
      <c r="N77" s="911">
        <f t="shared" si="29"/>
        <v>0</v>
      </c>
      <c r="O77" s="912">
        <f t="shared" si="29"/>
        <v>0</v>
      </c>
      <c r="P77" s="913">
        <f t="shared" si="26"/>
        <v>0</v>
      </c>
      <c r="Q77" s="1123"/>
      <c r="R77" s="349"/>
      <c r="S77" s="349"/>
    </row>
    <row r="78" spans="1:19" ht="35.25" thickBot="1" x14ac:dyDescent="0.5">
      <c r="A78" s="22">
        <v>21</v>
      </c>
      <c r="B78" s="1172" t="s">
        <v>69</v>
      </c>
      <c r="C78" s="1181">
        <f>M5</f>
        <v>3.5714285714285716</v>
      </c>
      <c r="D78" s="1188" t="s">
        <v>141</v>
      </c>
      <c r="E78" s="1181">
        <f>C78</f>
        <v>3.5714285714285716</v>
      </c>
      <c r="F78" s="1188" t="s">
        <v>70</v>
      </c>
      <c r="G78" s="1155">
        <f>E78/1</f>
        <v>3.5714285714285716</v>
      </c>
      <c r="H78" s="472"/>
      <c r="I78" s="264"/>
      <c r="J78" s="1157">
        <f>IF(I78=H78,(H78-60),H78-I78)</f>
        <v>-60</v>
      </c>
      <c r="K78" s="1051">
        <f>IF(I78&gt;=60,0,((60-I78)*(6/10)))</f>
        <v>36</v>
      </c>
      <c r="L78" s="1158">
        <f t="shared" ref="L78" si="30">K78+I78</f>
        <v>36</v>
      </c>
      <c r="M78" s="1039">
        <f>IF(I78&gt;=60,(1+(H78-60)/60),(H78/L78))</f>
        <v>0</v>
      </c>
      <c r="N78" s="1159">
        <f>((G78/C78)*M78)</f>
        <v>0</v>
      </c>
      <c r="O78" s="1041">
        <f>IF(((G78/C78)*M78)&gt;=1,3.571428,IF(((G78/C78)*M78)&lt;=0,0,((G78/C78)*M78)*3.571428))</f>
        <v>0</v>
      </c>
      <c r="P78" s="913">
        <f t="shared" si="26"/>
        <v>0</v>
      </c>
      <c r="Q78" s="1189" t="s">
        <v>95</v>
      </c>
      <c r="R78" s="355"/>
      <c r="S78" s="193" t="s">
        <v>615</v>
      </c>
    </row>
    <row r="79" spans="1:19" ht="21.6" customHeight="1" thickBot="1" x14ac:dyDescent="0.5">
      <c r="B79" s="1673" t="s">
        <v>71</v>
      </c>
      <c r="C79" s="1674"/>
      <c r="D79" s="1674"/>
      <c r="E79" s="1674"/>
      <c r="F79" s="1675"/>
      <c r="G79" s="1185"/>
      <c r="H79" s="146"/>
      <c r="I79" s="147"/>
      <c r="J79" s="1190"/>
      <c r="K79" s="1191"/>
      <c r="L79" s="1191"/>
      <c r="M79" s="1185"/>
      <c r="N79" s="911">
        <f>(N80+N86)/2</f>
        <v>0.15233395989974935</v>
      </c>
      <c r="O79" s="912">
        <f>(O80+O86)</f>
        <v>1.4321515789473684</v>
      </c>
      <c r="P79" s="913">
        <f>O79/10.714284</f>
        <v>0.13366750208855474</v>
      </c>
      <c r="Q79" s="1187"/>
      <c r="R79" s="358"/>
      <c r="S79" s="358"/>
    </row>
    <row r="80" spans="1:19" ht="20.45" customHeight="1" thickBot="1" x14ac:dyDescent="0.5">
      <c r="B80" s="1614" t="s">
        <v>72</v>
      </c>
      <c r="C80" s="1615"/>
      <c r="D80" s="1615"/>
      <c r="E80" s="1615"/>
      <c r="F80" s="1616"/>
      <c r="G80" s="1018"/>
      <c r="H80" s="148"/>
      <c r="I80" s="149"/>
      <c r="J80" s="997"/>
      <c r="K80" s="997"/>
      <c r="L80" s="997"/>
      <c r="M80" s="1018"/>
      <c r="N80" s="911">
        <f>(N81+N83)/2</f>
        <v>9.6334586466165398E-2</v>
      </c>
      <c r="O80" s="912">
        <f>(O81+O83)</f>
        <v>0.68810407894736836</v>
      </c>
      <c r="P80" s="913">
        <f>O80/7.142856</f>
        <v>9.6334586466165398E-2</v>
      </c>
      <c r="Q80" s="1192"/>
      <c r="R80" s="336"/>
      <c r="S80" s="336"/>
    </row>
    <row r="81" spans="1:19" ht="46.9" thickBot="1" x14ac:dyDescent="0.5">
      <c r="A81" s="22"/>
      <c r="B81" s="1676" t="s">
        <v>73</v>
      </c>
      <c r="C81" s="1678">
        <f>M5</f>
        <v>3.5714285714285716</v>
      </c>
      <c r="D81" s="999" t="s">
        <v>267</v>
      </c>
      <c r="E81" s="931">
        <f>$C$81/2</f>
        <v>1.7857142857142858</v>
      </c>
      <c r="F81" s="1124" t="s">
        <v>278</v>
      </c>
      <c r="G81" s="978">
        <f>E81/1</f>
        <v>1.7857142857142858</v>
      </c>
      <c r="H81" s="579"/>
      <c r="I81" s="579"/>
      <c r="J81" s="1088">
        <f>IF(I81=H81,(H81-50),H81-I81)</f>
        <v>-50</v>
      </c>
      <c r="K81" s="980">
        <f>IF(I81&gt;=50,0,((50-I81)*(6/10)))</f>
        <v>30</v>
      </c>
      <c r="L81" s="1193">
        <f>I81+K81</f>
        <v>30</v>
      </c>
      <c r="M81" s="989" t="str">
        <f>IF(H81=0,"0%",J81/K81)</f>
        <v>0%</v>
      </c>
      <c r="N81" s="1627">
        <f>(((G81/C81)*M81)+((G82/C81)*M82))</f>
        <v>0.1926691729323308</v>
      </c>
      <c r="O81" s="1646">
        <f>IF((((G81/C81)*M81)+((G82/C81)*M82))&gt;=1,3.57148,IF((((G81/C81)*M81)+((G82/C81)*M82))&lt;=0,0, (((G81/C81)*M81)+((G82/C81)*M82))*3.571428))</f>
        <v>0.68810407894736836</v>
      </c>
      <c r="P81" s="1630">
        <f>O81/3.571428</f>
        <v>0.1926691729323308</v>
      </c>
      <c r="Q81" s="1194" t="s">
        <v>279</v>
      </c>
      <c r="R81" s="359"/>
      <c r="S81" s="193" t="s">
        <v>615</v>
      </c>
    </row>
    <row r="82" spans="1:19" ht="39.6" customHeight="1" thickBot="1" x14ac:dyDescent="0.5">
      <c r="A82" s="22"/>
      <c r="B82" s="1677"/>
      <c r="C82" s="1575"/>
      <c r="D82" s="1024" t="s">
        <v>268</v>
      </c>
      <c r="E82" s="944">
        <f>$C$81/2</f>
        <v>1.7857142857142858</v>
      </c>
      <c r="F82" s="1025" t="s">
        <v>74</v>
      </c>
      <c r="G82" s="992">
        <f>E82/1</f>
        <v>1.7857142857142858</v>
      </c>
      <c r="H82" s="1348">
        <v>8.1999999999999993</v>
      </c>
      <c r="I82" s="1348">
        <v>8.1999999999999993</v>
      </c>
      <c r="J82" s="1195">
        <f>IF(I82=H82,(H82-30),H82-I82)</f>
        <v>-21.8</v>
      </c>
      <c r="K82" s="994">
        <f>IF(I82&gt;=30,0,((30-I82)*(6/10)))</f>
        <v>13.08</v>
      </c>
      <c r="L82" s="1196">
        <f t="shared" ref="L82" si="31">K82+I82</f>
        <v>21.28</v>
      </c>
      <c r="M82" s="950">
        <f>IF(I82&gt;=30,(1+(H82-30)/30),(H82/L82))</f>
        <v>0.38533834586466159</v>
      </c>
      <c r="N82" s="1629"/>
      <c r="O82" s="1647"/>
      <c r="P82" s="1631"/>
      <c r="Q82" s="1197" t="s">
        <v>282</v>
      </c>
      <c r="R82" s="360"/>
      <c r="S82" s="345"/>
    </row>
    <row r="83" spans="1:19" ht="60" customHeight="1" thickBot="1" x14ac:dyDescent="0.5">
      <c r="A83" s="22"/>
      <c r="B83" s="1660" t="s">
        <v>142</v>
      </c>
      <c r="C83" s="1662">
        <f>M5</f>
        <v>3.5714285714285716</v>
      </c>
      <c r="D83" s="1198" t="s">
        <v>145</v>
      </c>
      <c r="E83" s="931">
        <f>$C$81/3</f>
        <v>1.1904761904761905</v>
      </c>
      <c r="F83" s="999" t="s">
        <v>143</v>
      </c>
      <c r="G83" s="931">
        <f>E83/1</f>
        <v>1.1904761904761905</v>
      </c>
      <c r="H83" s="579"/>
      <c r="I83" s="579"/>
      <c r="J83" s="1199">
        <f>I83-H83</f>
        <v>0</v>
      </c>
      <c r="K83" s="1077">
        <f>(0.2*I83)*(6/10)</f>
        <v>0</v>
      </c>
      <c r="L83" s="1200">
        <f>I83-K83</f>
        <v>0</v>
      </c>
      <c r="M83" s="935" t="str">
        <f>IF(K83&lt;&gt;0,J83/K83,"0%")</f>
        <v>0%</v>
      </c>
      <c r="N83" s="1665">
        <f>(((G83/C83)*M83)+((G84/C83)*M84)+((G85/C83)*M85))</f>
        <v>0</v>
      </c>
      <c r="O83" s="1632">
        <f>IF((((G83/C83)*M83)+((G84/C83)*M84)+((G85/C83)*M85))&gt;=1,3.571428,IF((((G83/C83)*M83)+((G84/C83)*M84)+((G85/C83)*M85))&lt;=0,0,(((G83/C83)*M83)+((G84/C83)*M84)+((G85/C83)*M85))*3.571428))</f>
        <v>0</v>
      </c>
      <c r="P83" s="1630">
        <f>O83/3.571428</f>
        <v>0</v>
      </c>
      <c r="Q83" s="1201" t="s">
        <v>184</v>
      </c>
      <c r="R83" s="361"/>
      <c r="S83" s="193" t="s">
        <v>615</v>
      </c>
    </row>
    <row r="84" spans="1:19" ht="45" customHeight="1" thickBot="1" x14ac:dyDescent="0.5">
      <c r="A84" s="22"/>
      <c r="B84" s="1660"/>
      <c r="C84" s="1663"/>
      <c r="D84" s="1202" t="s">
        <v>146</v>
      </c>
      <c r="E84" s="1005">
        <f t="shared" ref="E84:E85" si="32">$C$81/3</f>
        <v>1.1904761904761905</v>
      </c>
      <c r="F84" s="1128" t="s">
        <v>283</v>
      </c>
      <c r="G84" s="1005">
        <f>E84/1</f>
        <v>1.1904761904761905</v>
      </c>
      <c r="H84" s="580"/>
      <c r="I84" s="580"/>
      <c r="J84" s="1203">
        <f>I84-H84</f>
        <v>0</v>
      </c>
      <c r="K84" s="1077">
        <f>(0.5*I84)*(6/10)</f>
        <v>0</v>
      </c>
      <c r="L84" s="1204">
        <f>I84-K84</f>
        <v>0</v>
      </c>
      <c r="M84" s="989" t="str">
        <f>IF(H84=0,"0%",J84/K84)</f>
        <v>0%</v>
      </c>
      <c r="N84" s="1666"/>
      <c r="O84" s="1633"/>
      <c r="P84" s="1635"/>
      <c r="Q84" s="1205" t="s">
        <v>185</v>
      </c>
      <c r="R84" s="362"/>
      <c r="S84" s="193" t="s">
        <v>615</v>
      </c>
    </row>
    <row r="85" spans="1:19" ht="38.450000000000003" customHeight="1" thickBot="1" x14ac:dyDescent="0.5">
      <c r="A85" s="22"/>
      <c r="B85" s="1661"/>
      <c r="C85" s="1664"/>
      <c r="D85" s="1206" t="s">
        <v>147</v>
      </c>
      <c r="E85" s="944">
        <f t="shared" si="32"/>
        <v>1.1904761904761905</v>
      </c>
      <c r="F85" s="1025" t="s">
        <v>144</v>
      </c>
      <c r="G85" s="944">
        <f>E85/1</f>
        <v>1.1904761904761905</v>
      </c>
      <c r="H85" s="581"/>
      <c r="I85" s="579"/>
      <c r="J85" s="1207">
        <f>H85-I85</f>
        <v>0</v>
      </c>
      <c r="K85" s="1208">
        <f>(100-I85)*(6/10)</f>
        <v>60</v>
      </c>
      <c r="L85" s="1209">
        <f>I85+K85</f>
        <v>60</v>
      </c>
      <c r="M85" s="971">
        <f>IF(K85&lt;&gt;0,J85/K85,"0%")</f>
        <v>0</v>
      </c>
      <c r="N85" s="1667"/>
      <c r="O85" s="1634"/>
      <c r="P85" s="1631"/>
      <c r="Q85" s="1210" t="s">
        <v>284</v>
      </c>
      <c r="R85" s="363"/>
      <c r="S85" s="193" t="s">
        <v>615</v>
      </c>
    </row>
    <row r="86" spans="1:19" ht="20.45" customHeight="1" thickBot="1" x14ac:dyDescent="0.5">
      <c r="B86" s="1648" t="s">
        <v>75</v>
      </c>
      <c r="C86" s="1649"/>
      <c r="D86" s="1649"/>
      <c r="E86" s="1649"/>
      <c r="F86" s="1650"/>
      <c r="G86" s="1162"/>
      <c r="H86" s="150"/>
      <c r="I86" s="151"/>
      <c r="J86" s="1211"/>
      <c r="K86" s="1212"/>
      <c r="L86" s="1212"/>
      <c r="M86" s="1018"/>
      <c r="N86" s="911">
        <f>N87</f>
        <v>0.20833333333333331</v>
      </c>
      <c r="O86" s="912">
        <f>O87</f>
        <v>0.74404749999999997</v>
      </c>
      <c r="P86" s="913">
        <f>O86/3.571428</f>
        <v>0.20833333333333331</v>
      </c>
      <c r="Q86" s="1085"/>
      <c r="R86" s="349"/>
      <c r="S86" s="349"/>
    </row>
    <row r="87" spans="1:19" ht="27.6" customHeight="1" thickBot="1" x14ac:dyDescent="0.5">
      <c r="A87" s="1651">
        <v>24</v>
      </c>
      <c r="B87" s="1652" t="s">
        <v>76</v>
      </c>
      <c r="C87" s="1654">
        <f>M5</f>
        <v>3.5714285714285716</v>
      </c>
      <c r="D87" s="1073" t="s">
        <v>159</v>
      </c>
      <c r="E87" s="1074">
        <f>($C$87/3)</f>
        <v>1.1904761904761905</v>
      </c>
      <c r="F87" s="1213" t="s">
        <v>285</v>
      </c>
      <c r="G87" s="1214">
        <f>E87/1</f>
        <v>1.1904761904761905</v>
      </c>
      <c r="H87" s="582"/>
      <c r="I87" s="583"/>
      <c r="J87" s="1215">
        <f>I87-H87</f>
        <v>0</v>
      </c>
      <c r="K87" s="1216">
        <f>(0.25*I87)*(6/10)</f>
        <v>0</v>
      </c>
      <c r="L87" s="1217">
        <f>I87-K87</f>
        <v>0</v>
      </c>
      <c r="M87" s="935" t="str">
        <f>IF(K87&lt;&gt;0,J87/K87,"0%")</f>
        <v>0%</v>
      </c>
      <c r="N87" s="1657">
        <f>(((G87/C87)*M87)+((G88/C87)*M88)+((G89/C87)*M89)+((G90/C87)*M90)+((G91/C87)*M91))</f>
        <v>0.20833333333333331</v>
      </c>
      <c r="O87" s="1632">
        <f>IF((((G87/C87)*M87)+((G88/C87)*M88)+((G89/C87)*M89)+((G90/C87)*M90)+((G91/C87)*M91))&gt;=1,3.571428,IF((((G87/C87)*M87)+((G88/C87)*M88)+((G89/C87)*M89)+((G90/C87)*M90)+((G91/C87)*M91))&lt;=0,0,((((G87/C87)*M87)+((G88/C87)*M88)+((G89/C87)*M89)+((G90/C87)*M90)+((G91/C87)*M91))*3.571428)))</f>
        <v>0.74404749999999997</v>
      </c>
      <c r="P87" s="1630">
        <f>O87/3.571428</f>
        <v>0.20833333333333331</v>
      </c>
      <c r="Q87" s="1218" t="s">
        <v>186</v>
      </c>
      <c r="R87" s="364"/>
      <c r="S87" s="193" t="s">
        <v>615</v>
      </c>
    </row>
    <row r="88" spans="1:19" ht="25.8" customHeight="1" thickBot="1" x14ac:dyDescent="0.5">
      <c r="A88" s="1651"/>
      <c r="B88" s="1652"/>
      <c r="C88" s="1655"/>
      <c r="D88" s="1668" t="s">
        <v>160</v>
      </c>
      <c r="E88" s="1669">
        <f>C87/3</f>
        <v>1.1904761904761905</v>
      </c>
      <c r="F88" s="1006" t="s">
        <v>77</v>
      </c>
      <c r="G88" s="1219">
        <f>$E$88/3</f>
        <v>0.3968253968253968</v>
      </c>
      <c r="H88" s="584"/>
      <c r="I88" s="585"/>
      <c r="J88" s="1220">
        <f>I88-H88</f>
        <v>0</v>
      </c>
      <c r="K88" s="1221">
        <f>I88*(6/10)</f>
        <v>0</v>
      </c>
      <c r="L88" s="1222">
        <f>I88-K88</f>
        <v>0</v>
      </c>
      <c r="M88" s="989" t="str">
        <f>IF(K88&lt;&gt;0,J88/K88,"0%")</f>
        <v>0%</v>
      </c>
      <c r="N88" s="1658"/>
      <c r="O88" s="1633"/>
      <c r="P88" s="1635"/>
      <c r="Q88" s="1223" t="s">
        <v>187</v>
      </c>
      <c r="R88" s="365"/>
      <c r="S88" s="193" t="s">
        <v>615</v>
      </c>
    </row>
    <row r="89" spans="1:19" ht="59.65" customHeight="1" thickBot="1" x14ac:dyDescent="0.5">
      <c r="A89" s="1651"/>
      <c r="B89" s="1652"/>
      <c r="C89" s="1655"/>
      <c r="D89" s="1668"/>
      <c r="E89" s="1669"/>
      <c r="F89" s="1006" t="s">
        <v>78</v>
      </c>
      <c r="G89" s="1219">
        <f>$E$88/3</f>
        <v>0.3968253968253968</v>
      </c>
      <c r="H89" s="586"/>
      <c r="I89" s="587"/>
      <c r="J89" s="1220">
        <f>I89-H89</f>
        <v>0</v>
      </c>
      <c r="K89" s="1221">
        <f>I89*(6/10)</f>
        <v>0</v>
      </c>
      <c r="L89" s="1222">
        <f>I89-K89</f>
        <v>0</v>
      </c>
      <c r="M89" s="989" t="str">
        <f>IF(K89&lt;&gt;0,J89/K89,"0%")</f>
        <v>0%</v>
      </c>
      <c r="N89" s="1658"/>
      <c r="O89" s="1633"/>
      <c r="P89" s="1635"/>
      <c r="Q89" s="1223" t="s">
        <v>188</v>
      </c>
      <c r="R89" s="365"/>
      <c r="S89" s="193" t="s">
        <v>615</v>
      </c>
    </row>
    <row r="90" spans="1:19" ht="26.45" customHeight="1" thickBot="1" x14ac:dyDescent="0.5">
      <c r="A90" s="1651"/>
      <c r="B90" s="1652"/>
      <c r="C90" s="1655"/>
      <c r="D90" s="1668"/>
      <c r="E90" s="1669"/>
      <c r="F90" s="1006" t="s">
        <v>79</v>
      </c>
      <c r="G90" s="1219">
        <f>$E$88/3</f>
        <v>0.3968253968253968</v>
      </c>
      <c r="H90" s="509"/>
      <c r="I90" s="510"/>
      <c r="J90" s="1220">
        <f>I90-H90</f>
        <v>0</v>
      </c>
      <c r="K90" s="1224">
        <f>(I90)*(6/10)</f>
        <v>0</v>
      </c>
      <c r="L90" s="1225">
        <f>I90-K90</f>
        <v>0</v>
      </c>
      <c r="M90" s="989" t="str">
        <f>IF(H90=0,"0%",J90/K90)</f>
        <v>0%</v>
      </c>
      <c r="N90" s="1658"/>
      <c r="O90" s="1633"/>
      <c r="P90" s="1635"/>
      <c r="Q90" s="1226" t="s">
        <v>189</v>
      </c>
      <c r="R90" s="365"/>
      <c r="S90" s="193" t="s">
        <v>615</v>
      </c>
    </row>
    <row r="91" spans="1:19" ht="40.799999999999997" customHeight="1" thickBot="1" x14ac:dyDescent="0.5">
      <c r="A91" s="1651"/>
      <c r="B91" s="1653"/>
      <c r="C91" s="1656"/>
      <c r="D91" s="991" t="s">
        <v>161</v>
      </c>
      <c r="E91" s="944">
        <f>$C$87/3</f>
        <v>1.1904761904761905</v>
      </c>
      <c r="F91" s="1227" t="s">
        <v>80</v>
      </c>
      <c r="G91" s="1228">
        <f>E91/1</f>
        <v>1.1904761904761905</v>
      </c>
      <c r="H91" s="727">
        <v>50</v>
      </c>
      <c r="I91" s="728">
        <v>50</v>
      </c>
      <c r="J91" s="1229">
        <f>H91-I91</f>
        <v>0</v>
      </c>
      <c r="K91" s="1208">
        <f>(100-I91)*(6/10)</f>
        <v>30</v>
      </c>
      <c r="L91" s="1230">
        <f>I91+K91</f>
        <v>80</v>
      </c>
      <c r="M91" s="950">
        <f>IF(I91&gt;=60,(1+(H91-60)/60),(H91/L91))</f>
        <v>0.625</v>
      </c>
      <c r="N91" s="1659"/>
      <c r="O91" s="1634"/>
      <c r="P91" s="1631"/>
      <c r="Q91" s="1231" t="s">
        <v>95</v>
      </c>
      <c r="R91" s="366"/>
      <c r="S91" s="574" t="s">
        <v>585</v>
      </c>
    </row>
    <row r="92" spans="1:19" ht="14.65" thickBot="1" x14ac:dyDescent="0.5">
      <c r="B92" s="1586" t="s">
        <v>81</v>
      </c>
      <c r="C92" s="1587"/>
      <c r="D92" s="1587"/>
      <c r="E92" s="1587"/>
      <c r="F92" s="1588"/>
      <c r="G92" s="11"/>
      <c r="H92" s="146"/>
      <c r="I92" s="147"/>
      <c r="J92" s="225"/>
      <c r="K92" s="11"/>
      <c r="L92" s="11"/>
      <c r="M92" s="223"/>
      <c r="N92" s="911">
        <f>(N93+N97)/2</f>
        <v>6.9328896283971072E-3</v>
      </c>
      <c r="O92" s="912">
        <f>(O93+O97)</f>
        <v>0.14856189683860216</v>
      </c>
      <c r="P92" s="913">
        <f>O92/14.285712</f>
        <v>1.0399334442595661E-2</v>
      </c>
      <c r="Q92" s="1099"/>
      <c r="R92" s="348"/>
      <c r="S92" s="358"/>
    </row>
    <row r="93" spans="1:19" ht="20.45" customHeight="1" thickBot="1" x14ac:dyDescent="0.5">
      <c r="B93" s="1614" t="s">
        <v>82</v>
      </c>
      <c r="C93" s="1615"/>
      <c r="D93" s="1615"/>
      <c r="E93" s="1615"/>
      <c r="F93" s="1616"/>
      <c r="G93" s="996"/>
      <c r="H93" s="136"/>
      <c r="I93" s="137"/>
      <c r="J93" s="1017"/>
      <c r="K93" s="1017"/>
      <c r="L93" s="1017"/>
      <c r="M93" s="1018"/>
      <c r="N93" s="911">
        <f>N94</f>
        <v>0</v>
      </c>
      <c r="O93" s="912">
        <f>O94</f>
        <v>0</v>
      </c>
      <c r="P93" s="913">
        <f>O93/3.571428</f>
        <v>0</v>
      </c>
      <c r="Q93" s="1086"/>
      <c r="R93" s="336"/>
      <c r="S93" s="349"/>
    </row>
    <row r="94" spans="1:19" ht="34.799999999999997" customHeight="1" thickBot="1" x14ac:dyDescent="0.5">
      <c r="A94" s="1617">
        <v>25</v>
      </c>
      <c r="B94" s="1618" t="s">
        <v>83</v>
      </c>
      <c r="C94" s="1621">
        <f>M5</f>
        <v>3.5714285714285716</v>
      </c>
      <c r="D94" s="1624" t="s">
        <v>214</v>
      </c>
      <c r="E94" s="1087">
        <f>$C$94/3</f>
        <v>1.1904761904761905</v>
      </c>
      <c r="F94" s="999" t="s">
        <v>269</v>
      </c>
      <c r="G94" s="1232">
        <f>E94/1</f>
        <v>1.1904761904761905</v>
      </c>
      <c r="H94" s="489"/>
      <c r="I94" s="490"/>
      <c r="J94" s="1233">
        <f>H94-I94</f>
        <v>0</v>
      </c>
      <c r="K94" s="1234">
        <f>(100-I94)*(6/10)</f>
        <v>60</v>
      </c>
      <c r="L94" s="1235">
        <f>I94+K94</f>
        <v>60</v>
      </c>
      <c r="M94" s="935">
        <f>IF(K94&lt;&gt;0,J94/K94,"100%")</f>
        <v>0</v>
      </c>
      <c r="N94" s="1627">
        <f>(((G94/C94)*M94)+((G95/C94)*M95)+((G96/C94)*M96))</f>
        <v>0</v>
      </c>
      <c r="O94" s="1632">
        <f>IF((((G94/C94)*M94)+((G95/C94)*M95)+((G96/C94)*M96))&gt;=1,3.571428,IF((((G94/C94)*M94)+((G95/C94)*M95)+((G96/C94)*M96))&lt;=0,0,(((G94/C94)*M94)+((G95/C94)*M95)+((G96/C94)*M96))*3.571428))</f>
        <v>0</v>
      </c>
      <c r="P94" s="1630">
        <f>O94/3.571428</f>
        <v>0</v>
      </c>
      <c r="Q94" s="1236" t="s">
        <v>190</v>
      </c>
      <c r="R94" s="327"/>
      <c r="S94" s="193" t="s">
        <v>615</v>
      </c>
    </row>
    <row r="95" spans="1:19" ht="39.6" customHeight="1" thickBot="1" x14ac:dyDescent="0.5">
      <c r="A95" s="1617"/>
      <c r="B95" s="1619"/>
      <c r="C95" s="1622"/>
      <c r="D95" s="1625"/>
      <c r="E95" s="1237">
        <f t="shared" ref="E95:E96" si="33">$C$94/3</f>
        <v>1.1904761904761905</v>
      </c>
      <c r="F95" s="1128" t="s">
        <v>270</v>
      </c>
      <c r="G95" s="1219">
        <f>E95/1</f>
        <v>1.1904761904761905</v>
      </c>
      <c r="H95" s="470"/>
      <c r="I95" s="501"/>
      <c r="J95" s="1220">
        <f>IF(AND(I95&gt;1,(H95-I95=0)),(H95-1),(H95-I95))</f>
        <v>0</v>
      </c>
      <c r="K95" s="1066">
        <f>IF(AND(I95&gt;=1,H95&gt;=1),"0",((1-I95)*(6/10)))</f>
        <v>0.6</v>
      </c>
      <c r="L95" s="1238">
        <f t="shared" ref="L95:L96" si="34">I95+K95</f>
        <v>0.6</v>
      </c>
      <c r="M95" s="989">
        <f>IF(I95&gt;=1,(1+(H95-1)/1),(J95/K95))</f>
        <v>0</v>
      </c>
      <c r="N95" s="1628"/>
      <c r="O95" s="1633"/>
      <c r="P95" s="1635"/>
      <c r="Q95" s="1239" t="s">
        <v>191</v>
      </c>
      <c r="R95" s="335"/>
      <c r="S95" s="193" t="s">
        <v>615</v>
      </c>
    </row>
    <row r="96" spans="1:19" ht="41.45" customHeight="1" thickBot="1" x14ac:dyDescent="0.5">
      <c r="A96" s="1617"/>
      <c r="B96" s="1620"/>
      <c r="C96" s="1623"/>
      <c r="D96" s="1626"/>
      <c r="E96" s="1090">
        <f t="shared" si="33"/>
        <v>1.1904761904761905</v>
      </c>
      <c r="F96" s="1024" t="s">
        <v>84</v>
      </c>
      <c r="G96" s="1228">
        <f>E96/1</f>
        <v>1.1904761904761905</v>
      </c>
      <c r="H96" s="475"/>
      <c r="I96" s="476"/>
      <c r="J96" s="1229">
        <f>H96-I96</f>
        <v>0</v>
      </c>
      <c r="K96" s="1208">
        <f>(100-I96)*(6/10)</f>
        <v>60</v>
      </c>
      <c r="L96" s="1230">
        <f t="shared" si="34"/>
        <v>60</v>
      </c>
      <c r="M96" s="950">
        <f>IF(K96&lt;&gt;0,J96/K96,"100%")</f>
        <v>0</v>
      </c>
      <c r="N96" s="1629"/>
      <c r="O96" s="1634"/>
      <c r="P96" s="1631"/>
      <c r="Q96" s="1240" t="s">
        <v>95</v>
      </c>
      <c r="R96" s="345"/>
      <c r="S96" s="193" t="s">
        <v>615</v>
      </c>
    </row>
    <row r="97" spans="1:19" ht="18" customHeight="1" thickBot="1" x14ac:dyDescent="0.5">
      <c r="B97" s="1636" t="s">
        <v>85</v>
      </c>
      <c r="C97" s="1637"/>
      <c r="D97" s="1637"/>
      <c r="E97" s="1637"/>
      <c r="F97" s="1638"/>
      <c r="G97" s="1241"/>
      <c r="H97" s="125"/>
      <c r="I97" s="126"/>
      <c r="J97" s="1241"/>
      <c r="K97" s="1242"/>
      <c r="L97" s="1242"/>
      <c r="M97" s="1243"/>
      <c r="N97" s="1244">
        <f>(N98+N99+N100)/3</f>
        <v>1.3865779256794214E-2</v>
      </c>
      <c r="O97" s="1245">
        <f>(O98+O99+O100)</f>
        <v>0.14856189683860216</v>
      </c>
      <c r="P97" s="913">
        <f>O97/10.714284</f>
        <v>1.3865779256794216E-2</v>
      </c>
      <c r="Q97" s="1246"/>
      <c r="R97" s="336"/>
      <c r="S97" s="336"/>
    </row>
    <row r="98" spans="1:19" ht="29.45" customHeight="1" thickBot="1" x14ac:dyDescent="0.5">
      <c r="A98" s="22">
        <v>26</v>
      </c>
      <c r="B98" s="1032" t="s">
        <v>86</v>
      </c>
      <c r="C98" s="1033">
        <f>$M$5</f>
        <v>3.5714285714285716</v>
      </c>
      <c r="D98" s="1032" t="s">
        <v>215</v>
      </c>
      <c r="E98" s="1033">
        <f>C98/1</f>
        <v>3.5714285714285716</v>
      </c>
      <c r="F98" s="1163" t="s">
        <v>291</v>
      </c>
      <c r="G98" s="1033">
        <f>E98/1</f>
        <v>3.5714285714285716</v>
      </c>
      <c r="H98" s="588"/>
      <c r="I98" s="589"/>
      <c r="J98" s="1248">
        <f>IF(I98=H98,(H98-10),H98-I98)</f>
        <v>-10</v>
      </c>
      <c r="K98" s="1051">
        <f>IF(I98&gt;=10,0,((10-I98)*(6/10)))</f>
        <v>6</v>
      </c>
      <c r="L98" s="1158">
        <f>I98+K98</f>
        <v>6</v>
      </c>
      <c r="M98" s="989" t="str">
        <f>IF(H98=0,"0%",J98/K98)</f>
        <v>0%</v>
      </c>
      <c r="N98" s="1159">
        <f>((G98/C98)*M98)</f>
        <v>0</v>
      </c>
      <c r="O98" s="1041">
        <f>IF(((G98/C98)*M98)&gt;=1,3.571428,IF(((G98/C98)*M98)&lt;=0,0,((G98/C98)*M98)*3.571428))</f>
        <v>0</v>
      </c>
      <c r="P98" s="913">
        <f>O98/3.571428</f>
        <v>0</v>
      </c>
      <c r="Q98" s="1249" t="s">
        <v>95</v>
      </c>
      <c r="R98" s="367"/>
      <c r="S98" s="193" t="s">
        <v>615</v>
      </c>
    </row>
    <row r="99" spans="1:19" ht="35.25" thickBot="1" x14ac:dyDescent="0.5">
      <c r="A99" s="22">
        <v>27</v>
      </c>
      <c r="B99" s="1032" t="s">
        <v>87</v>
      </c>
      <c r="C99" s="1033">
        <f>$M$5</f>
        <v>3.5714285714285716</v>
      </c>
      <c r="D99" s="1032" t="s">
        <v>216</v>
      </c>
      <c r="E99" s="1033">
        <f>C99/1</f>
        <v>3.5714285714285716</v>
      </c>
      <c r="F99" s="1163" t="s">
        <v>271</v>
      </c>
      <c r="G99" s="1033">
        <f>E99/1</f>
        <v>3.5714285714285716</v>
      </c>
      <c r="H99" s="1349">
        <v>16.399999999999999</v>
      </c>
      <c r="I99" s="1350">
        <v>14.9</v>
      </c>
      <c r="J99" s="1248">
        <f>IF(I99=H99,(H99-75),H99-I99)</f>
        <v>1.4999999999999982</v>
      </c>
      <c r="K99" s="1051">
        <f>IF(I99&gt;=75,0,((75-I99)*(6/10)))</f>
        <v>36.06</v>
      </c>
      <c r="L99" s="1182">
        <f>I99+K99</f>
        <v>50.96</v>
      </c>
      <c r="M99" s="1250">
        <f>IF(I99&gt;=75,(1+(H99-75)/75),(J99/K99))</f>
        <v>4.1597337770382645E-2</v>
      </c>
      <c r="N99" s="1159">
        <f>((G99/C99)*M99)</f>
        <v>4.1597337770382645E-2</v>
      </c>
      <c r="O99" s="1041">
        <f>IF(((G99/C99)*M99)&gt;=1,3.571428,IF(((G99/C99)*M99)&lt;=0,0,((G99/C99)*M99)*3.571428))</f>
        <v>0.14856189683860216</v>
      </c>
      <c r="P99" s="913">
        <f>O99/3.571428</f>
        <v>4.1597337770382645E-2</v>
      </c>
      <c r="Q99" s="1249" t="s">
        <v>192</v>
      </c>
      <c r="R99" s="368"/>
      <c r="S99" s="358"/>
    </row>
    <row r="100" spans="1:19" ht="30.75" thickBot="1" x14ac:dyDescent="0.5">
      <c r="A100" s="1617">
        <v>28</v>
      </c>
      <c r="B100" s="1639" t="s">
        <v>88</v>
      </c>
      <c r="C100" s="1641">
        <f>M5</f>
        <v>3.5714285714285716</v>
      </c>
      <c r="D100" s="1639" t="s">
        <v>217</v>
      </c>
      <c r="E100" s="1641">
        <f>C100/1</f>
        <v>3.5714285714285716</v>
      </c>
      <c r="F100" s="1124" t="s">
        <v>89</v>
      </c>
      <c r="G100" s="931">
        <f>$E$100/2</f>
        <v>1.7857142857142858</v>
      </c>
      <c r="H100" s="590"/>
      <c r="I100" s="523"/>
      <c r="J100" s="1252">
        <f>IF(I100=H100,(25-H100),I100-H100)</f>
        <v>25</v>
      </c>
      <c r="K100" s="1105">
        <f>IF(I100&lt;=25,0,((0.25*I100)*(6/10)))</f>
        <v>0</v>
      </c>
      <c r="L100" s="1253">
        <f>I100-K100</f>
        <v>0</v>
      </c>
      <c r="M100" s="989" t="str">
        <f>IF(H100=0,"0%",J100/K100)</f>
        <v>0%</v>
      </c>
      <c r="N100" s="1644">
        <f>((G100/$C$100)*M100)+((G101/$C$100)*M101)</f>
        <v>0</v>
      </c>
      <c r="O100" s="1646">
        <f>IF((((G100/C100)*M100)+((G101/C100)*M101))&gt;=1,3.57148,IF((((G100/C100)*M100)+((G101/C100)*M101))&lt;=0,0, (((G100/C100)*M100)+((G101/C100)*M101))*3.571428))</f>
        <v>0</v>
      </c>
      <c r="P100" s="1630">
        <f>O100/3.571428</f>
        <v>0</v>
      </c>
      <c r="Q100" s="1254" t="s">
        <v>193</v>
      </c>
      <c r="R100" s="369"/>
      <c r="S100" s="193" t="s">
        <v>615</v>
      </c>
    </row>
    <row r="101" spans="1:19" ht="38.450000000000003" customHeight="1" thickBot="1" x14ac:dyDescent="0.5">
      <c r="A101" s="1617"/>
      <c r="B101" s="1640"/>
      <c r="C101" s="1642"/>
      <c r="D101" s="1640"/>
      <c r="E101" s="1643"/>
      <c r="F101" s="1024" t="s">
        <v>90</v>
      </c>
      <c r="G101" s="944">
        <f>$E$100/2</f>
        <v>1.7857142857142858</v>
      </c>
      <c r="H101" s="591"/>
      <c r="I101" s="592"/>
      <c r="J101" s="1255">
        <f>IF(I101=H101,(H101-25),H101-I101)</f>
        <v>-25</v>
      </c>
      <c r="K101" s="994">
        <f>IF(I101&gt;=25,0,((25-I101)*(6/10)))</f>
        <v>15</v>
      </c>
      <c r="L101" s="1256">
        <f t="shared" ref="L101" si="35">K101+I101</f>
        <v>15</v>
      </c>
      <c r="M101" s="989" t="str">
        <f>IF(H101=0,"0%",J101/K101)</f>
        <v>0%</v>
      </c>
      <c r="N101" s="1645"/>
      <c r="O101" s="1647"/>
      <c r="P101" s="1631"/>
      <c r="Q101" s="1257" t="s">
        <v>95</v>
      </c>
      <c r="R101" s="370"/>
      <c r="S101" s="193" t="s">
        <v>615</v>
      </c>
    </row>
    <row r="102" spans="1:19" ht="34.25" customHeight="1" thickBot="1" x14ac:dyDescent="0.5">
      <c r="B102" s="1258" t="s">
        <v>194</v>
      </c>
      <c r="C102" s="1259">
        <f>C11+C13+C15+C19+C24+C33+C34+C35+C36+C38+C41+C44+C48+C51+C53+C61+C68+C71+C73+C75+C78+C81+C83+C87+C94+C98+C99+C100</f>
        <v>99.999999999999972</v>
      </c>
      <c r="D102" s="1260"/>
      <c r="E102" s="1259">
        <f>E11+E12+E13+E14+E15+E19+E20+E21+E22+E24+E25+E28+E31+E33+E34+E35+E36+E38+E39+E41+E42+E44+E45+E48+E49++E51+E53+E54+E55+E56+E57+E61+E62+E63+E64+E68+E71+E73+E75+E78+E81++E82+E83+E84+E85+E87+E88+E91+E94+E95+E96+E98+E99+E100</f>
        <v>100.00714285714285</v>
      </c>
      <c r="F102" s="1261"/>
      <c r="G102" s="1259">
        <f>G11+G12+G13+G14+G15+G16+G17+G19+G20+G21+G22+G24+G25+G26+G27+G28+G29+G30+G31+G33+G34+G35+G36+G38+G39+G41+G42+G44+G45+G48+G49+G51+G53+G54+G55+G56+G57+G58+G61+G62+G63+G64+G65+G66+G68+G71+G73+G75+G78+G81+G82+G83+G84+G85+G87+G88+G89+G90+G91+G94+G95+G96+G98+G99+G100+G101</f>
        <v>100.00714285714285</v>
      </c>
      <c r="H102" s="1262"/>
      <c r="I102" s="1263"/>
      <c r="J102" s="1262"/>
      <c r="K102" s="1264"/>
      <c r="L102" s="1261"/>
      <c r="M102" s="1265"/>
      <c r="N102" s="1266"/>
      <c r="O102" s="1267"/>
      <c r="P102" s="1267"/>
      <c r="Q102" s="1268"/>
      <c r="R102" s="26"/>
      <c r="S102" s="27"/>
    </row>
    <row r="104" spans="1:19" ht="15.75" x14ac:dyDescent="0.5">
      <c r="B104" s="28"/>
    </row>
    <row r="107" spans="1:19" ht="15.75" x14ac:dyDescent="0.5">
      <c r="B107" s="28"/>
    </row>
    <row r="108" spans="1:19" x14ac:dyDescent="0.45">
      <c r="B108" s="29"/>
    </row>
    <row r="109" spans="1:19" x14ac:dyDescent="0.45">
      <c r="B109" s="29"/>
    </row>
    <row r="111" spans="1:19" x14ac:dyDescent="0.45">
      <c r="E111"/>
      <c r="F111" s="1269" t="s">
        <v>196</v>
      </c>
    </row>
    <row r="112" spans="1:19" x14ac:dyDescent="0.45">
      <c r="E112" s="1270">
        <v>1</v>
      </c>
      <c r="F112" s="1270" t="s">
        <v>197</v>
      </c>
    </row>
    <row r="113" spans="5:6" x14ac:dyDescent="0.45">
      <c r="E113" s="1270">
        <v>2</v>
      </c>
      <c r="F113" s="1270" t="s">
        <v>227</v>
      </c>
    </row>
    <row r="114" spans="5:6" x14ac:dyDescent="0.45">
      <c r="E114" s="1270">
        <v>3</v>
      </c>
      <c r="F114" s="1270" t="s">
        <v>228</v>
      </c>
    </row>
    <row r="115" spans="5:6" x14ac:dyDescent="0.45">
      <c r="E115" s="1270">
        <v>4</v>
      </c>
      <c r="F115" s="1270" t="s">
        <v>229</v>
      </c>
    </row>
    <row r="116" spans="5:6" x14ac:dyDescent="0.45">
      <c r="E116" s="1270">
        <v>5</v>
      </c>
      <c r="F116" s="1270" t="s">
        <v>198</v>
      </c>
    </row>
    <row r="117" spans="5:6" x14ac:dyDescent="0.45">
      <c r="E117" s="1270">
        <v>6</v>
      </c>
      <c r="F117" s="1270" t="s">
        <v>230</v>
      </c>
    </row>
    <row r="118" spans="5:6" x14ac:dyDescent="0.45">
      <c r="E118" s="1270">
        <v>7</v>
      </c>
      <c r="F118" s="1270" t="s">
        <v>231</v>
      </c>
    </row>
    <row r="119" spans="5:6" x14ac:dyDescent="0.45">
      <c r="E119" s="1270">
        <v>8</v>
      </c>
      <c r="F119" s="1270" t="s">
        <v>199</v>
      </c>
    </row>
    <row r="120" spans="5:6" x14ac:dyDescent="0.45">
      <c r="E120" s="1270">
        <v>9</v>
      </c>
      <c r="F120" s="1270" t="s">
        <v>200</v>
      </c>
    </row>
    <row r="121" spans="5:6" x14ac:dyDescent="0.45">
      <c r="E121" s="1270">
        <v>10</v>
      </c>
      <c r="F121" s="1270" t="s">
        <v>201</v>
      </c>
    </row>
    <row r="122" spans="5:6" x14ac:dyDescent="0.45">
      <c r="E122" s="1270">
        <v>11</v>
      </c>
      <c r="F122" s="1270" t="s">
        <v>232</v>
      </c>
    </row>
    <row r="123" spans="5:6" x14ac:dyDescent="0.45">
      <c r="E123" s="1270">
        <v>12</v>
      </c>
      <c r="F123" s="1270" t="s">
        <v>202</v>
      </c>
    </row>
    <row r="124" spans="5:6" x14ac:dyDescent="0.45">
      <c r="E124" s="1270">
        <f t="shared" ref="E124:E145" si="36">E123+1</f>
        <v>13</v>
      </c>
      <c r="F124" s="1270" t="s">
        <v>203</v>
      </c>
    </row>
    <row r="125" spans="5:6" x14ac:dyDescent="0.45">
      <c r="E125" s="1270">
        <v>14</v>
      </c>
      <c r="F125" s="1270" t="s">
        <v>233</v>
      </c>
    </row>
    <row r="126" spans="5:6" x14ac:dyDescent="0.45">
      <c r="E126" s="1270">
        <v>15</v>
      </c>
      <c r="F126" s="1270" t="s">
        <v>234</v>
      </c>
    </row>
    <row r="127" spans="5:6" x14ac:dyDescent="0.45">
      <c r="E127" s="1270">
        <v>16</v>
      </c>
      <c r="F127" s="1270" t="s">
        <v>213</v>
      </c>
    </row>
    <row r="128" spans="5:6" x14ac:dyDescent="0.45">
      <c r="E128" s="1270">
        <v>17</v>
      </c>
      <c r="F128" s="1270" t="s">
        <v>235</v>
      </c>
    </row>
    <row r="129" spans="5:6" x14ac:dyDescent="0.45">
      <c r="E129" s="1270">
        <v>18</v>
      </c>
      <c r="F129" s="1270" t="s">
        <v>263</v>
      </c>
    </row>
    <row r="130" spans="5:6" x14ac:dyDescent="0.45">
      <c r="E130" s="1270">
        <v>19</v>
      </c>
      <c r="F130" s="1270" t="s">
        <v>204</v>
      </c>
    </row>
    <row r="131" spans="5:6" x14ac:dyDescent="0.45">
      <c r="E131" s="1270">
        <v>20</v>
      </c>
      <c r="F131" s="1270" t="s">
        <v>236</v>
      </c>
    </row>
    <row r="132" spans="5:6" x14ac:dyDescent="0.45">
      <c r="E132" s="1270">
        <v>21</v>
      </c>
      <c r="F132" s="1270" t="s">
        <v>237</v>
      </c>
    </row>
    <row r="133" spans="5:6" x14ac:dyDescent="0.45">
      <c r="E133" s="1270">
        <v>22</v>
      </c>
      <c r="F133" s="1270" t="s">
        <v>238</v>
      </c>
    </row>
    <row r="134" spans="5:6" x14ac:dyDescent="0.45">
      <c r="E134" s="1270">
        <v>23</v>
      </c>
      <c r="F134" s="1270" t="s">
        <v>205</v>
      </c>
    </row>
    <row r="135" spans="5:6" x14ac:dyDescent="0.45">
      <c r="E135" s="1270">
        <v>24</v>
      </c>
      <c r="F135" s="1270" t="s">
        <v>239</v>
      </c>
    </row>
    <row r="136" spans="5:6" x14ac:dyDescent="0.45">
      <c r="E136" s="1270">
        <v>25</v>
      </c>
      <c r="F136" s="1270" t="s">
        <v>240</v>
      </c>
    </row>
    <row r="137" spans="5:6" x14ac:dyDescent="0.45">
      <c r="E137" s="1270">
        <v>26</v>
      </c>
      <c r="F137" s="1270" t="s">
        <v>241</v>
      </c>
    </row>
    <row r="138" spans="5:6" x14ac:dyDescent="0.45">
      <c r="E138" s="1270">
        <v>27</v>
      </c>
      <c r="F138" s="1270" t="s">
        <v>206</v>
      </c>
    </row>
    <row r="139" spans="5:6" x14ac:dyDescent="0.45">
      <c r="E139" s="1270">
        <v>28</v>
      </c>
      <c r="F139" s="1270" t="s">
        <v>242</v>
      </c>
    </row>
    <row r="140" spans="5:6" x14ac:dyDescent="0.45">
      <c r="E140" s="1270">
        <v>29</v>
      </c>
      <c r="F140" s="1270" t="s">
        <v>243</v>
      </c>
    </row>
    <row r="141" spans="5:6" x14ac:dyDescent="0.45">
      <c r="E141" s="1270">
        <v>30</v>
      </c>
      <c r="F141" s="1270" t="s">
        <v>244</v>
      </c>
    </row>
    <row r="142" spans="5:6" x14ac:dyDescent="0.45">
      <c r="E142" s="1270">
        <v>31</v>
      </c>
      <c r="F142" s="1270" t="s">
        <v>245</v>
      </c>
    </row>
    <row r="143" spans="5:6" x14ac:dyDescent="0.45">
      <c r="E143" s="1270">
        <v>32</v>
      </c>
      <c r="F143" s="1270" t="s">
        <v>246</v>
      </c>
    </row>
    <row r="144" spans="5:6" x14ac:dyDescent="0.45">
      <c r="E144" s="1270">
        <v>33</v>
      </c>
      <c r="F144" s="1270" t="s">
        <v>207</v>
      </c>
    </row>
    <row r="145" spans="5:6" x14ac:dyDescent="0.45">
      <c r="E145" s="1270">
        <f t="shared" si="36"/>
        <v>34</v>
      </c>
      <c r="F145" s="1270" t="s">
        <v>208</v>
      </c>
    </row>
    <row r="146" spans="5:6" x14ac:dyDescent="0.45">
      <c r="E146" s="1270">
        <v>35</v>
      </c>
      <c r="F146" s="1270" t="s">
        <v>247</v>
      </c>
    </row>
    <row r="147" spans="5:6" x14ac:dyDescent="0.45">
      <c r="E147" s="1270">
        <v>36</v>
      </c>
      <c r="F147" s="1270" t="s">
        <v>248</v>
      </c>
    </row>
    <row r="148" spans="5:6" x14ac:dyDescent="0.45">
      <c r="E148" s="1270">
        <v>36</v>
      </c>
      <c r="F148" s="1270" t="s">
        <v>249</v>
      </c>
    </row>
    <row r="149" spans="5:6" x14ac:dyDescent="0.45">
      <c r="E149" s="1270">
        <v>38</v>
      </c>
      <c r="F149" s="1270" t="s">
        <v>250</v>
      </c>
    </row>
    <row r="150" spans="5:6" x14ac:dyDescent="0.45">
      <c r="E150" s="1270">
        <v>39</v>
      </c>
      <c r="F150" s="1270" t="s">
        <v>251</v>
      </c>
    </row>
    <row r="151" spans="5:6" x14ac:dyDescent="0.45">
      <c r="E151" s="1270">
        <v>40</v>
      </c>
      <c r="F151" s="1270" t="s">
        <v>209</v>
      </c>
    </row>
    <row r="152" spans="5:6" x14ac:dyDescent="0.45">
      <c r="E152" s="1270">
        <v>41</v>
      </c>
      <c r="F152" s="1270" t="s">
        <v>264</v>
      </c>
    </row>
    <row r="153" spans="5:6" x14ac:dyDescent="0.45">
      <c r="E153" s="1270">
        <v>42</v>
      </c>
      <c r="F153" s="1270" t="s">
        <v>252</v>
      </c>
    </row>
    <row r="154" spans="5:6" x14ac:dyDescent="0.45">
      <c r="E154" s="1270">
        <v>43</v>
      </c>
      <c r="F154" s="1270" t="s">
        <v>253</v>
      </c>
    </row>
    <row r="155" spans="5:6" x14ac:dyDescent="0.45">
      <c r="E155" s="1270">
        <v>44</v>
      </c>
      <c r="F155" s="1270" t="s">
        <v>254</v>
      </c>
    </row>
    <row r="156" spans="5:6" x14ac:dyDescent="0.45">
      <c r="E156" s="1270">
        <v>45</v>
      </c>
      <c r="F156" s="1270" t="s">
        <v>210</v>
      </c>
    </row>
    <row r="157" spans="5:6" x14ac:dyDescent="0.45">
      <c r="E157" s="1270">
        <v>46</v>
      </c>
      <c r="F157" s="1270" t="s">
        <v>255</v>
      </c>
    </row>
    <row r="158" spans="5:6" x14ac:dyDescent="0.45">
      <c r="E158" s="1270">
        <v>47</v>
      </c>
      <c r="F158" s="1270" t="s">
        <v>211</v>
      </c>
    </row>
    <row r="159" spans="5:6" x14ac:dyDescent="0.45">
      <c r="E159" s="1270">
        <v>48</v>
      </c>
      <c r="F159" s="1270" t="s">
        <v>256</v>
      </c>
    </row>
    <row r="160" spans="5:6" x14ac:dyDescent="0.45">
      <c r="E160" s="1270">
        <v>49</v>
      </c>
      <c r="F160" s="1270" t="s">
        <v>257</v>
      </c>
    </row>
    <row r="161" spans="5:6" x14ac:dyDescent="0.45">
      <c r="E161" s="1270">
        <v>50</v>
      </c>
      <c r="F161" s="1270" t="s">
        <v>260</v>
      </c>
    </row>
    <row r="162" spans="5:6" x14ac:dyDescent="0.45">
      <c r="E162" s="1270">
        <v>51</v>
      </c>
      <c r="F162" s="1270" t="s">
        <v>258</v>
      </c>
    </row>
    <row r="163" spans="5:6" x14ac:dyDescent="0.45">
      <c r="E163" s="1270">
        <v>52</v>
      </c>
      <c r="F163" s="1270" t="s">
        <v>212</v>
      </c>
    </row>
    <row r="164" spans="5:6" x14ac:dyDescent="0.45">
      <c r="E164" s="1270">
        <v>53</v>
      </c>
      <c r="F164" s="1270" t="s">
        <v>259</v>
      </c>
    </row>
    <row r="165" spans="5:6" x14ac:dyDescent="0.45">
      <c r="E165" s="1270">
        <v>54</v>
      </c>
      <c r="F165" s="1270" t="s">
        <v>261</v>
      </c>
    </row>
    <row r="166" spans="5:6" x14ac:dyDescent="0.45">
      <c r="E166" s="1270">
        <v>55</v>
      </c>
      <c r="F166" s="1270" t="s">
        <v>262</v>
      </c>
    </row>
    <row r="167" spans="5:6" x14ac:dyDescent="0.45">
      <c r="E167"/>
      <c r="F167"/>
    </row>
    <row r="168" spans="5:6" x14ac:dyDescent="0.45">
      <c r="E168"/>
      <c r="F168"/>
    </row>
  </sheetData>
  <sheetProtection algorithmName="SHA-512" hashValue="Hka3KxRR4WAmV5627k8n7QOv0tfVHq+ZFnmTFNPFZqrVeGOs4ZmD088COz+Lp5mP4dx9szbozwimF0wYuDxjIw==" saltValue="QYEIl+HhZGqxBFvmNbNTeg==" spinCount="100000" sheet="1" objects="1" scenarios="1"/>
  <mergeCells count="140">
    <mergeCell ref="K4:M4"/>
    <mergeCell ref="B5:K5"/>
    <mergeCell ref="B6:F6"/>
    <mergeCell ref="B7:F7"/>
    <mergeCell ref="B9:F9"/>
    <mergeCell ref="B10:F10"/>
    <mergeCell ref="A13:A14"/>
    <mergeCell ref="B13:B14"/>
    <mergeCell ref="C13:C14"/>
    <mergeCell ref="N13:N14"/>
    <mergeCell ref="O13:O14"/>
    <mergeCell ref="P13:P14"/>
    <mergeCell ref="A11:A12"/>
    <mergeCell ref="B11:B12"/>
    <mergeCell ref="C11:C12"/>
    <mergeCell ref="N11:N12"/>
    <mergeCell ref="O11:O12"/>
    <mergeCell ref="P11:P1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B37:F37"/>
    <mergeCell ref="A38:A39"/>
    <mergeCell ref="B38:B39"/>
    <mergeCell ref="C38:C39"/>
    <mergeCell ref="N38:N39"/>
    <mergeCell ref="O38:O39"/>
    <mergeCell ref="P24:P31"/>
    <mergeCell ref="D25:D27"/>
    <mergeCell ref="E25:E27"/>
    <mergeCell ref="D28:D30"/>
    <mergeCell ref="E28:E30"/>
    <mergeCell ref="B32:F32"/>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77:F77"/>
    <mergeCell ref="B79:F79"/>
    <mergeCell ref="B80:F80"/>
    <mergeCell ref="B81:B82"/>
    <mergeCell ref="C81:C82"/>
    <mergeCell ref="N81:N82"/>
    <mergeCell ref="B67:F67"/>
    <mergeCell ref="B69:F69"/>
    <mergeCell ref="B70:F70"/>
    <mergeCell ref="B72:F72"/>
    <mergeCell ref="B74:F74"/>
    <mergeCell ref="B76:F76"/>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69 O10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80 O59">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6B31A44C-3E3C-487B-84F6-DA1AE82B5AFC}">
      <formula1>$F$112:$F$166</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B60F5-0CF1-4D6E-86C4-456F854D5823}">
  <dimension ref="A1:AA168"/>
  <sheetViews>
    <sheetView topLeftCell="B1" zoomScale="60" zoomScaleNormal="60" workbookViewId="0">
      <selection activeCell="I13" sqref="I13 K13"/>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871"/>
      <c r="R1" s="3"/>
      <c r="S1" s="4"/>
      <c r="U1" s="872"/>
      <c r="V1" s="872"/>
      <c r="W1" s="872"/>
      <c r="X1" s="872"/>
      <c r="Y1" s="872"/>
      <c r="Z1" s="872"/>
      <c r="AA1" s="872"/>
    </row>
    <row r="2" spans="1:27" ht="30" x14ac:dyDescent="1.1000000000000001">
      <c r="B2" s="873"/>
      <c r="C2" s="874"/>
      <c r="D2" s="875" t="s">
        <v>286</v>
      </c>
      <c r="E2" s="874"/>
      <c r="F2" s="876"/>
      <c r="G2" s="876"/>
      <c r="H2" s="876"/>
      <c r="I2" s="876"/>
      <c r="J2" s="876"/>
      <c r="K2" s="876"/>
      <c r="L2" s="876"/>
      <c r="M2" s="876"/>
      <c r="N2" s="876"/>
      <c r="O2" s="876"/>
      <c r="P2" s="876"/>
      <c r="Q2" s="874"/>
      <c r="R2" s="876"/>
      <c r="S2" s="6"/>
    </row>
    <row r="3" spans="1:27" ht="14.65" thickBot="1" x14ac:dyDescent="0.5">
      <c r="B3" s="877"/>
      <c r="C3" s="878"/>
      <c r="D3" s="878"/>
      <c r="E3" s="878"/>
      <c r="F3" s="879"/>
      <c r="G3" s="879"/>
      <c r="H3" s="879"/>
      <c r="I3" s="879"/>
      <c r="J3" s="879"/>
      <c r="K3" s="879"/>
      <c r="L3" s="879"/>
      <c r="M3" s="879"/>
      <c r="N3" s="879"/>
      <c r="O3" s="879"/>
      <c r="P3" s="879"/>
      <c r="Q3" s="878"/>
      <c r="R3" s="879"/>
      <c r="S3" s="7"/>
    </row>
    <row r="4" spans="1:27" ht="26.45" customHeight="1" thickBot="1" x14ac:dyDescent="0.5">
      <c r="B4" s="877"/>
      <c r="C4" s="878"/>
      <c r="D4" s="880" t="s">
        <v>195</v>
      </c>
      <c r="E4" s="878"/>
      <c r="F4" s="8" t="s">
        <v>203</v>
      </c>
      <c r="G4" s="879"/>
      <c r="H4" s="879"/>
      <c r="I4" s="879"/>
      <c r="J4" s="879"/>
      <c r="K4" s="1737" t="s">
        <v>723</v>
      </c>
      <c r="L4" s="1738"/>
      <c r="M4" s="1739"/>
      <c r="N4" s="881">
        <f>(N9+N46+N59+N69+N76+N79+N92)/7</f>
        <v>0.58094663524318935</v>
      </c>
      <c r="O4" s="882">
        <f>(O9+O46+O59+O69+O76+O79+O92)</f>
        <v>42.722947880644135</v>
      </c>
      <c r="P4" s="881">
        <f>O4/100</f>
        <v>0.42722947880644135</v>
      </c>
      <c r="Q4" s="878"/>
      <c r="R4" s="879"/>
      <c r="S4" s="7"/>
    </row>
    <row r="5" spans="1:27" ht="18.399999999999999" thickBot="1" x14ac:dyDescent="0.6">
      <c r="B5" s="1740"/>
      <c r="C5" s="1741"/>
      <c r="D5" s="1741"/>
      <c r="E5" s="1741"/>
      <c r="F5" s="1741"/>
      <c r="G5" s="1741"/>
      <c r="H5" s="1741"/>
      <c r="I5" s="1741"/>
      <c r="J5" s="1741"/>
      <c r="K5" s="1741"/>
      <c r="L5" s="68"/>
      <c r="M5" s="883">
        <f>100/28</f>
        <v>3.5714285714285716</v>
      </c>
      <c r="N5" s="9"/>
      <c r="O5" s="647"/>
      <c r="P5" s="647"/>
      <c r="Q5" s="884"/>
      <c r="R5" s="9"/>
      <c r="S5" s="10"/>
    </row>
    <row r="6" spans="1:27" ht="33.6" customHeight="1" thickBot="1" x14ac:dyDescent="0.5">
      <c r="B6" s="1742"/>
      <c r="C6" s="1743"/>
      <c r="D6" s="1743"/>
      <c r="E6" s="1743"/>
      <c r="F6" s="1744"/>
      <c r="G6" s="885"/>
      <c r="H6" s="885"/>
      <c r="I6" s="885"/>
      <c r="J6" s="885"/>
      <c r="K6" s="885"/>
      <c r="L6" s="885"/>
      <c r="M6" s="885"/>
      <c r="N6" s="886"/>
      <c r="O6" s="887"/>
      <c r="P6" s="887"/>
      <c r="Q6" s="886"/>
      <c r="R6" s="12"/>
      <c r="S6" s="13"/>
    </row>
    <row r="7" spans="1:27" ht="55.8" customHeight="1" thickBot="1" x14ac:dyDescent="0.5">
      <c r="B7" s="1745"/>
      <c r="C7" s="1746"/>
      <c r="D7" s="1746"/>
      <c r="E7" s="1746"/>
      <c r="F7" s="1747"/>
      <c r="G7" s="888"/>
      <c r="H7" s="889" t="s">
        <v>218</v>
      </c>
      <c r="I7" s="890" t="s">
        <v>219</v>
      </c>
      <c r="J7" s="891" t="s">
        <v>91</v>
      </c>
      <c r="K7" s="892" t="s">
        <v>107</v>
      </c>
      <c r="L7" s="892" t="s">
        <v>104</v>
      </c>
      <c r="M7" s="892" t="s">
        <v>105</v>
      </c>
      <c r="N7" s="890" t="s">
        <v>106</v>
      </c>
      <c r="O7" s="890" t="s">
        <v>646</v>
      </c>
      <c r="P7" s="893" t="s">
        <v>647</v>
      </c>
      <c r="Q7" s="894" t="s">
        <v>93</v>
      </c>
      <c r="R7" s="895" t="s">
        <v>110</v>
      </c>
      <c r="S7" s="896" t="s">
        <v>103</v>
      </c>
    </row>
    <row r="8" spans="1:27" ht="25.25" customHeight="1" thickBot="1" x14ac:dyDescent="0.5">
      <c r="B8" s="897" t="s">
        <v>2</v>
      </c>
      <c r="C8" s="897" t="s">
        <v>92</v>
      </c>
      <c r="D8" s="897" t="s">
        <v>3</v>
      </c>
      <c r="E8" s="897" t="s">
        <v>94</v>
      </c>
      <c r="F8" s="897" t="s">
        <v>102</v>
      </c>
      <c r="G8" s="897" t="s">
        <v>96</v>
      </c>
      <c r="H8" s="898"/>
      <c r="I8" s="899"/>
      <c r="J8" s="898"/>
      <c r="K8" s="900"/>
      <c r="L8" s="900"/>
      <c r="M8" s="897"/>
      <c r="N8" s="901"/>
      <c r="O8" s="902"/>
      <c r="P8" s="903"/>
      <c r="Q8" s="899"/>
      <c r="R8" s="901"/>
      <c r="S8" s="901"/>
      <c r="V8" s="904" t="s">
        <v>151</v>
      </c>
      <c r="W8" s="905"/>
      <c r="X8" s="905"/>
      <c r="Y8" s="905"/>
      <c r="Z8" s="906"/>
    </row>
    <row r="9" spans="1:27" s="207" customFormat="1" ht="25.25" customHeight="1" thickBot="1" x14ac:dyDescent="0.5">
      <c r="B9" s="1748" t="s">
        <v>0</v>
      </c>
      <c r="C9" s="1749"/>
      <c r="D9" s="1749"/>
      <c r="E9" s="1749"/>
      <c r="F9" s="1750"/>
      <c r="G9" s="907"/>
      <c r="H9" s="908"/>
      <c r="I9" s="909"/>
      <c r="J9" s="910"/>
      <c r="K9" s="910"/>
      <c r="L9" s="910"/>
      <c r="M9" s="907"/>
      <c r="N9" s="911">
        <f>(N10+N18+N23+N32+N37+N40+N43)/7</f>
        <v>0.4718298508915244</v>
      </c>
      <c r="O9" s="912">
        <f>(O10+O18+O23+O32+O37+O40+O43)</f>
        <v>18.452379327220385</v>
      </c>
      <c r="P9" s="913">
        <f>O9/42.857136</f>
        <v>0.43055558652403619</v>
      </c>
      <c r="Q9" s="910"/>
      <c r="R9" s="914"/>
      <c r="S9" s="914"/>
      <c r="U9" s="915"/>
      <c r="V9" s="916"/>
      <c r="W9" s="917"/>
      <c r="X9" s="917"/>
      <c r="Y9" s="917"/>
      <c r="Z9" s="918"/>
      <c r="AA9" s="915"/>
    </row>
    <row r="10" spans="1:27" s="109" customFormat="1" ht="25.25" customHeight="1" thickBot="1" x14ac:dyDescent="0.5">
      <c r="B10" s="1751" t="s">
        <v>1</v>
      </c>
      <c r="C10" s="1752"/>
      <c r="D10" s="1752"/>
      <c r="E10" s="1752"/>
      <c r="F10" s="1753"/>
      <c r="G10" s="919"/>
      <c r="H10" s="920"/>
      <c r="I10" s="921"/>
      <c r="J10" s="922"/>
      <c r="K10" s="922"/>
      <c r="L10" s="922"/>
      <c r="M10" s="919"/>
      <c r="N10" s="911">
        <f>(N11+N13+N15)/3</f>
        <v>1.5995515097161259</v>
      </c>
      <c r="O10" s="912">
        <f>(O11+O13+O15)</f>
        <v>8.4791081355661895</v>
      </c>
      <c r="P10" s="913">
        <f>O10/10.714284</f>
        <v>0.79138355260754611</v>
      </c>
      <c r="Q10" s="922"/>
      <c r="R10" s="923"/>
      <c r="S10" s="923"/>
      <c r="U10" s="924"/>
      <c r="V10" s="925"/>
      <c r="W10" s="926"/>
      <c r="X10" s="926"/>
      <c r="Y10" s="926"/>
      <c r="Z10" s="927"/>
      <c r="AA10" s="924"/>
    </row>
    <row r="11" spans="1:27" ht="27.6" customHeight="1" thickBot="1" x14ac:dyDescent="0.5">
      <c r="A11" s="1617">
        <v>1</v>
      </c>
      <c r="B11" s="1733" t="s">
        <v>4</v>
      </c>
      <c r="C11" s="1735">
        <f>M5</f>
        <v>3.5714285714285716</v>
      </c>
      <c r="D11" s="928" t="s">
        <v>111</v>
      </c>
      <c r="E11" s="929">
        <f>$C$11/2</f>
        <v>1.7857142857142858</v>
      </c>
      <c r="F11" s="930" t="s">
        <v>5</v>
      </c>
      <c r="G11" s="931">
        <f>E11/1</f>
        <v>1.7857142857142858</v>
      </c>
      <c r="H11" s="302">
        <v>990742.5</v>
      </c>
      <c r="I11" s="303">
        <v>685976.3</v>
      </c>
      <c r="J11" s="932">
        <f>(H11-I11)</f>
        <v>304766.19999999995</v>
      </c>
      <c r="K11" s="933">
        <f>(0.3*I11)*6/10</f>
        <v>123475.73400000001</v>
      </c>
      <c r="L11" s="934">
        <f>I11+K11</f>
        <v>809452.0340000001</v>
      </c>
      <c r="M11" s="935">
        <f>IF(K11&lt;&gt;0,J11/K11,"0%")</f>
        <v>2.4682274818467564</v>
      </c>
      <c r="N11" s="1731">
        <f>(((G11/C11)*M11)+((G12/C11)*M12))</f>
        <v>2.2341137409233784</v>
      </c>
      <c r="O11" s="1723">
        <f>IF((((G11/C11)*M11)+((G12/C11)*M12))&gt;=1,3.57148,IF((((G11/C11)*M11)+((G12/C11)*M12))&lt;=0,0, (((G11/C11)*M11)+((G12/C11)*M12))*3.571428))</f>
        <v>3.5714800000000002</v>
      </c>
      <c r="P11" s="1630">
        <f>O11/3.571428</f>
        <v>1.0000145600023296</v>
      </c>
      <c r="Q11" s="936" t="s">
        <v>97</v>
      </c>
      <c r="R11" s="154" t="s">
        <v>610</v>
      </c>
      <c r="S11" s="258"/>
      <c r="V11" s="937" t="s">
        <v>109</v>
      </c>
      <c r="W11" s="938" t="e">
        <f>#REF!</f>
        <v>#REF!</v>
      </c>
      <c r="X11" s="939"/>
      <c r="Y11" s="939"/>
      <c r="Z11" s="940"/>
    </row>
    <row r="12" spans="1:27" ht="27" customHeight="1" thickBot="1" x14ac:dyDescent="0.5">
      <c r="A12" s="1617"/>
      <c r="B12" s="1734"/>
      <c r="C12" s="1736"/>
      <c r="D12" s="941" t="s">
        <v>112</v>
      </c>
      <c r="E12" s="942">
        <f>$C$11/2</f>
        <v>1.7857142857142858</v>
      </c>
      <c r="F12" s="943" t="s">
        <v>281</v>
      </c>
      <c r="G12" s="944">
        <f>E12/1</f>
        <v>1.7857142857142858</v>
      </c>
      <c r="H12" s="1322">
        <v>2.8</v>
      </c>
      <c r="I12" s="1323">
        <v>4</v>
      </c>
      <c r="J12" s="947">
        <f>I12-H12</f>
        <v>1.2000000000000002</v>
      </c>
      <c r="K12" s="948">
        <f>(0.25*I12)*(6/10)</f>
        <v>0.6</v>
      </c>
      <c r="L12" s="949">
        <f>I12-K12</f>
        <v>3.4</v>
      </c>
      <c r="M12" s="950">
        <f>IF(K12&lt;&gt;0,J12/K12,"0%")</f>
        <v>2.0000000000000004</v>
      </c>
      <c r="N12" s="1732"/>
      <c r="O12" s="1760"/>
      <c r="P12" s="1631"/>
      <c r="Q12" s="951" t="s">
        <v>98</v>
      </c>
      <c r="R12" s="154" t="s">
        <v>611</v>
      </c>
      <c r="S12" s="266"/>
      <c r="V12" s="952">
        <v>0.02</v>
      </c>
      <c r="W12" s="953" t="e">
        <f>(W11-(W11*V12))</f>
        <v>#REF!</v>
      </c>
      <c r="X12" s="953" t="e">
        <f>W11-(V12*W11)</f>
        <v>#REF!</v>
      </c>
      <c r="Y12" s="939"/>
      <c r="Z12" s="940"/>
    </row>
    <row r="13" spans="1:27" ht="32.450000000000003" customHeight="1" thickBot="1" x14ac:dyDescent="0.5">
      <c r="A13" s="1617">
        <v>2</v>
      </c>
      <c r="B13" s="1754" t="s">
        <v>6</v>
      </c>
      <c r="C13" s="1756">
        <f>M5</f>
        <v>3.5714285714285716</v>
      </c>
      <c r="D13" s="954" t="s">
        <v>273</v>
      </c>
      <c r="E13" s="955">
        <f>$C$13/2</f>
        <v>1.7857142857142858</v>
      </c>
      <c r="F13" s="956" t="s">
        <v>7</v>
      </c>
      <c r="G13" s="957">
        <f>E13/1</f>
        <v>1.7857142857142858</v>
      </c>
      <c r="H13" s="304">
        <v>12.8</v>
      </c>
      <c r="I13" s="305">
        <v>14.9</v>
      </c>
      <c r="J13" s="959">
        <f>IF(I13=H13,(5-H13),I13-H13)</f>
        <v>2.0999999999999996</v>
      </c>
      <c r="K13" s="960">
        <f>IF(I13&lt;=5,0,((I13-5)*(6/10)))</f>
        <v>5.94</v>
      </c>
      <c r="L13" s="961">
        <f>I13-K13</f>
        <v>8.9600000000000009</v>
      </c>
      <c r="M13" s="962">
        <f>IF(I13&lt;=5,(1+(5-H13)/5),(J13/K13))</f>
        <v>0.35353535353535342</v>
      </c>
      <c r="N13" s="1731">
        <f>(((G13/C13)*M13)+((G14/C13)*M14))</f>
        <v>0.37413609782030832</v>
      </c>
      <c r="O13" s="1723">
        <f>IF((((G13/C13)*M13)+((G14/C13)*M14))&gt;=1,3.57148,IF((((G13/C13)*M13)+((G14/C13)*M14))&lt;=0,0, (((G13/C13)*M13)+((G14/C13)*M14))*3.571428))</f>
        <v>1.3362001355661881</v>
      </c>
      <c r="P13" s="1630">
        <f>O13/3.571428</f>
        <v>0.37413609782030832</v>
      </c>
      <c r="Q13" s="963" t="s">
        <v>99</v>
      </c>
      <c r="R13" s="108" t="s">
        <v>612</v>
      </c>
      <c r="S13" s="604"/>
      <c r="V13" s="952">
        <v>0.02</v>
      </c>
      <c r="W13" s="953" t="e">
        <f>(#REF!-(#REF!*V13))</f>
        <v>#REF!</v>
      </c>
      <c r="X13" s="953" t="e">
        <f>(W11-(V12*W11))-((W11-(V12*W11))*0.02)-(((W11-(V12*W11))-((W11-(V12*W11))*0.02))*0.02)-(((W11-(V12*W11))-((W11-(V12*W11))*0.02)-(((W11-(V12*W11))-((W11-(V12*W11))*0.02))*0.02))*0.02)</f>
        <v>#REF!</v>
      </c>
      <c r="Y13" s="964" t="e">
        <f>(W11-W14)/W11</f>
        <v>#REF!</v>
      </c>
      <c r="Z13" s="940"/>
    </row>
    <row r="14" spans="1:27" ht="33" customHeight="1" thickBot="1" x14ac:dyDescent="0.5">
      <c r="A14" s="1617"/>
      <c r="B14" s="1755"/>
      <c r="C14" s="1757"/>
      <c r="D14" s="941" t="s">
        <v>274</v>
      </c>
      <c r="E14" s="965">
        <f>$C$13/2</f>
        <v>1.7857142857142858</v>
      </c>
      <c r="F14" s="966" t="s">
        <v>8</v>
      </c>
      <c r="G14" s="967">
        <f>E14/1</f>
        <v>1.7857142857142858</v>
      </c>
      <c r="H14" s="306">
        <v>69</v>
      </c>
      <c r="I14" s="307">
        <v>60</v>
      </c>
      <c r="J14" s="968">
        <f>H14-I14</f>
        <v>9</v>
      </c>
      <c r="K14" s="969">
        <f>(0.95*(100-I14))*6/10</f>
        <v>22.8</v>
      </c>
      <c r="L14" s="970">
        <f>K14+I14</f>
        <v>82.8</v>
      </c>
      <c r="M14" s="971">
        <f>IF(K14&lt;&gt;0,J14/K14,"1%")</f>
        <v>0.39473684210526316</v>
      </c>
      <c r="N14" s="1732"/>
      <c r="O14" s="1760"/>
      <c r="P14" s="1631"/>
      <c r="Q14" s="972" t="s">
        <v>100</v>
      </c>
      <c r="R14" s="154" t="s">
        <v>613</v>
      </c>
      <c r="S14" s="467"/>
      <c r="V14" s="973">
        <v>0.02</v>
      </c>
      <c r="W14" s="974" t="e">
        <f>(#REF!-(#REF!*V14))</f>
        <v>#REF!</v>
      </c>
      <c r="X14" s="974"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975" t="e">
        <f>W11-X14</f>
        <v>#REF!</v>
      </c>
      <c r="Z14" s="976"/>
    </row>
    <row r="15" spans="1:27" ht="22.25" customHeight="1" thickBot="1" x14ac:dyDescent="0.5">
      <c r="A15" s="1651">
        <v>3</v>
      </c>
      <c r="B15" s="1727" t="s">
        <v>9</v>
      </c>
      <c r="C15" s="1729">
        <f>M5</f>
        <v>3.5714285714285716</v>
      </c>
      <c r="D15" s="1727" t="s">
        <v>113</v>
      </c>
      <c r="E15" s="1729">
        <f>$C$15/1</f>
        <v>3.5714285714285716</v>
      </c>
      <c r="F15" s="977" t="s">
        <v>221</v>
      </c>
      <c r="G15" s="978">
        <f>$E$15/3</f>
        <v>1.1904761904761905</v>
      </c>
      <c r="H15" s="308">
        <v>89.5</v>
      </c>
      <c r="I15" s="309">
        <v>74</v>
      </c>
      <c r="J15" s="979">
        <f>H15-I15</f>
        <v>15.5</v>
      </c>
      <c r="K15" s="980">
        <f>(0.5*I15)*6/10</f>
        <v>22.2</v>
      </c>
      <c r="L15" s="934">
        <f>I15+K15</f>
        <v>96.2</v>
      </c>
      <c r="M15" s="935">
        <f>IF(K15&lt;&gt;0,J15/K15,"0%")</f>
        <v>0.69819819819819817</v>
      </c>
      <c r="N15" s="1702">
        <f>(((G15/C15)*M15)+((G16/C15)*M16)+((G17/C15)*M17))</f>
        <v>2.1904046904046903</v>
      </c>
      <c r="O15" s="1632">
        <f>IF((((G15/C15)*M15)+((G16/C15)*M16)+((G17/C15)*M17))&gt;=1,3.571428,IF((((G15/C15)*M15)+((G16/C15)*M16)+((G17/C15)*M17))&lt;=0,0,(((G15/C15)*M15)+((G16/C15)*M16)+((G17/C15)*M17))*3.571428))</f>
        <v>3.571428</v>
      </c>
      <c r="P15" s="1630">
        <f>O15/3.571428</f>
        <v>1</v>
      </c>
      <c r="Q15" s="981" t="s">
        <v>101</v>
      </c>
      <c r="R15" s="108" t="s">
        <v>614</v>
      </c>
      <c r="S15" s="533"/>
    </row>
    <row r="16" spans="1:27" ht="23.65" thickBot="1" x14ac:dyDescent="0.5">
      <c r="A16" s="1651"/>
      <c r="B16" s="1727"/>
      <c r="C16" s="1729"/>
      <c r="D16" s="1727"/>
      <c r="E16" s="1729"/>
      <c r="F16" s="982" t="s">
        <v>220</v>
      </c>
      <c r="G16" s="983">
        <f t="shared" ref="G16:G17" si="0">$E$15/3</f>
        <v>1.1904761904761905</v>
      </c>
      <c r="H16" s="481"/>
      <c r="I16" s="482"/>
      <c r="J16" s="986">
        <f>H16-I16</f>
        <v>0</v>
      </c>
      <c r="K16" s="987">
        <f>(0.5*I16)*6/10</f>
        <v>0</v>
      </c>
      <c r="L16" s="988">
        <f t="shared" ref="L16:L17" si="1">I16+K16</f>
        <v>0</v>
      </c>
      <c r="M16" s="989" t="str">
        <f>IF(K16&lt;&gt;0,J16/K16,"0%")</f>
        <v>0%</v>
      </c>
      <c r="N16" s="1657"/>
      <c r="O16" s="1758"/>
      <c r="P16" s="1635"/>
      <c r="Q16" s="990" t="s">
        <v>95</v>
      </c>
      <c r="R16" s="230"/>
      <c r="S16" s="193" t="s">
        <v>615</v>
      </c>
    </row>
    <row r="17" spans="1:19" ht="25.25" customHeight="1" thickBot="1" x14ac:dyDescent="0.5">
      <c r="A17" s="1651"/>
      <c r="B17" s="1728"/>
      <c r="C17" s="1730"/>
      <c r="D17" s="1728"/>
      <c r="E17" s="1730"/>
      <c r="F17" s="991" t="s">
        <v>10</v>
      </c>
      <c r="G17" s="992">
        <f t="shared" si="0"/>
        <v>1.1904761904761905</v>
      </c>
      <c r="H17" s="111">
        <v>58</v>
      </c>
      <c r="I17" s="112">
        <v>21</v>
      </c>
      <c r="J17" s="993">
        <f>H17-I17</f>
        <v>37</v>
      </c>
      <c r="K17" s="994">
        <f>(0.5*I17)*6/10</f>
        <v>6.3</v>
      </c>
      <c r="L17" s="949">
        <f t="shared" si="1"/>
        <v>27.3</v>
      </c>
      <c r="M17" s="950">
        <f>IF(K17&lt;&gt;0,J17/K17,"0%")</f>
        <v>5.8730158730158735</v>
      </c>
      <c r="N17" s="1703"/>
      <c r="O17" s="1759"/>
      <c r="P17" s="1635"/>
      <c r="Q17" s="995" t="s">
        <v>162</v>
      </c>
      <c r="R17" s="382" t="s">
        <v>616</v>
      </c>
      <c r="S17" s="469"/>
    </row>
    <row r="18" spans="1:19" ht="21.4" thickBot="1" x14ac:dyDescent="0.7">
      <c r="A18" s="14"/>
      <c r="B18" s="1670" t="s">
        <v>11</v>
      </c>
      <c r="C18" s="1671"/>
      <c r="D18" s="1671"/>
      <c r="E18" s="1671"/>
      <c r="F18" s="1672"/>
      <c r="G18" s="996"/>
      <c r="H18" s="1274"/>
      <c r="I18" s="1274"/>
      <c r="J18" s="997"/>
      <c r="K18" s="997"/>
      <c r="L18" s="997"/>
      <c r="M18" s="998"/>
      <c r="N18" s="911">
        <f>N19</f>
        <v>0.40095838458384581</v>
      </c>
      <c r="O18" s="912">
        <f>O19</f>
        <v>1.4319940015375152</v>
      </c>
      <c r="P18" s="913">
        <f>O18/3.571428</f>
        <v>0.40095838458384581</v>
      </c>
      <c r="Q18" s="997"/>
      <c r="R18" s="333"/>
      <c r="S18" s="334"/>
    </row>
    <row r="19" spans="1:19" ht="34.25" customHeight="1" thickBot="1" x14ac:dyDescent="0.5">
      <c r="A19" s="1617">
        <v>4</v>
      </c>
      <c r="B19" s="1618" t="s">
        <v>12</v>
      </c>
      <c r="C19" s="1678">
        <f>M5</f>
        <v>3.5714285714285716</v>
      </c>
      <c r="D19" s="999" t="s">
        <v>114</v>
      </c>
      <c r="E19" s="931">
        <f>$C$19/4</f>
        <v>0.8928571428571429</v>
      </c>
      <c r="F19" s="1000" t="s">
        <v>222</v>
      </c>
      <c r="G19" s="978">
        <f>E19/1</f>
        <v>0.8928571428571429</v>
      </c>
      <c r="H19" s="101">
        <v>9.4</v>
      </c>
      <c r="I19" s="106">
        <v>6</v>
      </c>
      <c r="J19" s="1001">
        <f>H19-I19</f>
        <v>3.4000000000000004</v>
      </c>
      <c r="K19" s="980">
        <f>(2*I19)*6/10</f>
        <v>7.2</v>
      </c>
      <c r="L19" s="1002">
        <f t="shared" ref="L19:L22" si="2">K19+I19</f>
        <v>13.2</v>
      </c>
      <c r="M19" s="935">
        <f>IF(K19&lt;&gt;0,J19/K19,"0%")</f>
        <v>0.47222222222222227</v>
      </c>
      <c r="N19" s="1721">
        <f>(((G19/C19)*M19)+((G20/C19)*M20)+((G21/C19)*M21)+((G22/C19)*M22))</f>
        <v>0.40095838458384581</v>
      </c>
      <c r="O19" s="1723">
        <f>IF((((G19/C19)*M19)+((G20/C19)*M20)+((G21/C19)*M21)+((G22/C19)*M22))&gt;=1,3.571428,IF((((G19/C19)*M19)+((G20/C19)*M20)+((G21/C19)*M21)+((G22/C19)*M22))&lt;=0,0,((((G19/C19)*M19)+((G20/C19)*M20)+((G21/C19)*M21)+((G22/C19)*M22))*3.571428)))</f>
        <v>1.4319940015375152</v>
      </c>
      <c r="P19" s="1630">
        <f>O19/3.571428</f>
        <v>0.40095838458384581</v>
      </c>
      <c r="Q19" s="1003" t="s">
        <v>163</v>
      </c>
      <c r="R19" s="157" t="s">
        <v>590</v>
      </c>
      <c r="S19" s="258"/>
    </row>
    <row r="20" spans="1:19" ht="39" customHeight="1" thickBot="1" x14ac:dyDescent="0.5">
      <c r="A20" s="1617"/>
      <c r="B20" s="1619"/>
      <c r="C20" s="1685"/>
      <c r="D20" s="1004" t="s">
        <v>152</v>
      </c>
      <c r="E20" s="1005">
        <f>($C$19/4)</f>
        <v>0.8928571428571429</v>
      </c>
      <c r="F20" s="1006" t="s">
        <v>265</v>
      </c>
      <c r="G20" s="983">
        <f>E20/1</f>
        <v>0.8928571428571429</v>
      </c>
      <c r="H20" s="113">
        <v>91.3</v>
      </c>
      <c r="I20" s="107">
        <v>72.900000000000006</v>
      </c>
      <c r="J20" s="1007">
        <f t="shared" ref="J20:J24" si="3">H20-I20</f>
        <v>18.399999999999991</v>
      </c>
      <c r="K20" s="987">
        <f>(100-I20)*(6/10)</f>
        <v>16.259999999999994</v>
      </c>
      <c r="L20" s="1008">
        <f t="shared" si="2"/>
        <v>89.16</v>
      </c>
      <c r="M20" s="935">
        <f>IF(K20&lt;&gt;0,J20/K20,"0%")</f>
        <v>1.1316113161131609</v>
      </c>
      <c r="N20" s="1722"/>
      <c r="O20" s="1763"/>
      <c r="P20" s="1635"/>
      <c r="Q20" s="1009" t="s">
        <v>164</v>
      </c>
      <c r="R20" s="157" t="s">
        <v>590</v>
      </c>
      <c r="S20" s="277"/>
    </row>
    <row r="21" spans="1:19" ht="56.45" customHeight="1" thickBot="1" x14ac:dyDescent="0.5">
      <c r="A21" s="1617"/>
      <c r="B21" s="1619"/>
      <c r="C21" s="1685"/>
      <c r="D21" s="1004" t="s">
        <v>153</v>
      </c>
      <c r="E21" s="1005">
        <f t="shared" ref="E21:E22" si="4">($C$19/4)</f>
        <v>0.8928571428571429</v>
      </c>
      <c r="F21" s="1006" t="s">
        <v>155</v>
      </c>
      <c r="G21" s="983">
        <f>E21/1</f>
        <v>0.8928571428571429</v>
      </c>
      <c r="H21" s="470"/>
      <c r="I21" s="496"/>
      <c r="J21" s="1007">
        <f t="shared" si="3"/>
        <v>0</v>
      </c>
      <c r="K21" s="987">
        <f>(0.3*I21)*6/10</f>
        <v>0</v>
      </c>
      <c r="L21" s="1008">
        <f t="shared" si="2"/>
        <v>0</v>
      </c>
      <c r="M21" s="989" t="str">
        <f>IF(K21&lt;&gt;0,J21/K21,"0%")</f>
        <v>0%</v>
      </c>
      <c r="N21" s="1722"/>
      <c r="O21" s="1763"/>
      <c r="P21" s="1635"/>
      <c r="Q21" s="1009" t="s">
        <v>165</v>
      </c>
      <c r="R21" s="158"/>
      <c r="S21" s="193" t="s">
        <v>615</v>
      </c>
    </row>
    <row r="22" spans="1:19" ht="36.6" customHeight="1" thickBot="1" x14ac:dyDescent="0.5">
      <c r="A22" s="1617"/>
      <c r="B22" s="1724"/>
      <c r="C22" s="1725"/>
      <c r="D22" s="966" t="s">
        <v>154</v>
      </c>
      <c r="E22" s="1010">
        <f t="shared" si="4"/>
        <v>0.8928571428571429</v>
      </c>
      <c r="F22" s="1011" t="s">
        <v>156</v>
      </c>
      <c r="G22" s="1012">
        <f>E22/1</f>
        <v>0.8928571428571429</v>
      </c>
      <c r="H22" s="312">
        <v>34</v>
      </c>
      <c r="I22" s="492"/>
      <c r="J22" s="1013">
        <f t="shared" si="3"/>
        <v>34</v>
      </c>
      <c r="K22" s="994">
        <f>(100-I22)*(6/10)</f>
        <v>60</v>
      </c>
      <c r="L22" s="1014">
        <f t="shared" si="2"/>
        <v>60</v>
      </c>
      <c r="M22" s="950" t="str">
        <f>IF(I22=0,"0%",J22/K22)</f>
        <v>0%</v>
      </c>
      <c r="N22" s="1726"/>
      <c r="O22" s="1760"/>
      <c r="P22" s="1631"/>
      <c r="Q22" s="1015" t="s">
        <v>95</v>
      </c>
      <c r="R22" s="157" t="s">
        <v>590</v>
      </c>
      <c r="S22" s="282" t="s">
        <v>617</v>
      </c>
    </row>
    <row r="23" spans="1:19" ht="20.45" customHeight="1" thickBot="1" x14ac:dyDescent="0.5">
      <c r="B23" s="1614" t="s">
        <v>13</v>
      </c>
      <c r="C23" s="1615"/>
      <c r="D23" s="1615"/>
      <c r="E23" s="1615"/>
      <c r="F23" s="1616"/>
      <c r="G23" s="996"/>
      <c r="H23" s="1274"/>
      <c r="I23" s="1274"/>
      <c r="J23" s="1016"/>
      <c r="K23" s="1017"/>
      <c r="L23" s="1017"/>
      <c r="M23" s="1018"/>
      <c r="N23" s="911">
        <f>N24</f>
        <v>-0.27685849586876926</v>
      </c>
      <c r="O23" s="912">
        <f>O24</f>
        <v>0</v>
      </c>
      <c r="P23" s="913">
        <f>O23/3.571428</f>
        <v>0</v>
      </c>
      <c r="Q23" s="997"/>
      <c r="R23" s="336"/>
      <c r="S23" s="336"/>
    </row>
    <row r="24" spans="1:19" ht="36" customHeight="1" thickBot="1" x14ac:dyDescent="0.5">
      <c r="A24" s="1617">
        <v>5</v>
      </c>
      <c r="B24" s="1618" t="s">
        <v>14</v>
      </c>
      <c r="C24" s="1678">
        <f>M5</f>
        <v>3.5714285714285716</v>
      </c>
      <c r="D24" s="999" t="s">
        <v>115</v>
      </c>
      <c r="E24" s="931">
        <f>$C$24/4</f>
        <v>0.8928571428571429</v>
      </c>
      <c r="F24" s="999" t="s">
        <v>280</v>
      </c>
      <c r="G24" s="931">
        <f>E24/1</f>
        <v>0.8928571428571429</v>
      </c>
      <c r="H24" s="489"/>
      <c r="I24" s="491"/>
      <c r="J24" s="1020">
        <f t="shared" si="3"/>
        <v>0</v>
      </c>
      <c r="K24" s="980">
        <f>(0.3*I24)*6/10</f>
        <v>0</v>
      </c>
      <c r="L24" s="1002">
        <f>K24+I24</f>
        <v>0</v>
      </c>
      <c r="M24" s="935" t="str">
        <f t="shared" ref="M24:M31" si="5">IF(K24&lt;&gt;0,J24/K24,"0%")</f>
        <v>0%</v>
      </c>
      <c r="N24" s="1721">
        <f>(((G24/C24)*M24)+((G25/C24)*M25)+ ((G26/C24)*M26)+((G27/C24)*M27)+((G28/C24)*M28)+((G29/C24)*M29)+((G30/C24)*M30)+((G31/C24)*M31))</f>
        <v>-0.27685849586876926</v>
      </c>
      <c r="O24" s="1723">
        <f>IF((((G24/C24)*M24)+((G25/C24)*M25)+ ((G26/C24)*M26)+((G27/C24)*M27)+((G28/C24)*M28)+((G29/C24)*M29)+((G30/C24)*M30)+((G31/C24)*M31))&gt;=1,3.571428,IF((((G24/C24)*M24)+((G25/C24)*M25)+ ((G26/C24)*M26)+((G27/C24)*M27)+((G28/C24)*M28)+((G29/C24)*M29)+((G30/C24)*M30)+((G31/C24)*M31))&lt;=0,0,((((G24/C24)*M24)+((G25/C24)*M25)+ ((G26/C24)*M26)+((G27/C24)*M27)+((G28/C24)*M28)+((G29/C24)*M29)+((G30/C24)*M30)+((G31/C24)*M31))*3.571428)))</f>
        <v>0</v>
      </c>
      <c r="P24" s="1630">
        <f>O24/3.571428</f>
        <v>0</v>
      </c>
      <c r="Q24" s="1021" t="s">
        <v>166</v>
      </c>
      <c r="R24" s="154"/>
      <c r="S24" s="239" t="s">
        <v>615</v>
      </c>
    </row>
    <row r="25" spans="1:19" ht="19.8" customHeight="1" thickBot="1" x14ac:dyDescent="0.5">
      <c r="A25" s="1617"/>
      <c r="B25" s="1619"/>
      <c r="C25" s="1685"/>
      <c r="D25" s="1625" t="s">
        <v>158</v>
      </c>
      <c r="E25" s="1688">
        <v>0.9</v>
      </c>
      <c r="F25" s="1004" t="s">
        <v>15</v>
      </c>
      <c r="G25" s="1005">
        <f>$E$25/3</f>
        <v>0.3</v>
      </c>
      <c r="H25" s="481"/>
      <c r="I25" s="107">
        <v>614</v>
      </c>
      <c r="J25" s="1022">
        <f t="shared" ref="J25:J30" si="6">I25-H25</f>
        <v>614</v>
      </c>
      <c r="K25" s="987">
        <f>(0.5*I25)*6/10</f>
        <v>184.2</v>
      </c>
      <c r="L25" s="1008">
        <f t="shared" ref="L25:L30" si="7">I25-K25</f>
        <v>429.8</v>
      </c>
      <c r="M25" s="989" t="str">
        <f>IF(H25=0,"0%",J25/K25)</f>
        <v>0%</v>
      </c>
      <c r="N25" s="1722"/>
      <c r="O25" s="1763"/>
      <c r="P25" s="1635"/>
      <c r="Q25" s="1023" t="s">
        <v>167</v>
      </c>
      <c r="R25" s="154" t="s">
        <v>618</v>
      </c>
      <c r="S25" s="237" t="s">
        <v>619</v>
      </c>
    </row>
    <row r="26" spans="1:19" ht="19.8" customHeight="1" thickBot="1" x14ac:dyDescent="0.5">
      <c r="A26" s="1617"/>
      <c r="B26" s="1619"/>
      <c r="C26" s="1685"/>
      <c r="D26" s="1713"/>
      <c r="E26" s="1714"/>
      <c r="F26" s="1004" t="s">
        <v>16</v>
      </c>
      <c r="G26" s="1005">
        <f t="shared" ref="G26:G27" si="8">$E$25/3</f>
        <v>0.3</v>
      </c>
      <c r="H26" s="481"/>
      <c r="I26" s="107">
        <v>68</v>
      </c>
      <c r="J26" s="1022">
        <f t="shared" si="6"/>
        <v>68</v>
      </c>
      <c r="K26" s="987">
        <f>(0.8*I26)*6/10</f>
        <v>32.64</v>
      </c>
      <c r="L26" s="1008">
        <f t="shared" si="7"/>
        <v>35.36</v>
      </c>
      <c r="M26" s="989" t="str">
        <f>IF(H26=0,"0%",J26/K26)</f>
        <v>0%</v>
      </c>
      <c r="N26" s="1722"/>
      <c r="O26" s="1763"/>
      <c r="P26" s="1635"/>
      <c r="Q26" s="1023" t="s">
        <v>168</v>
      </c>
      <c r="R26" s="154" t="s">
        <v>620</v>
      </c>
      <c r="S26" s="237" t="s">
        <v>619</v>
      </c>
    </row>
    <row r="27" spans="1:19" ht="19.8" customHeight="1" thickBot="1" x14ac:dyDescent="0.5">
      <c r="A27" s="1617"/>
      <c r="B27" s="1619"/>
      <c r="C27" s="1685"/>
      <c r="D27" s="1713"/>
      <c r="E27" s="1714"/>
      <c r="F27" s="1004" t="s">
        <v>17</v>
      </c>
      <c r="G27" s="1005">
        <f t="shared" si="8"/>
        <v>0.3</v>
      </c>
      <c r="H27" s="481"/>
      <c r="I27" s="107">
        <v>43</v>
      </c>
      <c r="J27" s="1022">
        <f t="shared" si="6"/>
        <v>43</v>
      </c>
      <c r="K27" s="987">
        <f>(0.5*I27)*(6/10)</f>
        <v>12.9</v>
      </c>
      <c r="L27" s="1008">
        <f t="shared" si="7"/>
        <v>30.1</v>
      </c>
      <c r="M27" s="989" t="str">
        <f>IF(H27=0,"0%",J27/K27)</f>
        <v>0%</v>
      </c>
      <c r="N27" s="1722"/>
      <c r="O27" s="1763"/>
      <c r="P27" s="1635"/>
      <c r="Q27" s="1023" t="s">
        <v>169</v>
      </c>
      <c r="R27" s="154" t="s">
        <v>621</v>
      </c>
      <c r="S27" s="237" t="s">
        <v>619</v>
      </c>
    </row>
    <row r="28" spans="1:19" ht="30.6" customHeight="1" thickBot="1" x14ac:dyDescent="0.5">
      <c r="A28" s="22"/>
      <c r="B28" s="1619"/>
      <c r="C28" s="1685"/>
      <c r="D28" s="1625" t="s">
        <v>116</v>
      </c>
      <c r="E28" s="1688">
        <f t="shared" ref="E28:E31" si="9">$C$24/4</f>
        <v>0.8928571428571429</v>
      </c>
      <c r="F28" s="1004" t="s">
        <v>148</v>
      </c>
      <c r="G28" s="1005">
        <f>$E$28/3</f>
        <v>0.29761904761904762</v>
      </c>
      <c r="H28" s="113">
        <v>16602</v>
      </c>
      <c r="I28" s="107">
        <v>21674</v>
      </c>
      <c r="J28" s="1022">
        <f t="shared" si="6"/>
        <v>5072</v>
      </c>
      <c r="K28" s="987">
        <f>(0.5*I28)*(6/10)</f>
        <v>6502.2</v>
      </c>
      <c r="L28" s="1008">
        <f t="shared" si="7"/>
        <v>15171.8</v>
      </c>
      <c r="M28" s="989">
        <f t="shared" si="5"/>
        <v>0.78004367752453019</v>
      </c>
      <c r="N28" s="1658"/>
      <c r="O28" s="1763"/>
      <c r="P28" s="1635"/>
      <c r="Q28" s="1023" t="s">
        <v>170</v>
      </c>
      <c r="R28" s="154" t="s">
        <v>622</v>
      </c>
      <c r="S28" s="524"/>
    </row>
    <row r="29" spans="1:19" ht="20.45" customHeight="1" thickBot="1" x14ac:dyDescent="0.5">
      <c r="A29" s="22"/>
      <c r="B29" s="1619"/>
      <c r="C29" s="1685"/>
      <c r="D29" s="1713"/>
      <c r="E29" s="1714"/>
      <c r="F29" s="1004" t="s">
        <v>149</v>
      </c>
      <c r="G29" s="1005">
        <f t="shared" ref="G29:G30" si="10">$E$28/3</f>
        <v>0.29761904761904762</v>
      </c>
      <c r="H29" s="113">
        <v>142</v>
      </c>
      <c r="I29" s="107">
        <v>159</v>
      </c>
      <c r="J29" s="1022">
        <f t="shared" si="6"/>
        <v>17</v>
      </c>
      <c r="K29" s="987">
        <f>(0.5*I29)*(6/10)</f>
        <v>47.699999999999996</v>
      </c>
      <c r="L29" s="1008">
        <f t="shared" si="7"/>
        <v>111.30000000000001</v>
      </c>
      <c r="M29" s="989">
        <f t="shared" si="5"/>
        <v>0.35639412997903569</v>
      </c>
      <c r="N29" s="1658"/>
      <c r="O29" s="1763"/>
      <c r="P29" s="1635"/>
      <c r="Q29" s="1023" t="s">
        <v>171</v>
      </c>
      <c r="R29" s="154" t="s">
        <v>623</v>
      </c>
      <c r="S29" s="524"/>
    </row>
    <row r="30" spans="1:19" ht="20.45" customHeight="1" thickBot="1" x14ac:dyDescent="0.5">
      <c r="A30" s="22"/>
      <c r="B30" s="1718"/>
      <c r="C30" s="1714"/>
      <c r="D30" s="1713"/>
      <c r="E30" s="1714"/>
      <c r="F30" s="1004" t="s">
        <v>150</v>
      </c>
      <c r="G30" s="1005">
        <f t="shared" si="10"/>
        <v>0.29761904761904762</v>
      </c>
      <c r="H30" s="113">
        <v>210.3</v>
      </c>
      <c r="I30" s="107">
        <v>163.76</v>
      </c>
      <c r="J30" s="1022">
        <f t="shared" si="6"/>
        <v>-46.54000000000002</v>
      </c>
      <c r="K30" s="987">
        <f>(0.5*I30)*(6/10)</f>
        <v>49.127999999999993</v>
      </c>
      <c r="L30" s="1008">
        <f t="shared" si="7"/>
        <v>114.63200000000001</v>
      </c>
      <c r="M30" s="989">
        <f t="shared" si="5"/>
        <v>-0.94732128317863595</v>
      </c>
      <c r="N30" s="1658"/>
      <c r="O30" s="1763"/>
      <c r="P30" s="1635"/>
      <c r="Q30" s="1023" t="s">
        <v>172</v>
      </c>
      <c r="R30" s="154" t="s">
        <v>624</v>
      </c>
      <c r="S30" s="524"/>
    </row>
    <row r="31" spans="1:19" ht="34.9" customHeight="1" thickBot="1" x14ac:dyDescent="0.5">
      <c r="A31" s="22"/>
      <c r="B31" s="1719"/>
      <c r="C31" s="1720"/>
      <c r="D31" s="1024" t="s">
        <v>117</v>
      </c>
      <c r="E31" s="944">
        <f t="shared" si="9"/>
        <v>0.8928571428571429</v>
      </c>
      <c r="F31" s="1025" t="s">
        <v>223</v>
      </c>
      <c r="G31" s="944">
        <f>E31/1</f>
        <v>0.8928571428571429</v>
      </c>
      <c r="H31" s="115">
        <v>268894</v>
      </c>
      <c r="I31" s="114">
        <v>158002</v>
      </c>
      <c r="J31" s="1026">
        <f t="shared" ref="J31" si="11">H31-I31</f>
        <v>110892</v>
      </c>
      <c r="K31" s="994">
        <f>(100-I31)*(6/10)</f>
        <v>-94741.2</v>
      </c>
      <c r="L31" s="1014">
        <f>K31+I31</f>
        <v>63260.800000000003</v>
      </c>
      <c r="M31" s="971">
        <f t="shared" si="5"/>
        <v>-1.1704728249167204</v>
      </c>
      <c r="N31" s="1659"/>
      <c r="O31" s="1760"/>
      <c r="P31" s="1631"/>
      <c r="Q31" s="1027" t="s">
        <v>95</v>
      </c>
      <c r="R31" s="154" t="s">
        <v>625</v>
      </c>
      <c r="S31" s="291"/>
    </row>
    <row r="32" spans="1:19" ht="20.45" customHeight="1" thickBot="1" x14ac:dyDescent="0.5">
      <c r="B32" s="1715" t="s">
        <v>18</v>
      </c>
      <c r="C32" s="1716"/>
      <c r="D32" s="1716"/>
      <c r="E32" s="1716"/>
      <c r="F32" s="1717"/>
      <c r="G32" s="996"/>
      <c r="H32" s="242"/>
      <c r="I32" s="243"/>
      <c r="J32" s="1028"/>
      <c r="K32" s="1029"/>
      <c r="L32" s="1030"/>
      <c r="M32" s="1031"/>
      <c r="N32" s="911">
        <f>(N33+N34+N35+N36)/4</f>
        <v>0.99405117483074457</v>
      </c>
      <c r="O32" s="912">
        <f>(O33+O34+O35+O36)</f>
        <v>6.4516118709677421</v>
      </c>
      <c r="P32" s="913">
        <f>O32/14.285712</f>
        <v>0.45161290322580644</v>
      </c>
      <c r="Q32" s="997"/>
      <c r="R32" s="334"/>
      <c r="S32" s="334"/>
    </row>
    <row r="33" spans="1:19" ht="33.6" customHeight="1" thickBot="1" x14ac:dyDescent="0.5">
      <c r="A33" s="22">
        <v>6</v>
      </c>
      <c r="B33" s="1032" t="s">
        <v>19</v>
      </c>
      <c r="C33" s="1033">
        <f>$M$5</f>
        <v>3.5714285714285716</v>
      </c>
      <c r="D33" s="1034" t="s">
        <v>287</v>
      </c>
      <c r="E33" s="1035">
        <f>C33/1</f>
        <v>3.5714285714285716</v>
      </c>
      <c r="F33" s="1032" t="s">
        <v>288</v>
      </c>
      <c r="G33" s="1033">
        <f>E33/1</f>
        <v>3.5714285714285716</v>
      </c>
      <c r="H33" s="116">
        <v>7.5</v>
      </c>
      <c r="I33" s="244">
        <v>9.3000000000000007</v>
      </c>
      <c r="J33" s="1036">
        <f>IF(H33&lt;7,(H33-7),(H33-I33))</f>
        <v>-1.8000000000000007</v>
      </c>
      <c r="K33" s="1037">
        <f>IF((7-H33&gt;=0),(7-H33),0)</f>
        <v>0</v>
      </c>
      <c r="L33" s="1038">
        <f>IF((I33&lt;7),7,I33)</f>
        <v>9.3000000000000007</v>
      </c>
      <c r="M33" s="1039">
        <f>IF(K33&lt;&gt;0,J33/7,(1+((H33-I33)/I33)))</f>
        <v>0.80645161290322576</v>
      </c>
      <c r="N33" s="1040">
        <f>((G33/C33)*M33)</f>
        <v>0.80645161290322576</v>
      </c>
      <c r="O33" s="1041">
        <f>IF(((G33/C33)*M33)&gt;=1,3.571428,IF(((G33/C33)*M33)&lt;=0,0,((G33/C33)*M33)*3.571428))</f>
        <v>2.8801838709677416</v>
      </c>
      <c r="P33" s="913">
        <f>O33/3.571428</f>
        <v>0.80645161290322576</v>
      </c>
      <c r="Q33" s="1042" t="s">
        <v>97</v>
      </c>
      <c r="R33" s="154" t="s">
        <v>610</v>
      </c>
      <c r="S33" s="611"/>
    </row>
    <row r="34" spans="1:19" ht="51" customHeight="1" thickBot="1" x14ac:dyDescent="0.5">
      <c r="A34" s="22">
        <v>7</v>
      </c>
      <c r="B34" s="1032" t="s">
        <v>20</v>
      </c>
      <c r="C34" s="1033">
        <f t="shared" ref="C34:C36" si="12">$M$5</f>
        <v>3.5714285714285716</v>
      </c>
      <c r="D34" s="1032" t="s">
        <v>118</v>
      </c>
      <c r="E34" s="1035">
        <f t="shared" ref="E34:E36" si="13">C34/1</f>
        <v>3.5714285714285716</v>
      </c>
      <c r="F34" s="1032" t="s">
        <v>21</v>
      </c>
      <c r="G34" s="1033">
        <f>E34/1</f>
        <v>3.5714285714285716</v>
      </c>
      <c r="H34" s="314">
        <v>13.2</v>
      </c>
      <c r="I34" s="315">
        <v>16.2</v>
      </c>
      <c r="J34" s="1044">
        <f>H34-I34</f>
        <v>-3</v>
      </c>
      <c r="K34" s="1045">
        <f>(0.5*I34)*(6/10)</f>
        <v>4.8599999999999994</v>
      </c>
      <c r="L34" s="1046">
        <f>K34+I34</f>
        <v>21.06</v>
      </c>
      <c r="M34" s="1039">
        <f>IF(K34&lt;&gt;0,J34/K34,"0%")</f>
        <v>-0.61728395061728403</v>
      </c>
      <c r="N34" s="1040">
        <f>((G34/C34)*M34)</f>
        <v>-0.61728395061728403</v>
      </c>
      <c r="O34" s="1041">
        <f>IF(((G34/C34)*M34)&gt;=1,3.571428,IF(((G34/C34)*M34)&lt;=0,0,((G34/C34)*M34)*3.571428))</f>
        <v>0</v>
      </c>
      <c r="P34" s="913">
        <f t="shared" ref="P34:P36" si="14">O34/3.571428</f>
        <v>0</v>
      </c>
      <c r="Q34" s="1042" t="s">
        <v>173</v>
      </c>
      <c r="R34" s="154" t="s">
        <v>626</v>
      </c>
      <c r="S34" s="110"/>
    </row>
    <row r="35" spans="1:19" ht="40.799999999999997" customHeight="1" thickBot="1" x14ac:dyDescent="0.5">
      <c r="A35" s="22">
        <v>8</v>
      </c>
      <c r="B35" s="1032" t="s">
        <v>22</v>
      </c>
      <c r="C35" s="1033">
        <f t="shared" si="12"/>
        <v>3.5714285714285716</v>
      </c>
      <c r="D35" s="1032" t="s">
        <v>119</v>
      </c>
      <c r="E35" s="1035">
        <f t="shared" si="13"/>
        <v>3.5714285714285716</v>
      </c>
      <c r="F35" s="1032" t="s">
        <v>23</v>
      </c>
      <c r="G35" s="1033">
        <f>E35/1</f>
        <v>3.5714285714285716</v>
      </c>
      <c r="H35" s="96">
        <v>0.12</v>
      </c>
      <c r="I35" s="264"/>
      <c r="J35" s="1047">
        <f>H35-I35</f>
        <v>0.12</v>
      </c>
      <c r="K35" s="1048">
        <f>IF((I35&gt;=1),0,((1-I35)*0.6))</f>
        <v>0.6</v>
      </c>
      <c r="L35" s="1038">
        <f>I35+K35</f>
        <v>0.6</v>
      </c>
      <c r="M35" s="950" t="str">
        <f>IF(I35=0,"0%",J35/K35)</f>
        <v>0%</v>
      </c>
      <c r="N35" s="1040">
        <f>((G35/C35)*M35)</f>
        <v>0</v>
      </c>
      <c r="O35" s="1041">
        <f>IF(((G35/C35)*M35)&gt;=1,3.571428,IF(((G35/C35)*M35)&lt;=0,0,((G35/C35)*M35)*3.571428))</f>
        <v>0</v>
      </c>
      <c r="P35" s="913">
        <f t="shared" si="14"/>
        <v>0</v>
      </c>
      <c r="Q35" s="1042" t="s">
        <v>174</v>
      </c>
      <c r="R35" s="154" t="s">
        <v>627</v>
      </c>
      <c r="S35" s="282" t="s">
        <v>617</v>
      </c>
    </row>
    <row r="36" spans="1:19" ht="32.450000000000003" customHeight="1" thickBot="1" x14ac:dyDescent="0.5">
      <c r="A36" s="22">
        <v>9</v>
      </c>
      <c r="B36" s="1032" t="s">
        <v>24</v>
      </c>
      <c r="C36" s="1033">
        <f t="shared" si="12"/>
        <v>3.5714285714285716</v>
      </c>
      <c r="D36" s="1032" t="s">
        <v>275</v>
      </c>
      <c r="E36" s="1035">
        <f t="shared" si="13"/>
        <v>3.5714285714285716</v>
      </c>
      <c r="F36" s="1049" t="s">
        <v>25</v>
      </c>
      <c r="G36" s="1033">
        <f>E36/1</f>
        <v>3.5714285714285716</v>
      </c>
      <c r="H36" s="96">
        <v>5.89</v>
      </c>
      <c r="I36" s="246">
        <v>1.8</v>
      </c>
      <c r="J36" s="1050">
        <f>H36-I36</f>
        <v>4.09</v>
      </c>
      <c r="K36" s="1051">
        <f>(1*I36)*(6/10)</f>
        <v>1.08</v>
      </c>
      <c r="L36" s="1052">
        <f>I36+K36</f>
        <v>2.88</v>
      </c>
      <c r="M36" s="1039">
        <f>IF(K36&lt;&gt;0,J36/K36,"0%")</f>
        <v>3.7870370370370368</v>
      </c>
      <c r="N36" s="1040">
        <f>((G36/C36)*M36)</f>
        <v>3.7870370370370368</v>
      </c>
      <c r="O36" s="1041">
        <f>IF(((G36/C36)*M36)&gt;=1,3.571428,IF(((G36/C36)*M36)&lt;=0,0,((G36/C36)*M36)*3.571428))</f>
        <v>3.571428</v>
      </c>
      <c r="P36" s="913">
        <f t="shared" si="14"/>
        <v>1</v>
      </c>
      <c r="Q36" s="1053" t="s">
        <v>175</v>
      </c>
      <c r="R36" s="154" t="s">
        <v>628</v>
      </c>
      <c r="S36" s="110"/>
    </row>
    <row r="37" spans="1:19" ht="30.6" customHeight="1" thickBot="1" x14ac:dyDescent="0.5">
      <c r="B37" s="1710" t="s">
        <v>26</v>
      </c>
      <c r="C37" s="1711"/>
      <c r="D37" s="1711"/>
      <c r="E37" s="1711"/>
      <c r="F37" s="1712"/>
      <c r="G37" s="1054"/>
      <c r="H37" s="1277"/>
      <c r="I37" s="1277"/>
      <c r="J37" s="1055"/>
      <c r="K37" s="1056"/>
      <c r="L37" s="1056"/>
      <c r="M37" s="1057"/>
      <c r="N37" s="911">
        <f>N38</f>
        <v>0</v>
      </c>
      <c r="O37" s="912">
        <f>O38</f>
        <v>0</v>
      </c>
      <c r="P37" s="913">
        <f>O37/3.571428</f>
        <v>0</v>
      </c>
      <c r="Q37" s="1058"/>
      <c r="R37" s="333"/>
      <c r="S37" s="334"/>
    </row>
    <row r="38" spans="1:19" ht="25.8" customHeight="1" thickBot="1" x14ac:dyDescent="0.5">
      <c r="A38" s="1617">
        <v>10</v>
      </c>
      <c r="B38" s="1618" t="s">
        <v>27</v>
      </c>
      <c r="C38" s="1678">
        <f>M5</f>
        <v>3.5714285714285716</v>
      </c>
      <c r="D38" s="977" t="s">
        <v>120</v>
      </c>
      <c r="E38" s="931">
        <f>$C$38/2</f>
        <v>1.7857142857142858</v>
      </c>
      <c r="F38" s="1059" t="s">
        <v>224</v>
      </c>
      <c r="G38" s="931">
        <f>E38/1</f>
        <v>1.7857142857142858</v>
      </c>
      <c r="H38" s="507"/>
      <c r="I38" s="508"/>
      <c r="J38" s="1060">
        <f>H38-I38</f>
        <v>0</v>
      </c>
      <c r="K38" s="1061">
        <f>(1*I38)*(6/10)</f>
        <v>0</v>
      </c>
      <c r="L38" s="1062">
        <f>I38+K38</f>
        <v>0</v>
      </c>
      <c r="M38" s="935" t="str">
        <f>IF(K38&lt;&gt;0,J38/K38,"0%")</f>
        <v>0%</v>
      </c>
      <c r="N38" s="1702">
        <f>(((G38/C38)*M38)+((G39/C38)*M39))</f>
        <v>0</v>
      </c>
      <c r="O38" s="1723">
        <f>IF((((G38/C38)*M38)+((G39/C38)*M39))&gt;=1,3.57148,IF((((G38/C38)*M38)+((G39/C38)*M39))&lt;=0,0, (((G38/C38)*M38)+((G39/C38)*M39))*3.571428))</f>
        <v>0</v>
      </c>
      <c r="P38" s="1630">
        <f>O38/3.571428</f>
        <v>0</v>
      </c>
      <c r="Q38" s="1063" t="s">
        <v>176</v>
      </c>
      <c r="R38" s="342"/>
      <c r="S38" s="193" t="s">
        <v>615</v>
      </c>
    </row>
    <row r="39" spans="1:19" ht="35.25" thickBot="1" x14ac:dyDescent="0.5">
      <c r="A39" s="1617"/>
      <c r="B39" s="1619"/>
      <c r="C39" s="1685"/>
      <c r="D39" s="982" t="s">
        <v>157</v>
      </c>
      <c r="E39" s="944">
        <f>$C$38/2</f>
        <v>1.7857142857142858</v>
      </c>
      <c r="F39" s="1064" t="s">
        <v>225</v>
      </c>
      <c r="G39" s="1005">
        <f>E39/1</f>
        <v>1.7857142857142858</v>
      </c>
      <c r="H39" s="470"/>
      <c r="I39" s="501"/>
      <c r="J39" s="1065">
        <f>H39-I39</f>
        <v>0</v>
      </c>
      <c r="K39" s="1066">
        <f>IF(AND(I39&gt;=10,H39&gt;=I39),0,((10-H39)*(6/10)))</f>
        <v>6</v>
      </c>
      <c r="L39" s="1067">
        <f>I39+K39</f>
        <v>6</v>
      </c>
      <c r="M39" s="950">
        <f>IF(K39&lt;&gt;0,J39/K39,"0%")</f>
        <v>0</v>
      </c>
      <c r="N39" s="1657"/>
      <c r="O39" s="1760"/>
      <c r="P39" s="1631"/>
      <c r="Q39" s="1068" t="s">
        <v>95</v>
      </c>
      <c r="R39" s="339"/>
      <c r="S39" s="193" t="s">
        <v>615</v>
      </c>
    </row>
    <row r="40" spans="1:19" ht="20.45" customHeight="1" thickBot="1" x14ac:dyDescent="0.5">
      <c r="B40" s="1679" t="s">
        <v>28</v>
      </c>
      <c r="C40" s="1680"/>
      <c r="D40" s="1680"/>
      <c r="E40" s="1704"/>
      <c r="F40" s="1681"/>
      <c r="G40" s="1054"/>
      <c r="H40" s="247"/>
      <c r="I40" s="247"/>
      <c r="J40" s="1069"/>
      <c r="K40" s="1070"/>
      <c r="L40" s="1070"/>
      <c r="M40" s="1071"/>
      <c r="N40" s="911">
        <f>N41</f>
        <v>0.58510638297872364</v>
      </c>
      <c r="O40" s="912">
        <f>O41</f>
        <v>2.0896653191489372</v>
      </c>
      <c r="P40" s="913">
        <f>O40/3.571428</f>
        <v>0.58510638297872364</v>
      </c>
      <c r="Q40" s="1072"/>
      <c r="R40" s="343"/>
      <c r="S40" s="336"/>
    </row>
    <row r="41" spans="1:19" ht="35.25" thickBot="1" x14ac:dyDescent="0.5">
      <c r="A41" s="1617">
        <v>11</v>
      </c>
      <c r="B41" s="1705" t="s">
        <v>29</v>
      </c>
      <c r="C41" s="1707">
        <f>M5</f>
        <v>3.5714285714285716</v>
      </c>
      <c r="D41" s="1073" t="s">
        <v>121</v>
      </c>
      <c r="E41" s="1074">
        <f>$C$41/2</f>
        <v>1.7857142857142858</v>
      </c>
      <c r="F41" s="956" t="s">
        <v>30</v>
      </c>
      <c r="G41" s="1075">
        <f>E41/1</f>
        <v>1.7857142857142858</v>
      </c>
      <c r="H41" s="319">
        <v>1.27</v>
      </c>
      <c r="I41" s="320">
        <v>0.94</v>
      </c>
      <c r="J41" s="1076">
        <f>H41-I41</f>
        <v>0.33000000000000007</v>
      </c>
      <c r="K41" s="1077">
        <f>(0.5*I41)*(6/10)</f>
        <v>0.28199999999999997</v>
      </c>
      <c r="L41" s="1078">
        <f>I41+K41</f>
        <v>1.222</v>
      </c>
      <c r="M41" s="935">
        <f>IF(K41&lt;&gt;0,J41/K41,"0%")</f>
        <v>1.1702127659574473</v>
      </c>
      <c r="N41" s="1709">
        <f>(((G41/C41)*M41)+(G42/C41)*M42)</f>
        <v>0.58510638297872364</v>
      </c>
      <c r="O41" s="1723">
        <f>IF((((G41/C41)*M41)+((G42/C41)*M42))&gt;=1,3.57148,IF((((G41/C41)*M41)+((G42/C41)*M42))&lt;=0,0, (((G41/C41)*M41)+((G42/C41)*M42))*3.571428))</f>
        <v>2.0896653191489372</v>
      </c>
      <c r="P41" s="1630">
        <f>O41/3.571428</f>
        <v>0.58510638297872364</v>
      </c>
      <c r="Q41" s="1079" t="s">
        <v>177</v>
      </c>
      <c r="R41" s="595" t="s">
        <v>586</v>
      </c>
      <c r="S41" s="635"/>
    </row>
    <row r="42" spans="1:19" ht="23.65" thickBot="1" x14ac:dyDescent="0.5">
      <c r="A42" s="1617"/>
      <c r="B42" s="1706"/>
      <c r="C42" s="1708"/>
      <c r="D42" s="1080" t="s">
        <v>122</v>
      </c>
      <c r="E42" s="1010">
        <f>$C$41/2</f>
        <v>1.7857142857142858</v>
      </c>
      <c r="F42" s="966" t="s">
        <v>31</v>
      </c>
      <c r="G42" s="1081">
        <f>E42/1</f>
        <v>1.7857142857142858</v>
      </c>
      <c r="H42" s="505"/>
      <c r="I42" s="506"/>
      <c r="J42" s="1082">
        <f>H42-I42</f>
        <v>0</v>
      </c>
      <c r="K42" s="969">
        <f>(0.5*I42)*(6/10)</f>
        <v>0</v>
      </c>
      <c r="L42" s="1083">
        <f>I42+K42</f>
        <v>0</v>
      </c>
      <c r="M42" s="950" t="str">
        <f>IF(K42&lt;&gt;0,J42/K42,"0%")</f>
        <v>0%</v>
      </c>
      <c r="N42" s="1709"/>
      <c r="O42" s="1760"/>
      <c r="P42" s="1631"/>
      <c r="Q42" s="1079" t="s">
        <v>95</v>
      </c>
      <c r="R42" s="596"/>
      <c r="S42" s="488" t="s">
        <v>591</v>
      </c>
    </row>
    <row r="43" spans="1:19" ht="30.6" customHeight="1" thickBot="1" x14ac:dyDescent="0.5">
      <c r="B43" s="1670" t="s">
        <v>32</v>
      </c>
      <c r="C43" s="1671"/>
      <c r="D43" s="1671"/>
      <c r="E43" s="1671"/>
      <c r="F43" s="1672"/>
      <c r="G43" s="996"/>
      <c r="H43" s="248"/>
      <c r="I43" s="248"/>
      <c r="J43" s="1084"/>
      <c r="K43" s="1085"/>
      <c r="L43" s="1085"/>
      <c r="M43" s="996"/>
      <c r="N43" s="911">
        <f>N44</f>
        <v>0</v>
      </c>
      <c r="O43" s="912">
        <f>O44</f>
        <v>0</v>
      </c>
      <c r="P43" s="913">
        <f>O43/3.571428</f>
        <v>0</v>
      </c>
      <c r="Q43" s="1086"/>
      <c r="R43" s="336"/>
      <c r="S43" s="336"/>
    </row>
    <row r="44" spans="1:19" ht="37.799999999999997" customHeight="1" thickBot="1" x14ac:dyDescent="0.5">
      <c r="A44" s="1617">
        <v>12</v>
      </c>
      <c r="B44" s="1624" t="s">
        <v>33</v>
      </c>
      <c r="C44" s="1678">
        <f>M5</f>
        <v>3.5714285714285716</v>
      </c>
      <c r="D44" s="999" t="s">
        <v>123</v>
      </c>
      <c r="E44" s="1087">
        <f>C44/2</f>
        <v>1.7857142857142858</v>
      </c>
      <c r="F44" s="999" t="s">
        <v>34</v>
      </c>
      <c r="G44" s="931">
        <f>$E$44/1</f>
        <v>1.7857142857142858</v>
      </c>
      <c r="H44" s="477"/>
      <c r="I44" s="491"/>
      <c r="J44" s="1088">
        <f>IF(I44=H44,(H44-30),H44-I44)</f>
        <v>-30</v>
      </c>
      <c r="K44" s="980">
        <f>IF(I44&gt;=30,0,((30-I44)*(6/10)))</f>
        <v>18</v>
      </c>
      <c r="L44" s="1089">
        <f>I44+K44</f>
        <v>18</v>
      </c>
      <c r="M44" s="989" t="str">
        <f>IF(H44=0,"0%",J44/K44)</f>
        <v>0%</v>
      </c>
      <c r="N44" s="1702">
        <f>(((G44/C44)*M44)+((G45/C44)*M45))</f>
        <v>0</v>
      </c>
      <c r="O44" s="1723">
        <f>IF((((G44/C44)*M44)+((G45/C44)*M45))&gt;=1,3.57148,IF((((G44/C44)*M44)+((G45/C44)*M45))&lt;=0,0, (((G44/C44)*M44)+((G45/C44)*M45))*3.571428))</f>
        <v>0</v>
      </c>
      <c r="P44" s="1630">
        <f>O44/3.571428</f>
        <v>0</v>
      </c>
      <c r="Q44" s="981" t="s">
        <v>178</v>
      </c>
      <c r="R44" s="346"/>
      <c r="S44" s="193" t="s">
        <v>615</v>
      </c>
    </row>
    <row r="45" spans="1:19" ht="35.25" thickBot="1" x14ac:dyDescent="0.5">
      <c r="A45" s="1617"/>
      <c r="B45" s="1626"/>
      <c r="C45" s="1686"/>
      <c r="D45" s="1024" t="s">
        <v>124</v>
      </c>
      <c r="E45" s="1090">
        <f>(C44/2)</f>
        <v>1.7857142857142858</v>
      </c>
      <c r="F45" s="1024" t="s">
        <v>35</v>
      </c>
      <c r="G45" s="944">
        <f>$E$45/1</f>
        <v>1.7857142857142858</v>
      </c>
      <c r="H45" s="475"/>
      <c r="I45" s="492"/>
      <c r="J45" s="1091">
        <f>IF(I45=H45,(H45-17),H45-I45)</f>
        <v>-17</v>
      </c>
      <c r="K45" s="1092">
        <f>IF(I45&gt;=17,0,((17-I45)*(6/10)))</f>
        <v>10.199999999999999</v>
      </c>
      <c r="L45" s="1093">
        <f>I45+K45</f>
        <v>10.199999999999999</v>
      </c>
      <c r="M45" s="1094" t="str">
        <f>IF(K45&lt;&gt;0,"0%",J45/K45)</f>
        <v>0%</v>
      </c>
      <c r="N45" s="1703"/>
      <c r="O45" s="1760"/>
      <c r="P45" s="1631"/>
      <c r="Q45" s="995" t="s">
        <v>179</v>
      </c>
      <c r="R45" s="347"/>
      <c r="S45" s="193" t="s">
        <v>615</v>
      </c>
    </row>
    <row r="46" spans="1:19" ht="30.6" customHeight="1" thickBot="1" x14ac:dyDescent="0.5">
      <c r="B46" s="1694" t="s">
        <v>36</v>
      </c>
      <c r="C46" s="1695"/>
      <c r="D46" s="1695"/>
      <c r="E46" s="1695"/>
      <c r="F46" s="1696"/>
      <c r="G46" s="1095"/>
      <c r="H46" s="138"/>
      <c r="I46" s="139"/>
      <c r="J46" s="1096"/>
      <c r="K46" s="1097"/>
      <c r="L46" s="1097"/>
      <c r="M46" s="1098"/>
      <c r="N46" s="911">
        <f>(N47+N50+N52)/3</f>
        <v>1.6519894894894895</v>
      </c>
      <c r="O46" s="912">
        <f>(O47+O50+O52)</f>
        <v>7.1428560000000001</v>
      </c>
      <c r="P46" s="913">
        <f>O46/10.714284</f>
        <v>0.66666666666666674</v>
      </c>
      <c r="Q46" s="1099"/>
      <c r="R46" s="348"/>
      <c r="S46" s="348"/>
    </row>
    <row r="47" spans="1:19" ht="20.45" customHeight="1" thickBot="1" x14ac:dyDescent="0.5">
      <c r="B47" s="1614" t="s">
        <v>37</v>
      </c>
      <c r="C47" s="1615"/>
      <c r="D47" s="1615"/>
      <c r="E47" s="1615"/>
      <c r="F47" s="1616"/>
      <c r="G47" s="1100"/>
      <c r="H47" s="247"/>
      <c r="I47" s="247"/>
      <c r="J47" s="1101"/>
      <c r="K47" s="1102"/>
      <c r="L47" s="1102"/>
      <c r="M47" s="996"/>
      <c r="N47" s="911">
        <f>N48</f>
        <v>0</v>
      </c>
      <c r="O47" s="912">
        <f>O48</f>
        <v>0</v>
      </c>
      <c r="P47" s="913">
        <f>O47/3.571428</f>
        <v>0</v>
      </c>
      <c r="Q47" s="1086"/>
      <c r="R47" s="336"/>
      <c r="S47" s="336"/>
    </row>
    <row r="48" spans="1:19" ht="37.799999999999997" customHeight="1" thickBot="1" x14ac:dyDescent="0.5">
      <c r="A48" s="1617">
        <v>13</v>
      </c>
      <c r="B48" s="1624" t="s">
        <v>38</v>
      </c>
      <c r="C48" s="1678">
        <f>M5</f>
        <v>3.5714285714285716</v>
      </c>
      <c r="D48" s="999" t="s">
        <v>125</v>
      </c>
      <c r="E48" s="931">
        <f>$C$48/2</f>
        <v>1.7857142857142858</v>
      </c>
      <c r="F48" s="1103" t="s">
        <v>289</v>
      </c>
      <c r="G48" s="931">
        <f>E48/1</f>
        <v>1.7857142857142858</v>
      </c>
      <c r="H48" s="477"/>
      <c r="I48" s="497"/>
      <c r="J48" s="1104">
        <f>H48-I48</f>
        <v>0</v>
      </c>
      <c r="K48" s="1105">
        <f>(0.5*I48)* (6/10)</f>
        <v>0</v>
      </c>
      <c r="L48" s="1106">
        <f>I48-K48</f>
        <v>0</v>
      </c>
      <c r="M48" s="962" t="str">
        <f>IF(K48&lt;&gt;0,J48/K48,"0%")</f>
        <v>0%</v>
      </c>
      <c r="N48" s="1700">
        <f>(((G48/C48)*M48)+((G49/C48)*M49))</f>
        <v>0</v>
      </c>
      <c r="O48" s="1723">
        <f>IF((((G48/C48)*M48)+((G49/C48)*M49))&gt;=1,3.57148,IF((((G48/C48)*M48)+((G49/C48)*M49))&lt;=0,0, (((G48/C48)*M48)+((G49/C48)*M49))*3.571428))</f>
        <v>0</v>
      </c>
      <c r="P48" s="1630">
        <f>O48/3.571428</f>
        <v>0</v>
      </c>
      <c r="Q48" s="1021" t="s">
        <v>95</v>
      </c>
      <c r="R48" s="342"/>
      <c r="S48" s="193" t="s">
        <v>615</v>
      </c>
    </row>
    <row r="49" spans="1:19" ht="30.6" customHeight="1" thickBot="1" x14ac:dyDescent="0.5">
      <c r="A49" s="1617"/>
      <c r="B49" s="1626"/>
      <c r="C49" s="1686"/>
      <c r="D49" s="1024" t="s">
        <v>126</v>
      </c>
      <c r="E49" s="944">
        <f>$C$48/2</f>
        <v>1.7857142857142858</v>
      </c>
      <c r="F49" s="1024" t="s">
        <v>290</v>
      </c>
      <c r="G49" s="944">
        <f>E49/1</f>
        <v>1.7857142857142858</v>
      </c>
      <c r="H49" s="498"/>
      <c r="I49" s="499"/>
      <c r="J49" s="1026">
        <f>H49-I49</f>
        <v>0</v>
      </c>
      <c r="K49" s="1107">
        <f>(2*I49)*(6/10)</f>
        <v>0</v>
      </c>
      <c r="L49" s="1108">
        <f>I49+K49</f>
        <v>0</v>
      </c>
      <c r="M49" s="950" t="str">
        <f>IF(K49&lt;&gt;0,J49/K49,"0%")</f>
        <v>0%</v>
      </c>
      <c r="N49" s="1701"/>
      <c r="O49" s="1760"/>
      <c r="P49" s="1631"/>
      <c r="Q49" s="1027" t="s">
        <v>95</v>
      </c>
      <c r="R49" s="344" t="s">
        <v>533</v>
      </c>
      <c r="S49" s="193" t="s">
        <v>615</v>
      </c>
    </row>
    <row r="50" spans="1:19" ht="15" customHeight="1" thickBot="1" x14ac:dyDescent="0.5">
      <c r="B50" s="1670" t="s">
        <v>39</v>
      </c>
      <c r="C50" s="1671"/>
      <c r="D50" s="1671"/>
      <c r="E50" s="1671"/>
      <c r="F50" s="1672"/>
      <c r="G50" s="1109"/>
      <c r="H50" s="250"/>
      <c r="I50" s="250"/>
      <c r="J50" s="1110"/>
      <c r="K50" s="1110"/>
      <c r="L50" s="1110"/>
      <c r="M50" s="1111"/>
      <c r="N50" s="911">
        <f>N51</f>
        <v>1.6666666666666667</v>
      </c>
      <c r="O50" s="912">
        <f>O51</f>
        <v>3.571428</v>
      </c>
      <c r="P50" s="913">
        <f>O50/3.571428</f>
        <v>1</v>
      </c>
      <c r="Q50" s="1112"/>
      <c r="R50" s="349"/>
      <c r="S50" s="349"/>
    </row>
    <row r="51" spans="1:19" ht="30.6" customHeight="1" thickBot="1" x14ac:dyDescent="0.5">
      <c r="A51" s="21">
        <v>14</v>
      </c>
      <c r="B51" s="1113" t="s">
        <v>226</v>
      </c>
      <c r="C51" s="1114">
        <f>M5</f>
        <v>3.5714285714285716</v>
      </c>
      <c r="D51" s="1115" t="s">
        <v>272</v>
      </c>
      <c r="E51" s="1116">
        <f>C51</f>
        <v>3.5714285714285716</v>
      </c>
      <c r="F51" s="1117" t="s">
        <v>266</v>
      </c>
      <c r="G51" s="1118">
        <f>E51/1</f>
        <v>3.5714285714285716</v>
      </c>
      <c r="H51" s="636">
        <v>100</v>
      </c>
      <c r="I51" s="637">
        <v>0</v>
      </c>
      <c r="J51" s="1119">
        <f>H51-I51</f>
        <v>100</v>
      </c>
      <c r="K51" s="1120">
        <f>(100-I51)*(6/10)</f>
        <v>60</v>
      </c>
      <c r="L51" s="1121">
        <f>I51+K51</f>
        <v>60</v>
      </c>
      <c r="M51" s="971">
        <f>IF(K51&lt;&gt;0,J51/K51,"100%")</f>
        <v>1.6666666666666667</v>
      </c>
      <c r="N51" s="1040">
        <f>((G51/C51)*M51)</f>
        <v>1.6666666666666667</v>
      </c>
      <c r="O51" s="1041">
        <f>IF(((G51/C51)*M51)&gt;=1,3.571428,IF(((G51/C51)*M51)&lt;=0,0,((G51/C51)*M51)*3.571428))</f>
        <v>3.571428</v>
      </c>
      <c r="P51" s="913">
        <f>O51/3.571428</f>
        <v>1</v>
      </c>
      <c r="Q51" s="1122" t="s">
        <v>95</v>
      </c>
      <c r="R51" s="350"/>
      <c r="S51" s="638" t="s">
        <v>629</v>
      </c>
    </row>
    <row r="52" spans="1:19" ht="20.45" customHeight="1" thickBot="1" x14ac:dyDescent="0.5">
      <c r="B52" s="1670" t="s">
        <v>40</v>
      </c>
      <c r="C52" s="1671"/>
      <c r="D52" s="1671"/>
      <c r="E52" s="1671"/>
      <c r="F52" s="1672"/>
      <c r="G52" s="1100"/>
      <c r="H52" s="247"/>
      <c r="I52" s="247"/>
      <c r="J52" s="1101"/>
      <c r="K52" s="1102"/>
      <c r="L52" s="1102"/>
      <c r="M52" s="1018"/>
      <c r="N52" s="911">
        <f>N53</f>
        <v>3.2893018018018019</v>
      </c>
      <c r="O52" s="912">
        <f>O53</f>
        <v>3.571428</v>
      </c>
      <c r="P52" s="913">
        <f>O52/3.571428</f>
        <v>1</v>
      </c>
      <c r="Q52" s="1123"/>
      <c r="R52" s="349"/>
      <c r="S52" s="349"/>
    </row>
    <row r="53" spans="1:19" ht="43.8" customHeight="1" x14ac:dyDescent="0.45">
      <c r="A53" s="1617">
        <v>15</v>
      </c>
      <c r="B53" s="1618" t="s">
        <v>108</v>
      </c>
      <c r="C53" s="1678">
        <f>M5</f>
        <v>3.5714285714285716</v>
      </c>
      <c r="D53" s="1124" t="s">
        <v>127</v>
      </c>
      <c r="E53" s="1125">
        <f>$C$53/5</f>
        <v>0.7142857142857143</v>
      </c>
      <c r="F53" s="1126" t="s">
        <v>41</v>
      </c>
      <c r="G53" s="978">
        <f>E53/1</f>
        <v>0.7142857142857143</v>
      </c>
      <c r="H53" s="97">
        <v>80</v>
      </c>
      <c r="I53" s="98">
        <v>0</v>
      </c>
      <c r="J53" s="1001">
        <f>H53-I53</f>
        <v>80</v>
      </c>
      <c r="K53" s="1105">
        <f>(100-I53)*(6/10)</f>
        <v>60</v>
      </c>
      <c r="L53" s="1062">
        <f t="shared" ref="L53:L58" si="15">I53+K53</f>
        <v>60</v>
      </c>
      <c r="M53" s="935">
        <f t="shared" ref="M53:M55" si="16">IF(K53&lt;&gt;0,J53/K53,"0%")</f>
        <v>1.3333333333333333</v>
      </c>
      <c r="N53" s="1697">
        <f>(((G53/C53)*M53)+((G54/C53)*M54)+((G55/C53)*M55)+((G56/C53)*M56)+((G57/C53)*M57)+((G58/C53)*M58))</f>
        <v>3.2893018018018019</v>
      </c>
      <c r="O53" s="1687">
        <f>IF((((G53/C53)*M53)+((G54/C53)*M54)+((G55/C53)*M55)+((G56/C53)*M56)+((G57/C53)*M57)+((G58/C53)*M58))&gt;=1,3.571428,IF((((G53/C53)*M53)+((G54/C53)*M54)+((G55/C53)*M55)+((G56/C53)*M56)+((G57/C53)*M57)+((G58/C53)*M58))&lt;=0,0,((((G53/C53)*M53)+((G54/C53)*M54)+((G55/C53)*M55)+((G56/C53)*M56)+((G57/C53)*M57)+((G58/C53)*M58))*3.571428)))</f>
        <v>3.571428</v>
      </c>
      <c r="P53" s="1630">
        <f>O53/3.571428</f>
        <v>1</v>
      </c>
      <c r="Q53" s="1127" t="s">
        <v>95</v>
      </c>
      <c r="R53" s="154" t="s">
        <v>630</v>
      </c>
      <c r="S53" s="154"/>
    </row>
    <row r="54" spans="1:19" ht="35.450000000000003" customHeight="1" thickBot="1" x14ac:dyDescent="0.5">
      <c r="A54" s="1617"/>
      <c r="B54" s="1619"/>
      <c r="C54" s="1685"/>
      <c r="D54" s="1128" t="s">
        <v>128</v>
      </c>
      <c r="E54" s="1129">
        <f t="shared" ref="E54:E57" si="17">$C$53/5</f>
        <v>0.7142857142857143</v>
      </c>
      <c r="F54" s="1130" t="s">
        <v>42</v>
      </c>
      <c r="G54" s="983">
        <f>E54/1</f>
        <v>0.7142857142857143</v>
      </c>
      <c r="H54" s="113">
        <v>0</v>
      </c>
      <c r="I54" s="107">
        <v>0</v>
      </c>
      <c r="J54" s="1007">
        <f>H54-I54</f>
        <v>0</v>
      </c>
      <c r="K54" s="1066">
        <f>(100-I54)*(6/6)</f>
        <v>100</v>
      </c>
      <c r="L54" s="1067">
        <f>I54+K54</f>
        <v>100</v>
      </c>
      <c r="M54" s="989">
        <f t="shared" si="16"/>
        <v>0</v>
      </c>
      <c r="N54" s="1698"/>
      <c r="O54" s="1761"/>
      <c r="P54" s="1635"/>
      <c r="Q54" s="1131" t="s">
        <v>95</v>
      </c>
      <c r="R54" s="169"/>
      <c r="S54" s="169"/>
    </row>
    <row r="55" spans="1:19" ht="34.25" customHeight="1" thickBot="1" x14ac:dyDescent="0.5">
      <c r="A55" s="1617"/>
      <c r="B55" s="1619"/>
      <c r="C55" s="1685"/>
      <c r="D55" s="1128" t="s">
        <v>129</v>
      </c>
      <c r="E55" s="1129">
        <f t="shared" si="17"/>
        <v>0.7142857142857143</v>
      </c>
      <c r="F55" s="1130" t="s">
        <v>43</v>
      </c>
      <c r="G55" s="983">
        <f>E55/1</f>
        <v>0.7142857142857143</v>
      </c>
      <c r="H55" s="470"/>
      <c r="I55" s="496"/>
      <c r="J55" s="1007">
        <f>H55-I55</f>
        <v>0</v>
      </c>
      <c r="K55" s="1066">
        <f>(100-I55)*(6/10)</f>
        <v>60</v>
      </c>
      <c r="L55" s="1067">
        <f t="shared" si="15"/>
        <v>60</v>
      </c>
      <c r="M55" s="989">
        <f t="shared" si="16"/>
        <v>0</v>
      </c>
      <c r="N55" s="1698"/>
      <c r="O55" s="1761"/>
      <c r="P55" s="1635"/>
      <c r="Q55" s="1131" t="s">
        <v>95</v>
      </c>
      <c r="R55" s="169"/>
      <c r="S55" s="639" t="s">
        <v>631</v>
      </c>
    </row>
    <row r="56" spans="1:19" ht="37.25" customHeight="1" thickBot="1" x14ac:dyDescent="0.5">
      <c r="A56" s="1617"/>
      <c r="B56" s="1619"/>
      <c r="C56" s="1685"/>
      <c r="D56" s="1128" t="s">
        <v>130</v>
      </c>
      <c r="E56" s="1129">
        <f t="shared" si="17"/>
        <v>0.7142857142857143</v>
      </c>
      <c r="F56" s="1130" t="s">
        <v>44</v>
      </c>
      <c r="G56" s="983">
        <f>E56/1</f>
        <v>0.7142857142857143</v>
      </c>
      <c r="H56" s="113">
        <v>275</v>
      </c>
      <c r="I56" s="107">
        <v>37</v>
      </c>
      <c r="J56" s="1007">
        <f>H56-I56</f>
        <v>238</v>
      </c>
      <c r="K56" s="1132">
        <f>(0.5*I56)*(6/7)</f>
        <v>15.857142857142856</v>
      </c>
      <c r="L56" s="1067">
        <f t="shared" si="15"/>
        <v>52.857142857142854</v>
      </c>
      <c r="M56" s="989">
        <f>IF(K56&lt;&gt;0,J56/K56,"0%")</f>
        <v>15.009009009009009</v>
      </c>
      <c r="N56" s="1698"/>
      <c r="O56" s="1761"/>
      <c r="P56" s="1635"/>
      <c r="Q56" s="1131" t="s">
        <v>101</v>
      </c>
      <c r="R56" s="154" t="s">
        <v>632</v>
      </c>
      <c r="S56" s="154"/>
    </row>
    <row r="57" spans="1:19" ht="22.8" customHeight="1" thickBot="1" x14ac:dyDescent="0.5">
      <c r="A57" s="1617"/>
      <c r="B57" s="1619"/>
      <c r="C57" s="1685"/>
      <c r="D57" s="1690" t="s">
        <v>131</v>
      </c>
      <c r="E57" s="1692">
        <f t="shared" si="17"/>
        <v>0.7142857142857143</v>
      </c>
      <c r="F57" s="1130" t="s">
        <v>45</v>
      </c>
      <c r="G57" s="983">
        <f>$E$57/2</f>
        <v>0.35714285714285715</v>
      </c>
      <c r="H57" s="321">
        <v>72.39</v>
      </c>
      <c r="I57" s="496"/>
      <c r="J57" s="1007">
        <f t="shared" ref="J57:J58" si="18">H57-I57</f>
        <v>72.39</v>
      </c>
      <c r="K57" s="1133">
        <f>(1*I57)*(6/10)</f>
        <v>0</v>
      </c>
      <c r="L57" s="1067">
        <f t="shared" si="15"/>
        <v>0</v>
      </c>
      <c r="M57" s="989" t="str">
        <f>IF(K57&lt;&gt;0,J57/K57,"0%")</f>
        <v>0%</v>
      </c>
      <c r="N57" s="1698"/>
      <c r="O57" s="1761"/>
      <c r="P57" s="1635"/>
      <c r="Q57" s="1131" t="s">
        <v>180</v>
      </c>
      <c r="R57" s="154" t="s">
        <v>633</v>
      </c>
      <c r="S57" s="282" t="s">
        <v>634</v>
      </c>
    </row>
    <row r="58" spans="1:19" ht="15" customHeight="1" thickBot="1" x14ac:dyDescent="0.5">
      <c r="A58" s="1617"/>
      <c r="B58" s="1620"/>
      <c r="C58" s="1686"/>
      <c r="D58" s="1691"/>
      <c r="E58" s="1693"/>
      <c r="F58" s="943" t="s">
        <v>46</v>
      </c>
      <c r="G58" s="992">
        <f>$E$57/2</f>
        <v>0.35714285714285715</v>
      </c>
      <c r="H58" s="312">
        <v>9</v>
      </c>
      <c r="I58" s="114">
        <v>8</v>
      </c>
      <c r="J58" s="1013">
        <f t="shared" si="18"/>
        <v>1</v>
      </c>
      <c r="K58" s="1107">
        <f>(1*I58)*(6/10)</f>
        <v>4.8</v>
      </c>
      <c r="L58" s="1134">
        <f t="shared" si="15"/>
        <v>12.8</v>
      </c>
      <c r="M58" s="950">
        <f>IF(K58&lt;&gt;0,J58/K58,"0%")</f>
        <v>0.20833333333333334</v>
      </c>
      <c r="N58" s="1699"/>
      <c r="O58" s="1762"/>
      <c r="P58" s="1631"/>
      <c r="Q58" s="1135" t="s">
        <v>95</v>
      </c>
      <c r="R58" s="154" t="s">
        <v>633</v>
      </c>
      <c r="S58" s="166"/>
    </row>
    <row r="59" spans="1:19" ht="23.45" customHeight="1" thickBot="1" x14ac:dyDescent="0.5">
      <c r="B59" s="1694" t="s">
        <v>47</v>
      </c>
      <c r="C59" s="1695"/>
      <c r="D59" s="1695"/>
      <c r="E59" s="1695"/>
      <c r="F59" s="1696"/>
      <c r="G59" s="1136"/>
      <c r="H59" s="254"/>
      <c r="I59" s="254"/>
      <c r="J59" s="1137"/>
      <c r="K59" s="1137"/>
      <c r="L59" s="1137"/>
      <c r="M59" s="1098"/>
      <c r="N59" s="911">
        <f>(N60+N67)/2</f>
        <v>8.3333333333333329E-2</v>
      </c>
      <c r="O59" s="912">
        <f>(O60+O67)</f>
        <v>0.59523799999999993</v>
      </c>
      <c r="P59" s="913">
        <f>O59/7.142856</f>
        <v>8.3333333333333329E-2</v>
      </c>
      <c r="Q59" s="1138"/>
      <c r="R59" s="352"/>
      <c r="S59" s="353"/>
    </row>
    <row r="60" spans="1:19" ht="22.25" customHeight="1" thickBot="1" x14ac:dyDescent="0.5">
      <c r="B60" s="1670" t="s">
        <v>48</v>
      </c>
      <c r="C60" s="1671"/>
      <c r="D60" s="1671"/>
      <c r="E60" s="1671"/>
      <c r="F60" s="1672"/>
      <c r="G60" s="996"/>
      <c r="H60" s="512"/>
      <c r="I60" s="512"/>
      <c r="J60" s="1016"/>
      <c r="K60" s="1017"/>
      <c r="L60" s="1017"/>
      <c r="M60" s="996"/>
      <c r="N60" s="911">
        <f>N61</f>
        <v>0.16666666666666666</v>
      </c>
      <c r="O60" s="912">
        <f>O61</f>
        <v>0.59523799999999993</v>
      </c>
      <c r="P60" s="913">
        <f>O60/3.571428</f>
        <v>0.16666666666666666</v>
      </c>
      <c r="Q60" s="997"/>
      <c r="R60" s="336"/>
      <c r="S60" s="336"/>
    </row>
    <row r="61" spans="1:19" ht="39" customHeight="1" thickBot="1" x14ac:dyDescent="0.5">
      <c r="A61" s="1617">
        <v>16</v>
      </c>
      <c r="B61" s="1618" t="s">
        <v>49</v>
      </c>
      <c r="C61" s="1678">
        <f>M5</f>
        <v>3.5714285714285716</v>
      </c>
      <c r="D61" s="999" t="s">
        <v>133</v>
      </c>
      <c r="E61" s="931">
        <f>$C$61/4</f>
        <v>0.8928571428571429</v>
      </c>
      <c r="F61" s="999" t="s">
        <v>50</v>
      </c>
      <c r="G61" s="978">
        <f>E61/1</f>
        <v>0.8928571428571429</v>
      </c>
      <c r="H61" s="640"/>
      <c r="I61" s="641"/>
      <c r="J61" s="1088">
        <f>IF(I61=H61,(H61-70),H61-I61)</f>
        <v>-70</v>
      </c>
      <c r="K61" s="980">
        <f>IF(I61&gt;=70,0,((70-I61)*(6/10)))</f>
        <v>42</v>
      </c>
      <c r="L61" s="1140">
        <f t="shared" ref="L61:L66" si="19">I61+K61</f>
        <v>42</v>
      </c>
      <c r="M61" s="989" t="str">
        <f>IF(H61=0,"0%",J61/K61)</f>
        <v>0%</v>
      </c>
      <c r="N61" s="1627">
        <f>(((G61/C61)*M61)+((G62/C61)*M62)+((G63/C61)*M63)+((G64/C61)*M64)+((G65/C61)*M65)+((G66/C61)*M66))</f>
        <v>0.16666666666666666</v>
      </c>
      <c r="O61" s="1687">
        <f>IF((((G61/C61)*M61)+((G62/C61)*M62)+((G63/C61)*M63)+((G64/C61)*M64)+((G65/C61)*M65)+((G66/C61)*M66))&gt;=1,3.571428,IF((((G61/C61)*M61)+((G62/C61)*M62)+((G63/C61)*M63)+((G64/C61)*M64)+((G65/C61)*M65)+((G66/C61)*M66))&lt;=0,0,((((G61/C61)*M61)+((G62/C61)*M62)+((G63/C61)*M63)+((G64/C61)*M64)+((G65/C61)*M65)+((G66/C61)*M66))*3.571428)))</f>
        <v>0.59523799999999993</v>
      </c>
      <c r="P61" s="1630">
        <f>O61/3.571428</f>
        <v>0.16666666666666666</v>
      </c>
      <c r="Q61" s="1063" t="s">
        <v>181</v>
      </c>
      <c r="R61" s="599"/>
      <c r="S61" s="193" t="s">
        <v>615</v>
      </c>
    </row>
    <row r="62" spans="1:19" ht="58.25" customHeight="1" thickBot="1" x14ac:dyDescent="0.5">
      <c r="A62" s="1617"/>
      <c r="B62" s="1619"/>
      <c r="C62" s="1685"/>
      <c r="D62" s="1004" t="s">
        <v>134</v>
      </c>
      <c r="E62" s="1005">
        <f t="shared" ref="E62:E63" si="20">$C$61/4</f>
        <v>0.8928571428571429</v>
      </c>
      <c r="F62" s="1128" t="s">
        <v>276</v>
      </c>
      <c r="G62" s="983">
        <f>$E$62/1</f>
        <v>0.8928571428571429</v>
      </c>
      <c r="H62" s="642"/>
      <c r="I62" s="643"/>
      <c r="J62" s="1141">
        <f>IF(I62=H62,(H62-70),H62-I62)</f>
        <v>-70</v>
      </c>
      <c r="K62" s="987">
        <f t="shared" ref="K62:K63" si="21">IF(I62&gt;=70,0,((70-I62)*(6/10)))</f>
        <v>42</v>
      </c>
      <c r="L62" s="1142">
        <f t="shared" si="19"/>
        <v>42</v>
      </c>
      <c r="M62" s="989" t="str">
        <f>IF(H62=0,"0%",J62/K62)</f>
        <v>0%</v>
      </c>
      <c r="N62" s="1628"/>
      <c r="O62" s="1761"/>
      <c r="P62" s="1635"/>
      <c r="Q62" s="1068" t="s">
        <v>182</v>
      </c>
      <c r="R62" s="600" t="s">
        <v>588</v>
      </c>
      <c r="S62" s="193" t="s">
        <v>615</v>
      </c>
    </row>
    <row r="63" spans="1:19" ht="26.45" customHeight="1" thickBot="1" x14ac:dyDescent="0.5">
      <c r="A63" s="1617"/>
      <c r="B63" s="1619"/>
      <c r="C63" s="1685"/>
      <c r="D63" s="1004" t="s">
        <v>135</v>
      </c>
      <c r="E63" s="1005">
        <f t="shared" si="20"/>
        <v>0.8928571428571429</v>
      </c>
      <c r="F63" s="1004" t="s">
        <v>51</v>
      </c>
      <c r="G63" s="983">
        <f>E63/1</f>
        <v>0.8928571428571429</v>
      </c>
      <c r="H63" s="642"/>
      <c r="I63" s="643"/>
      <c r="J63" s="1141">
        <f>IF(I63=H63,(H63-70),H63-I63)</f>
        <v>-70</v>
      </c>
      <c r="K63" s="987">
        <f t="shared" si="21"/>
        <v>42</v>
      </c>
      <c r="L63" s="1142">
        <f t="shared" si="19"/>
        <v>42</v>
      </c>
      <c r="M63" s="989" t="str">
        <f>IF(H63=0,"0%",J63/K63)</f>
        <v>0%</v>
      </c>
      <c r="N63" s="1628"/>
      <c r="O63" s="1761"/>
      <c r="P63" s="1635"/>
      <c r="Q63" s="1068" t="s">
        <v>95</v>
      </c>
      <c r="R63" s="601"/>
      <c r="S63" s="193" t="s">
        <v>615</v>
      </c>
    </row>
    <row r="64" spans="1:19" ht="15" customHeight="1" thickBot="1" x14ac:dyDescent="0.5">
      <c r="A64" s="1617"/>
      <c r="B64" s="1619"/>
      <c r="C64" s="1685"/>
      <c r="D64" s="1625" t="s">
        <v>136</v>
      </c>
      <c r="E64" s="1688">
        <f>$C$61/4</f>
        <v>0.8928571428571429</v>
      </c>
      <c r="F64" s="1143" t="s">
        <v>52</v>
      </c>
      <c r="G64" s="1144">
        <f>$E$64/3</f>
        <v>0.29761904761904762</v>
      </c>
      <c r="H64" s="644">
        <v>100</v>
      </c>
      <c r="I64" s="645">
        <v>100</v>
      </c>
      <c r="J64" s="1145">
        <f t="shared" ref="J64:J66" si="22">H64-I64</f>
        <v>0</v>
      </c>
      <c r="K64" s="1146">
        <f>(100-I64)*(6/10)</f>
        <v>0</v>
      </c>
      <c r="L64" s="1142">
        <f t="shared" si="19"/>
        <v>100</v>
      </c>
      <c r="M64" s="989" t="str">
        <f t="shared" ref="M64:M66" si="23">IF(K64&lt;&gt;0,J64/K64,"100%")</f>
        <v>100%</v>
      </c>
      <c r="N64" s="1628"/>
      <c r="O64" s="1761"/>
      <c r="P64" s="1635"/>
      <c r="Q64" s="1068" t="s">
        <v>95</v>
      </c>
      <c r="R64" s="602"/>
      <c r="S64" s="597" t="s">
        <v>589</v>
      </c>
    </row>
    <row r="65" spans="1:19" ht="14.65" thickBot="1" x14ac:dyDescent="0.5">
      <c r="A65" s="1617"/>
      <c r="B65" s="1619"/>
      <c r="C65" s="1685"/>
      <c r="D65" s="1625"/>
      <c r="E65" s="1688"/>
      <c r="F65" s="1143" t="s">
        <v>53</v>
      </c>
      <c r="G65" s="1144">
        <f t="shared" ref="G65:G66" si="24">$E$64/3</f>
        <v>0.29761904761904762</v>
      </c>
      <c r="H65" s="644">
        <v>100</v>
      </c>
      <c r="I65" s="645">
        <v>100</v>
      </c>
      <c r="J65" s="1145">
        <f t="shared" si="22"/>
        <v>0</v>
      </c>
      <c r="K65" s="1146">
        <f>(100-I65)*(6/10)</f>
        <v>0</v>
      </c>
      <c r="L65" s="1142">
        <f t="shared" si="19"/>
        <v>100</v>
      </c>
      <c r="M65" s="989" t="str">
        <f t="shared" si="23"/>
        <v>100%</v>
      </c>
      <c r="N65" s="1628"/>
      <c r="O65" s="1761"/>
      <c r="P65" s="1635"/>
      <c r="Q65" s="1068" t="s">
        <v>95</v>
      </c>
      <c r="R65" s="601"/>
      <c r="S65" s="597" t="s">
        <v>589</v>
      </c>
    </row>
    <row r="66" spans="1:19" ht="27.6" customHeight="1" thickBot="1" x14ac:dyDescent="0.5">
      <c r="A66" s="1617"/>
      <c r="B66" s="1620"/>
      <c r="C66" s="1686"/>
      <c r="D66" s="1626"/>
      <c r="E66" s="1689"/>
      <c r="F66" s="1147" t="s">
        <v>54</v>
      </c>
      <c r="G66" s="1148">
        <f t="shared" si="24"/>
        <v>0.29761904761904762</v>
      </c>
      <c r="H66" s="503"/>
      <c r="I66" s="504"/>
      <c r="J66" s="1149">
        <f t="shared" si="22"/>
        <v>0</v>
      </c>
      <c r="K66" s="1150">
        <f>(100-I66)*(6/10)</f>
        <v>60</v>
      </c>
      <c r="L66" s="1151">
        <f t="shared" si="19"/>
        <v>60</v>
      </c>
      <c r="M66" s="950">
        <f t="shared" si="23"/>
        <v>0</v>
      </c>
      <c r="N66" s="1629"/>
      <c r="O66" s="1762"/>
      <c r="P66" s="1631"/>
      <c r="Q66" s="1152" t="s">
        <v>95</v>
      </c>
      <c r="R66" s="596"/>
      <c r="S66" s="193" t="s">
        <v>615</v>
      </c>
    </row>
    <row r="67" spans="1:19" ht="27" customHeight="1" thickBot="1" x14ac:dyDescent="0.5">
      <c r="B67" s="1614" t="s">
        <v>55</v>
      </c>
      <c r="C67" s="1615"/>
      <c r="D67" s="1615"/>
      <c r="E67" s="1615"/>
      <c r="F67" s="1616"/>
      <c r="G67" s="1084"/>
      <c r="H67" s="513"/>
      <c r="I67" s="513"/>
      <c r="J67" s="1084"/>
      <c r="K67" s="1085"/>
      <c r="L67" s="1085"/>
      <c r="M67" s="996"/>
      <c r="N67" s="911">
        <f>N68</f>
        <v>0</v>
      </c>
      <c r="O67" s="912">
        <f>O68</f>
        <v>0</v>
      </c>
      <c r="P67" s="913">
        <f>O67/3.571428</f>
        <v>0</v>
      </c>
      <c r="Q67" s="1153"/>
      <c r="R67" s="354"/>
      <c r="S67" s="349"/>
    </row>
    <row r="68" spans="1:19" ht="58.5" thickBot="1" x14ac:dyDescent="0.5">
      <c r="A68" s="22">
        <v>17</v>
      </c>
      <c r="B68" s="1154" t="s">
        <v>56</v>
      </c>
      <c r="C68" s="1155">
        <f>M5</f>
        <v>3.5714285714285716</v>
      </c>
      <c r="D68" s="1154" t="s">
        <v>137</v>
      </c>
      <c r="E68" s="1155">
        <f>C68</f>
        <v>3.5714285714285716</v>
      </c>
      <c r="F68" s="1154" t="s">
        <v>57</v>
      </c>
      <c r="G68" s="1156">
        <f>E68/1</f>
        <v>3.5714285714285716</v>
      </c>
      <c r="H68" s="474"/>
      <c r="I68" s="264"/>
      <c r="J68" s="1157">
        <f>IF(I68=H68,(H68-70),I68-H68)</f>
        <v>-70</v>
      </c>
      <c r="K68" s="1051">
        <f t="shared" ref="K68" si="25">IF(I68&gt;=70,0,((70-I68)*(6/10)))</f>
        <v>42</v>
      </c>
      <c r="L68" s="1158">
        <f>I68-K68</f>
        <v>-42</v>
      </c>
      <c r="M68" s="989" t="str">
        <f>IF(H68=0,"0%",J68/K68)</f>
        <v>0%</v>
      </c>
      <c r="N68" s="1159">
        <f>((G68/C68)*M68)</f>
        <v>0</v>
      </c>
      <c r="O68" s="1041">
        <f>IF(((G68/C68)*M68)&gt;=1,3.571428,IF(((G68/C68)*M68)&lt;=0,0,((G68/C68)*M68)*3.571428))</f>
        <v>0</v>
      </c>
      <c r="P68" s="913">
        <f>O68/3.571428</f>
        <v>0</v>
      </c>
      <c r="Q68" s="1160" t="s">
        <v>132</v>
      </c>
      <c r="R68" s="355"/>
      <c r="S68" s="193" t="s">
        <v>615</v>
      </c>
    </row>
    <row r="69" spans="1:19" ht="22.25" customHeight="1" thickBot="1" x14ac:dyDescent="0.5">
      <c r="B69" s="1563" t="s">
        <v>58</v>
      </c>
      <c r="C69" s="1564"/>
      <c r="D69" s="1564"/>
      <c r="E69" s="1564"/>
      <c r="F69" s="1565"/>
      <c r="G69" s="223"/>
      <c r="H69" s="144"/>
      <c r="I69" s="255"/>
      <c r="J69" s="224"/>
      <c r="K69" s="92"/>
      <c r="L69" s="92"/>
      <c r="M69" s="1161"/>
      <c r="N69" s="911">
        <f>(N70+N72+N74)/3</f>
        <v>0.66666666666666663</v>
      </c>
      <c r="O69" s="912">
        <f>(O70+O72+O74)</f>
        <v>7.1428560000000001</v>
      </c>
      <c r="P69" s="913">
        <f>O69/10.714284</f>
        <v>0.66666666666666674</v>
      </c>
      <c r="Q69" s="886"/>
      <c r="R69" s="255"/>
      <c r="S69" s="356"/>
    </row>
    <row r="70" spans="1:19" ht="20.45" customHeight="1" thickBot="1" x14ac:dyDescent="0.5">
      <c r="B70" s="1670" t="s">
        <v>59</v>
      </c>
      <c r="C70" s="1671"/>
      <c r="D70" s="1671"/>
      <c r="E70" s="1671"/>
      <c r="F70" s="1672"/>
      <c r="G70" s="996"/>
      <c r="H70" s="136"/>
      <c r="I70" s="137"/>
      <c r="J70" s="997"/>
      <c r="K70" s="997"/>
      <c r="L70" s="997"/>
      <c r="M70" s="1162"/>
      <c r="N70" s="911">
        <f>N71</f>
        <v>0</v>
      </c>
      <c r="O70" s="912">
        <f>O71</f>
        <v>0</v>
      </c>
      <c r="P70" s="913">
        <f t="shared" ref="P70:P78" si="26">O70/3.571428</f>
        <v>0</v>
      </c>
      <c r="Q70" s="1123"/>
      <c r="R70" s="349"/>
      <c r="S70" s="349"/>
    </row>
    <row r="71" spans="1:19" ht="52.25" customHeight="1" thickBot="1" x14ac:dyDescent="0.5">
      <c r="A71" s="22">
        <v>18</v>
      </c>
      <c r="B71" s="1163" t="s">
        <v>60</v>
      </c>
      <c r="C71" s="1164">
        <f>M5</f>
        <v>3.5714285714285716</v>
      </c>
      <c r="D71" s="1165" t="s">
        <v>138</v>
      </c>
      <c r="E71" s="1166">
        <f>C71</f>
        <v>3.5714285714285716</v>
      </c>
      <c r="F71" s="1167" t="s">
        <v>61</v>
      </c>
      <c r="G71" s="1168">
        <f>E71/1</f>
        <v>3.5714285714285716</v>
      </c>
      <c r="H71" s="472"/>
      <c r="I71" s="264"/>
      <c r="J71" s="1169">
        <f>I71-H71</f>
        <v>0</v>
      </c>
      <c r="K71" s="1048">
        <f>(0.5*I71)*0.6</f>
        <v>0</v>
      </c>
      <c r="L71" s="1158">
        <f>I71-K71</f>
        <v>0</v>
      </c>
      <c r="M71" s="989" t="str">
        <f>IF(H71=0,"0%",J71/K71)</f>
        <v>0%</v>
      </c>
      <c r="N71" s="1159">
        <f>((G71/C71)*M71)</f>
        <v>0</v>
      </c>
      <c r="O71" s="1041">
        <f>IF(((G71/C71)*M71)&gt;=1,3.571428,IF(((G71/C71)*M71)&lt;=0,0,((G71/C71)*M71)*3.571428))</f>
        <v>0</v>
      </c>
      <c r="P71" s="913">
        <f t="shared" si="26"/>
        <v>0</v>
      </c>
      <c r="Q71" s="1170" t="s">
        <v>183</v>
      </c>
      <c r="R71" s="355" t="s">
        <v>635</v>
      </c>
      <c r="S71" s="193" t="s">
        <v>615</v>
      </c>
    </row>
    <row r="72" spans="1:19" ht="20.45" customHeight="1" thickBot="1" x14ac:dyDescent="0.5">
      <c r="B72" s="1679" t="s">
        <v>277</v>
      </c>
      <c r="C72" s="1680"/>
      <c r="D72" s="1680"/>
      <c r="E72" s="1680"/>
      <c r="F72" s="1681"/>
      <c r="G72" s="1054"/>
      <c r="H72" s="134"/>
      <c r="I72" s="247"/>
      <c r="J72" s="1055"/>
      <c r="K72" s="1056"/>
      <c r="L72" s="1056"/>
      <c r="M72" s="1057"/>
      <c r="N72" s="911">
        <f>N73</f>
        <v>1</v>
      </c>
      <c r="O72" s="912">
        <f>O73</f>
        <v>3.571428</v>
      </c>
      <c r="P72" s="913">
        <f t="shared" si="26"/>
        <v>1</v>
      </c>
      <c r="Q72" s="1171"/>
      <c r="R72" s="349"/>
      <c r="S72" s="349"/>
    </row>
    <row r="73" spans="1:19" ht="45" customHeight="1" thickBot="1" x14ac:dyDescent="0.5">
      <c r="A73" s="22">
        <v>19</v>
      </c>
      <c r="B73" s="1172" t="s">
        <v>62</v>
      </c>
      <c r="C73" s="1173">
        <f>M5</f>
        <v>3.5714285714285716</v>
      </c>
      <c r="D73" s="1174" t="s">
        <v>139</v>
      </c>
      <c r="E73" s="1173">
        <f>C73</f>
        <v>3.5714285714285716</v>
      </c>
      <c r="F73" s="1175" t="s">
        <v>63</v>
      </c>
      <c r="G73" s="1176">
        <f>E73/1</f>
        <v>3.5714285714285716</v>
      </c>
      <c r="H73" s="472">
        <v>0</v>
      </c>
      <c r="I73" s="511">
        <v>1</v>
      </c>
      <c r="J73" s="1177">
        <f>I73-H73</f>
        <v>1</v>
      </c>
      <c r="K73" s="1178">
        <f>IF(H73&gt;0,(H73),I73)</f>
        <v>1</v>
      </c>
      <c r="L73" s="1179">
        <f>I73-K73</f>
        <v>0</v>
      </c>
      <c r="M73" s="989">
        <f t="shared" ref="M73" si="27">IF(K73&lt;&gt;0,J73/K73,"100%")</f>
        <v>1</v>
      </c>
      <c r="N73" s="1159">
        <f>((G73/C73)*M73)</f>
        <v>1</v>
      </c>
      <c r="O73" s="1041">
        <f>IF(((G73/C73)*M73)&gt;=1,3.571428,IF(((G73/C73)*M73)&lt;=0,0,((G73/C73)*M73)*3.571428))</f>
        <v>3.571428</v>
      </c>
      <c r="P73" s="913">
        <f t="shared" si="26"/>
        <v>1</v>
      </c>
      <c r="Q73" s="1180" t="s">
        <v>95</v>
      </c>
      <c r="R73" s="24" t="s">
        <v>636</v>
      </c>
      <c r="S73" s="635"/>
    </row>
    <row r="74" spans="1:19" ht="30.6" customHeight="1" thickBot="1" x14ac:dyDescent="0.5">
      <c r="B74" s="1670" t="s">
        <v>64</v>
      </c>
      <c r="C74" s="1671"/>
      <c r="D74" s="1671"/>
      <c r="E74" s="1671"/>
      <c r="F74" s="1672"/>
      <c r="G74" s="997"/>
      <c r="H74" s="136"/>
      <c r="I74" s="137"/>
      <c r="J74" s="997"/>
      <c r="K74" s="997"/>
      <c r="L74" s="997"/>
      <c r="M74" s="996"/>
      <c r="N74" s="911">
        <f>N75</f>
        <v>1</v>
      </c>
      <c r="O74" s="912">
        <f>O75</f>
        <v>3.571428</v>
      </c>
      <c r="P74" s="913">
        <f t="shared" si="26"/>
        <v>1</v>
      </c>
      <c r="Q74" s="1123"/>
      <c r="R74" s="18"/>
      <c r="S74" s="349"/>
    </row>
    <row r="75" spans="1:19" ht="29.45" customHeight="1" thickBot="1" x14ac:dyDescent="0.5">
      <c r="A75" s="22">
        <v>20</v>
      </c>
      <c r="B75" s="1172" t="s">
        <v>65</v>
      </c>
      <c r="C75" s="1035">
        <f>M5</f>
        <v>3.5714285714285716</v>
      </c>
      <c r="D75" s="1165" t="s">
        <v>140</v>
      </c>
      <c r="E75" s="1181">
        <f>C75</f>
        <v>3.5714285714285716</v>
      </c>
      <c r="F75" s="1174" t="s">
        <v>66</v>
      </c>
      <c r="G75" s="1168">
        <f>E75/1</f>
        <v>3.5714285714285716</v>
      </c>
      <c r="H75" s="1279">
        <v>1</v>
      </c>
      <c r="I75" s="1278">
        <v>0</v>
      </c>
      <c r="J75" s="1119">
        <f>H75-I75</f>
        <v>1</v>
      </c>
      <c r="K75" s="1120">
        <f>IF(AND(H75=0,I75=1)," 1",(H75-I75))</f>
        <v>1</v>
      </c>
      <c r="L75" s="1182">
        <f>I75+K75</f>
        <v>1</v>
      </c>
      <c r="M75" s="1183">
        <f>(IF(I75=1,1,(J75/K75)))</f>
        <v>1</v>
      </c>
      <c r="N75" s="1159">
        <f>((G75/C75)*M75)</f>
        <v>1</v>
      </c>
      <c r="O75" s="1041">
        <f>IF(((G75/C75)*M75)&gt;=1,3.571428,IF(((G75/C75)*M75)&lt;=0,0,((G75/C75)*M75)*3.571428))</f>
        <v>3.571428</v>
      </c>
      <c r="P75" s="913">
        <f t="shared" si="26"/>
        <v>1</v>
      </c>
      <c r="Q75" s="1184" t="s">
        <v>95</v>
      </c>
      <c r="R75" s="110" t="s">
        <v>637</v>
      </c>
      <c r="S75" s="110"/>
    </row>
    <row r="76" spans="1:19" ht="20.45" customHeight="1" thickBot="1" x14ac:dyDescent="0.5">
      <c r="B76" s="1682" t="s">
        <v>67</v>
      </c>
      <c r="C76" s="1683"/>
      <c r="D76" s="1683"/>
      <c r="E76" s="1683"/>
      <c r="F76" s="1684"/>
      <c r="G76" s="1185"/>
      <c r="H76" s="146"/>
      <c r="I76" s="147"/>
      <c r="J76" s="1186"/>
      <c r="K76" s="885"/>
      <c r="L76" s="885"/>
      <c r="M76" s="1185"/>
      <c r="N76" s="911">
        <f t="shared" ref="N76:O77" si="28">N77</f>
        <v>0</v>
      </c>
      <c r="O76" s="912">
        <f t="shared" si="28"/>
        <v>0</v>
      </c>
      <c r="P76" s="913">
        <f t="shared" si="26"/>
        <v>0</v>
      </c>
      <c r="Q76" s="1187"/>
      <c r="R76" s="358"/>
      <c r="S76" s="358"/>
    </row>
    <row r="77" spans="1:19" ht="20.45" customHeight="1" thickBot="1" x14ac:dyDescent="0.5">
      <c r="B77" s="1670" t="s">
        <v>68</v>
      </c>
      <c r="C77" s="1671"/>
      <c r="D77" s="1671"/>
      <c r="E77" s="1671"/>
      <c r="F77" s="1672"/>
      <c r="G77" s="996"/>
      <c r="H77" s="136"/>
      <c r="I77" s="137"/>
      <c r="J77" s="1016"/>
      <c r="K77" s="1017"/>
      <c r="L77" s="1017"/>
      <c r="M77" s="998"/>
      <c r="N77" s="911">
        <f t="shared" si="28"/>
        <v>0</v>
      </c>
      <c r="O77" s="912">
        <f t="shared" si="28"/>
        <v>0</v>
      </c>
      <c r="P77" s="913">
        <f t="shared" si="26"/>
        <v>0</v>
      </c>
      <c r="Q77" s="1123"/>
      <c r="R77" s="349"/>
      <c r="S77" s="349"/>
    </row>
    <row r="78" spans="1:19" ht="35.25" thickBot="1" x14ac:dyDescent="0.5">
      <c r="A78" s="22">
        <v>21</v>
      </c>
      <c r="B78" s="1172" t="s">
        <v>69</v>
      </c>
      <c r="C78" s="1181">
        <f>M5</f>
        <v>3.5714285714285716</v>
      </c>
      <c r="D78" s="1188" t="s">
        <v>141</v>
      </c>
      <c r="E78" s="1181">
        <f>C78</f>
        <v>3.5714285714285716</v>
      </c>
      <c r="F78" s="1188" t="s">
        <v>70</v>
      </c>
      <c r="G78" s="1155">
        <f>E78/1</f>
        <v>3.5714285714285716</v>
      </c>
      <c r="H78" s="472"/>
      <c r="I78" s="264"/>
      <c r="J78" s="1157">
        <f>IF(I78=H78,(H78-60),H78-I78)</f>
        <v>-60</v>
      </c>
      <c r="K78" s="1051">
        <f>IF(I78&gt;=60,0,((60-I78)*(6/10)))</f>
        <v>36</v>
      </c>
      <c r="L78" s="1158">
        <f t="shared" ref="L78" si="29">K78+I78</f>
        <v>36</v>
      </c>
      <c r="M78" s="1039">
        <f>IF(I78&gt;=60,(1+(H78-60)/60),(H78/L78))</f>
        <v>0</v>
      </c>
      <c r="N78" s="1159">
        <f>((G78/C78)*M78)</f>
        <v>0</v>
      </c>
      <c r="O78" s="1041">
        <f>IF(((G78/C78)*M78)&gt;=1,3.571428,IF(((G78/C78)*M78)&lt;=0,0,((G78/C78)*M78)*3.571428))</f>
        <v>0</v>
      </c>
      <c r="P78" s="913">
        <f t="shared" si="26"/>
        <v>0</v>
      </c>
      <c r="Q78" s="1189" t="s">
        <v>95</v>
      </c>
      <c r="R78" s="355"/>
      <c r="S78" s="193" t="s">
        <v>615</v>
      </c>
    </row>
    <row r="79" spans="1:19" ht="21.6" customHeight="1" thickBot="1" x14ac:dyDescent="0.5">
      <c r="B79" s="1673" t="s">
        <v>71</v>
      </c>
      <c r="C79" s="1674"/>
      <c r="D79" s="1674"/>
      <c r="E79" s="1674"/>
      <c r="F79" s="1675"/>
      <c r="G79" s="1185"/>
      <c r="H79" s="146"/>
      <c r="I79" s="147"/>
      <c r="J79" s="1190"/>
      <c r="K79" s="1191"/>
      <c r="L79" s="1191"/>
      <c r="M79" s="1185"/>
      <c r="N79" s="911">
        <f>(N80+N86)/2</f>
        <v>1.0185137259412622</v>
      </c>
      <c r="O79" s="912">
        <f>(O80+O86)</f>
        <v>8.0357130000000012</v>
      </c>
      <c r="P79" s="913">
        <f>O79/10.714284</f>
        <v>0.75000000000000011</v>
      </c>
      <c r="Q79" s="1187"/>
      <c r="R79" s="358"/>
      <c r="S79" s="358"/>
    </row>
    <row r="80" spans="1:19" ht="20.45" customHeight="1" thickBot="1" x14ac:dyDescent="0.5">
      <c r="B80" s="1614" t="s">
        <v>72</v>
      </c>
      <c r="C80" s="1615"/>
      <c r="D80" s="1615"/>
      <c r="E80" s="1615"/>
      <c r="F80" s="1616"/>
      <c r="G80" s="1018"/>
      <c r="H80" s="148"/>
      <c r="I80" s="149"/>
      <c r="J80" s="997"/>
      <c r="K80" s="997"/>
      <c r="L80" s="997"/>
      <c r="M80" s="1018"/>
      <c r="N80" s="911">
        <f>(N81+N83)/2</f>
        <v>0.75307683459857366</v>
      </c>
      <c r="O80" s="912">
        <f>(O81+O83)</f>
        <v>4.4642850000000003</v>
      </c>
      <c r="P80" s="913">
        <f>O80/7.142856</f>
        <v>0.625</v>
      </c>
      <c r="Q80" s="1192"/>
      <c r="R80" s="336"/>
      <c r="S80" s="336"/>
    </row>
    <row r="81" spans="1:19" ht="46.9" thickBot="1" x14ac:dyDescent="0.5">
      <c r="A81" s="22"/>
      <c r="B81" s="1676" t="s">
        <v>73</v>
      </c>
      <c r="C81" s="1678">
        <f>M5</f>
        <v>3.5714285714285716</v>
      </c>
      <c r="D81" s="999" t="s">
        <v>267</v>
      </c>
      <c r="E81" s="931">
        <f>$C$81/2</f>
        <v>1.7857142857142858</v>
      </c>
      <c r="F81" s="1124" t="s">
        <v>278</v>
      </c>
      <c r="G81" s="978">
        <f>E81/1</f>
        <v>1.7857142857142858</v>
      </c>
      <c r="H81" s="101"/>
      <c r="I81" s="106"/>
      <c r="J81" s="1088">
        <f>IF(I81=H81,(H81-50),H81-I81)</f>
        <v>-50</v>
      </c>
      <c r="K81" s="980">
        <f>IF(I81&gt;=50,0,((50-I81)*(6/10)))</f>
        <v>30</v>
      </c>
      <c r="L81" s="1193">
        <f>I81+K81</f>
        <v>30</v>
      </c>
      <c r="M81" s="989" t="str">
        <f>IF(H81=0,"0%",J81/K81)</f>
        <v>0%</v>
      </c>
      <c r="N81" s="1627">
        <f>(((G81/C81)*M81)+((G82/C81)*M82))</f>
        <v>0.25</v>
      </c>
      <c r="O81" s="1723">
        <f>IF((((G81/C81)*M81)+((G82/C81)*M82))&gt;=1,3.57148,IF((((G81/C81)*M81)+((G82/C81)*M82))&lt;=0,0, (((G81/C81)*M81)+((G82/C81)*M82))*3.571428))</f>
        <v>0.89285700000000001</v>
      </c>
      <c r="P81" s="1630">
        <f>O81/3.571428</f>
        <v>0.25</v>
      </c>
      <c r="Q81" s="1194" t="s">
        <v>279</v>
      </c>
      <c r="R81" s="226"/>
      <c r="S81" s="193" t="s">
        <v>615</v>
      </c>
    </row>
    <row r="82" spans="1:19" ht="39.6" customHeight="1" thickBot="1" x14ac:dyDescent="0.5">
      <c r="A82" s="22"/>
      <c r="B82" s="1677"/>
      <c r="C82" s="1575"/>
      <c r="D82" s="1024" t="s">
        <v>268</v>
      </c>
      <c r="E82" s="944">
        <f>$C$81/2</f>
        <v>1.7857142857142858</v>
      </c>
      <c r="F82" s="1025" t="s">
        <v>74</v>
      </c>
      <c r="G82" s="992">
        <f>E82/1</f>
        <v>1.7857142857142858</v>
      </c>
      <c r="H82" s="115">
        <v>11</v>
      </c>
      <c r="I82" s="114">
        <v>10</v>
      </c>
      <c r="J82" s="1195">
        <f>IF(I82=H82,(H82-30),H82-I82)</f>
        <v>1</v>
      </c>
      <c r="K82" s="994">
        <f>IF(I82&gt;=30,0,((30-I82)*(6/10)))</f>
        <v>12</v>
      </c>
      <c r="L82" s="1196">
        <f t="shared" ref="L82" si="30">K82+I82</f>
        <v>22</v>
      </c>
      <c r="M82" s="950">
        <f>IF(I82&gt;=30,(1+(H82-30)/30),(H82/L82))</f>
        <v>0.5</v>
      </c>
      <c r="N82" s="1629"/>
      <c r="O82" s="1760"/>
      <c r="P82" s="1631"/>
      <c r="Q82" s="1197" t="s">
        <v>282</v>
      </c>
      <c r="R82" s="154" t="s">
        <v>638</v>
      </c>
      <c r="S82" s="646"/>
    </row>
    <row r="83" spans="1:19" ht="60" customHeight="1" x14ac:dyDescent="0.45">
      <c r="A83" s="22"/>
      <c r="B83" s="1660" t="s">
        <v>142</v>
      </c>
      <c r="C83" s="1662">
        <f>M5</f>
        <v>3.5714285714285716</v>
      </c>
      <c r="D83" s="1198" t="s">
        <v>145</v>
      </c>
      <c r="E83" s="931">
        <f>$C$81/3</f>
        <v>1.1904761904761905</v>
      </c>
      <c r="F83" s="999" t="s">
        <v>143</v>
      </c>
      <c r="G83" s="931">
        <f>E83/1</f>
        <v>1.1904761904761905</v>
      </c>
      <c r="H83" s="319">
        <v>811</v>
      </c>
      <c r="I83" s="1351">
        <v>1311</v>
      </c>
      <c r="J83" s="1199">
        <f>I83-H83</f>
        <v>500</v>
      </c>
      <c r="K83" s="1077">
        <f>(0.2*I83)*(6/10)</f>
        <v>157.32</v>
      </c>
      <c r="L83" s="1200">
        <f>I83-K83</f>
        <v>1153.68</v>
      </c>
      <c r="M83" s="935">
        <f>IF(K83&lt;&gt;0,J83/K83,"0%")</f>
        <v>3.1782354436816682</v>
      </c>
      <c r="N83" s="1665">
        <f>(((G83/C83)*M83)+((G84/C83)*M84)+((G85/C83)*M85))</f>
        <v>1.2561536691971473</v>
      </c>
      <c r="O83" s="1632">
        <f>IF((((G83/C83)*M83)+((G84/C83)*M84)+((G85/C83)*M85))&gt;=1,3.571428,IF((((G83/C83)*M83)+((G84/C83)*M84)+((G85/C83)*M85))&lt;=0,0,(((G83/C83)*M83)+((G84/C83)*M84)+((G85/C83)*M85))*3.571428))</f>
        <v>3.571428</v>
      </c>
      <c r="P83" s="1630">
        <f>O83/3.571428</f>
        <v>1</v>
      </c>
      <c r="Q83" s="1201" t="s">
        <v>184</v>
      </c>
      <c r="R83" s="154" t="s">
        <v>639</v>
      </c>
      <c r="S83" s="646"/>
    </row>
    <row r="84" spans="1:19" ht="45" customHeight="1" x14ac:dyDescent="0.45">
      <c r="A84" s="22"/>
      <c r="B84" s="1660"/>
      <c r="C84" s="1663"/>
      <c r="D84" s="1202" t="s">
        <v>146</v>
      </c>
      <c r="E84" s="1005">
        <f t="shared" ref="E84:E85" si="31">$C$81/3</f>
        <v>1.1904761904761905</v>
      </c>
      <c r="F84" s="1128" t="s">
        <v>283</v>
      </c>
      <c r="G84" s="1005">
        <f>E84/1</f>
        <v>1.1904761904761905</v>
      </c>
      <c r="H84" s="299">
        <v>36.700000000000003</v>
      </c>
      <c r="I84" s="300">
        <v>38</v>
      </c>
      <c r="J84" s="1203">
        <f>I84-H84</f>
        <v>1.2999999999999972</v>
      </c>
      <c r="K84" s="1077">
        <f>(0.5*I84)*(6/10)</f>
        <v>11.4</v>
      </c>
      <c r="L84" s="1204">
        <f>I84-K84</f>
        <v>26.6</v>
      </c>
      <c r="M84" s="971">
        <f>IF(H84&lt;=0,100%, IF(K84&lt;&gt;0,J84/K84,"0%"))</f>
        <v>0.11403508771929799</v>
      </c>
      <c r="N84" s="1666"/>
      <c r="O84" s="1758"/>
      <c r="P84" s="1635"/>
      <c r="Q84" s="1205" t="s">
        <v>185</v>
      </c>
      <c r="R84" s="394" t="s">
        <v>640</v>
      </c>
      <c r="S84" s="174"/>
    </row>
    <row r="85" spans="1:19" ht="38.450000000000003" customHeight="1" thickBot="1" x14ac:dyDescent="0.5">
      <c r="A85" s="22"/>
      <c r="B85" s="1661"/>
      <c r="C85" s="1664"/>
      <c r="D85" s="1206" t="s">
        <v>147</v>
      </c>
      <c r="E85" s="944">
        <f t="shared" si="31"/>
        <v>1.1904761904761905</v>
      </c>
      <c r="F85" s="1025" t="s">
        <v>144</v>
      </c>
      <c r="G85" s="944">
        <f>E85/1</f>
        <v>1.1904761904761905</v>
      </c>
      <c r="H85" s="115">
        <v>75</v>
      </c>
      <c r="I85" s="114">
        <v>65</v>
      </c>
      <c r="J85" s="1207">
        <f>H85-I85</f>
        <v>10</v>
      </c>
      <c r="K85" s="1208">
        <f>(100-I85)*(6/10)</f>
        <v>21</v>
      </c>
      <c r="L85" s="1209">
        <f>I85+K85</f>
        <v>86</v>
      </c>
      <c r="M85" s="971">
        <f>IF(H85&gt;=100,167%, IF(K85&lt;&gt;0,J85/K85,"0%"))</f>
        <v>0.47619047619047616</v>
      </c>
      <c r="N85" s="1667"/>
      <c r="O85" s="1759"/>
      <c r="P85" s="1631"/>
      <c r="Q85" s="1210" t="s">
        <v>284</v>
      </c>
      <c r="R85" s="256" t="s">
        <v>641</v>
      </c>
      <c r="S85" s="257"/>
    </row>
    <row r="86" spans="1:19" ht="20.45" customHeight="1" thickBot="1" x14ac:dyDescent="0.5">
      <c r="B86" s="1648" t="s">
        <v>75</v>
      </c>
      <c r="C86" s="1649"/>
      <c r="D86" s="1649"/>
      <c r="E86" s="1649"/>
      <c r="F86" s="1650"/>
      <c r="G86" s="1162"/>
      <c r="H86" s="150"/>
      <c r="I86" s="151"/>
      <c r="J86" s="1211"/>
      <c r="K86" s="1212"/>
      <c r="L86" s="1212"/>
      <c r="M86" s="1018"/>
      <c r="N86" s="911">
        <f>N87</f>
        <v>1.2839506172839505</v>
      </c>
      <c r="O86" s="912">
        <f>O87</f>
        <v>3.571428</v>
      </c>
      <c r="P86" s="913">
        <f>O86/3.571428</f>
        <v>1</v>
      </c>
      <c r="Q86" s="1085"/>
      <c r="R86" s="349"/>
      <c r="S86" s="349"/>
    </row>
    <row r="87" spans="1:19" ht="27.6" customHeight="1" thickBot="1" x14ac:dyDescent="0.5">
      <c r="A87" s="1651">
        <v>24</v>
      </c>
      <c r="B87" s="1652" t="s">
        <v>76</v>
      </c>
      <c r="C87" s="1654">
        <f>M5</f>
        <v>3.5714285714285716</v>
      </c>
      <c r="D87" s="1073" t="s">
        <v>159</v>
      </c>
      <c r="E87" s="1074">
        <f>($C$87/3)</f>
        <v>1.1904761904761905</v>
      </c>
      <c r="F87" s="1213" t="s">
        <v>285</v>
      </c>
      <c r="G87" s="1214">
        <f>E87/1</f>
        <v>1.1904761904761905</v>
      </c>
      <c r="H87" s="322">
        <v>3.6</v>
      </c>
      <c r="I87" s="323">
        <v>5.4</v>
      </c>
      <c r="J87" s="1215">
        <f>I87-H87</f>
        <v>1.8000000000000003</v>
      </c>
      <c r="K87" s="1216">
        <f>(0.25*I87)*(6/10)</f>
        <v>0.81</v>
      </c>
      <c r="L87" s="1217">
        <f>I87-K87</f>
        <v>4.59</v>
      </c>
      <c r="M87" s="935">
        <f>IF(K87&lt;&gt;0,J87/K87,"0%")</f>
        <v>2.2222222222222223</v>
      </c>
      <c r="N87" s="1657">
        <f>(((G87/C87)*M87)+((G88/C87)*M88)+((G89/C87)*M89)+((G90/C87)*M90)+((G91/C87)*M91))</f>
        <v>1.2839506172839505</v>
      </c>
      <c r="O87" s="1632">
        <f>IF((((G87/C87)*M87)+((G88/C87)*M88)+((G89/C87)*M89)+((G90/C87)*M90)+((G91/C87)*M91))&gt;=1,3.571428,IF((((G87/C87)*M87)+((G88/C87)*M88)+((G89/C87)*M89)+((G90/C87)*M90)+((G91/C87)*M91))&lt;=0,0,((((G87/C87)*M87)+((G88/C87)*M88)+((G89/C87)*M89)+((G90/C87)*M90)+((G91/C87)*M91))*3.571428)))</f>
        <v>3.571428</v>
      </c>
      <c r="P87" s="1630">
        <f>O87/3.571428</f>
        <v>1</v>
      </c>
      <c r="Q87" s="1218" t="s">
        <v>186</v>
      </c>
      <c r="R87" s="154" t="s">
        <v>642</v>
      </c>
      <c r="S87" s="292"/>
    </row>
    <row r="88" spans="1:19" ht="25.8" customHeight="1" thickBot="1" x14ac:dyDescent="0.5">
      <c r="A88" s="1651"/>
      <c r="B88" s="1652"/>
      <c r="C88" s="1655"/>
      <c r="D88" s="1668" t="s">
        <v>160</v>
      </c>
      <c r="E88" s="1669">
        <f>C87/3</f>
        <v>1.1904761904761905</v>
      </c>
      <c r="F88" s="1006" t="s">
        <v>77</v>
      </c>
      <c r="G88" s="1219">
        <f>$E$88/3</f>
        <v>0.3968253968253968</v>
      </c>
      <c r="H88" s="118">
        <v>26</v>
      </c>
      <c r="I88" s="121">
        <v>39</v>
      </c>
      <c r="J88" s="1220">
        <f>I88-H88</f>
        <v>13</v>
      </c>
      <c r="K88" s="1221">
        <f>I88*(6/10)</f>
        <v>23.4</v>
      </c>
      <c r="L88" s="1222">
        <f>I88-K88</f>
        <v>15.600000000000001</v>
      </c>
      <c r="M88" s="989">
        <f>IF(K88&lt;&gt;0,J88/K88,"0%")</f>
        <v>0.55555555555555558</v>
      </c>
      <c r="N88" s="1658"/>
      <c r="O88" s="1758"/>
      <c r="P88" s="1635"/>
      <c r="Q88" s="1223" t="s">
        <v>187</v>
      </c>
      <c r="R88" s="154" t="s">
        <v>643</v>
      </c>
      <c r="S88" s="277"/>
    </row>
    <row r="89" spans="1:19" ht="59.65" customHeight="1" thickBot="1" x14ac:dyDescent="0.5">
      <c r="A89" s="1651"/>
      <c r="B89" s="1652"/>
      <c r="C89" s="1655"/>
      <c r="D89" s="1668"/>
      <c r="E89" s="1669"/>
      <c r="F89" s="1006" t="s">
        <v>78</v>
      </c>
      <c r="G89" s="1219">
        <f>$E$88/3</f>
        <v>0.3968253968253968</v>
      </c>
      <c r="H89" s="118">
        <v>9.8000000000000007</v>
      </c>
      <c r="I89" s="121">
        <v>7</v>
      </c>
      <c r="J89" s="1220">
        <f>I89-H89</f>
        <v>-2.8000000000000007</v>
      </c>
      <c r="K89" s="1221">
        <f>I89*(6/10)</f>
        <v>4.2</v>
      </c>
      <c r="L89" s="1222">
        <f>I89-K89</f>
        <v>2.8</v>
      </c>
      <c r="M89" s="989">
        <f>IF(K89&lt;&gt;0,J89/K89,"0%")</f>
        <v>-0.66666666666666685</v>
      </c>
      <c r="N89" s="1658"/>
      <c r="O89" s="1758"/>
      <c r="P89" s="1635"/>
      <c r="Q89" s="1223" t="s">
        <v>188</v>
      </c>
      <c r="R89" s="154" t="s">
        <v>643</v>
      </c>
      <c r="S89" s="291"/>
    </row>
    <row r="90" spans="1:19" ht="26.45" customHeight="1" thickBot="1" x14ac:dyDescent="0.5">
      <c r="A90" s="1651"/>
      <c r="B90" s="1652"/>
      <c r="C90" s="1655"/>
      <c r="D90" s="1668"/>
      <c r="E90" s="1669"/>
      <c r="F90" s="1006" t="s">
        <v>79</v>
      </c>
      <c r="G90" s="1219">
        <f>$E$88/3</f>
        <v>0.3968253968253968</v>
      </c>
      <c r="H90" s="481"/>
      <c r="I90" s="482"/>
      <c r="J90" s="1220">
        <f>I90-H90</f>
        <v>0</v>
      </c>
      <c r="K90" s="1224">
        <f>(I90)*(6/10)</f>
        <v>0</v>
      </c>
      <c r="L90" s="1225">
        <f>I90-K90</f>
        <v>0</v>
      </c>
      <c r="M90" s="989" t="str">
        <f>IF(H90=0,"0%",J90/K90)</f>
        <v>0%</v>
      </c>
      <c r="N90" s="1658"/>
      <c r="O90" s="1758"/>
      <c r="P90" s="1635"/>
      <c r="Q90" s="1226" t="s">
        <v>189</v>
      </c>
      <c r="R90" s="154"/>
      <c r="S90" s="193" t="s">
        <v>615</v>
      </c>
    </row>
    <row r="91" spans="1:19" ht="40.799999999999997" customHeight="1" thickBot="1" x14ac:dyDescent="0.5">
      <c r="A91" s="1651"/>
      <c r="B91" s="1653"/>
      <c r="C91" s="1656"/>
      <c r="D91" s="991" t="s">
        <v>161</v>
      </c>
      <c r="E91" s="944">
        <f>$C$87/3</f>
        <v>1.1904761904761905</v>
      </c>
      <c r="F91" s="1227" t="s">
        <v>80</v>
      </c>
      <c r="G91" s="1228">
        <f>E91/1</f>
        <v>1.1904761904761905</v>
      </c>
      <c r="H91" s="117">
        <v>100</v>
      </c>
      <c r="I91" s="124">
        <v>100</v>
      </c>
      <c r="J91" s="1229">
        <f>H91-I91</f>
        <v>0</v>
      </c>
      <c r="K91" s="1208">
        <f>(100-I91)*(6/10)</f>
        <v>0</v>
      </c>
      <c r="L91" s="1230">
        <f>I91+K91</f>
        <v>100</v>
      </c>
      <c r="M91" s="950">
        <f>IF(I91&gt;=60,(1+(H91-60)/60),(H91/L91))</f>
        <v>1.6666666666666665</v>
      </c>
      <c r="N91" s="1659"/>
      <c r="O91" s="1759"/>
      <c r="P91" s="1631"/>
      <c r="Q91" s="1231" t="s">
        <v>95</v>
      </c>
      <c r="R91" s="154" t="s">
        <v>644</v>
      </c>
      <c r="S91" s="266"/>
    </row>
    <row r="92" spans="1:19" ht="14.65" thickBot="1" x14ac:dyDescent="0.5">
      <c r="B92" s="1586" t="s">
        <v>81</v>
      </c>
      <c r="C92" s="1587"/>
      <c r="D92" s="1587"/>
      <c r="E92" s="1587"/>
      <c r="F92" s="1588"/>
      <c r="G92" s="11"/>
      <c r="H92" s="146"/>
      <c r="I92" s="147"/>
      <c r="J92" s="225"/>
      <c r="K92" s="11"/>
      <c r="L92" s="11"/>
      <c r="M92" s="223"/>
      <c r="N92" s="911">
        <f>(N93+N97)/2</f>
        <v>0.17429338038004924</v>
      </c>
      <c r="O92" s="912">
        <f>(O93+O97)</f>
        <v>1.3539055534237512</v>
      </c>
      <c r="P92" s="913">
        <f>O92/14.285712</f>
        <v>9.4773403903407202E-2</v>
      </c>
      <c r="Q92" s="1099"/>
      <c r="R92" s="348"/>
      <c r="S92" s="358"/>
    </row>
    <row r="93" spans="1:19" ht="20.45" customHeight="1" thickBot="1" x14ac:dyDescent="0.5">
      <c r="B93" s="1614" t="s">
        <v>82</v>
      </c>
      <c r="C93" s="1615"/>
      <c r="D93" s="1615"/>
      <c r="E93" s="1615"/>
      <c r="F93" s="1616"/>
      <c r="G93" s="996"/>
      <c r="H93" s="136"/>
      <c r="I93" s="137"/>
      <c r="J93" s="1017"/>
      <c r="K93" s="1017"/>
      <c r="L93" s="1017"/>
      <c r="M93" s="1018"/>
      <c r="N93" s="911">
        <f>N94</f>
        <v>0.33333333333333331</v>
      </c>
      <c r="O93" s="912">
        <f>O94</f>
        <v>1.1904759999999999</v>
      </c>
      <c r="P93" s="913">
        <f>O93/3.571428</f>
        <v>0.33333333333333331</v>
      </c>
      <c r="Q93" s="1086"/>
      <c r="R93" s="336"/>
      <c r="S93" s="349"/>
    </row>
    <row r="94" spans="1:19" ht="34.799999999999997" customHeight="1" thickBot="1" x14ac:dyDescent="0.5">
      <c r="A94" s="1617">
        <v>25</v>
      </c>
      <c r="B94" s="1618" t="s">
        <v>83</v>
      </c>
      <c r="C94" s="1621">
        <f>M5</f>
        <v>3.5714285714285716</v>
      </c>
      <c r="D94" s="1624" t="s">
        <v>214</v>
      </c>
      <c r="E94" s="1087">
        <f>$C$94/3</f>
        <v>1.1904761904761905</v>
      </c>
      <c r="F94" s="999" t="s">
        <v>269</v>
      </c>
      <c r="G94" s="1232">
        <f>E94/1</f>
        <v>1.1904761904761905</v>
      </c>
      <c r="H94" s="308">
        <v>100</v>
      </c>
      <c r="I94" s="1280">
        <v>100</v>
      </c>
      <c r="J94" s="1233">
        <f>H94-I94</f>
        <v>0</v>
      </c>
      <c r="K94" s="1234">
        <f>(100-I94)*(6/10)</f>
        <v>0</v>
      </c>
      <c r="L94" s="1235">
        <f>I94+K94</f>
        <v>100</v>
      </c>
      <c r="M94" s="935" t="str">
        <f>IF(K94&lt;&gt;0,J94/K94,"100%")</f>
        <v>100%</v>
      </c>
      <c r="N94" s="1627">
        <f>(((G94/C94)*M94)+((G95/C94)*M95)+((G96/C94)*M96))</f>
        <v>0.33333333333333331</v>
      </c>
      <c r="O94" s="1632">
        <f>IF((((G94/C94)*M94)+((G95/C94)*M95)+((G96/C94)*M96))&gt;=1,3.571428,IF((((G94/C94)*M94)+((G95/C94)*M95)+((G96/C94)*M96))&lt;=0,0,(((G94/C94)*M94)+((G95/C94)*M95)+((G96/C94)*M96))*3.571428))</f>
        <v>1.1904759999999999</v>
      </c>
      <c r="P94" s="1630">
        <f>O94/3.571428</f>
        <v>0.33333333333333331</v>
      </c>
      <c r="Q94" s="1236" t="s">
        <v>190</v>
      </c>
      <c r="R94" s="258"/>
      <c r="S94" s="258"/>
    </row>
    <row r="95" spans="1:19" ht="39.6" customHeight="1" thickBot="1" x14ac:dyDescent="0.5">
      <c r="A95" s="1617"/>
      <c r="B95" s="1619"/>
      <c r="C95" s="1622"/>
      <c r="D95" s="1625"/>
      <c r="E95" s="1237">
        <f t="shared" ref="E95:E96" si="32">$C$94/3</f>
        <v>1.1904761904761905</v>
      </c>
      <c r="F95" s="1128" t="s">
        <v>270</v>
      </c>
      <c r="G95" s="1219">
        <f>E95/1</f>
        <v>1.1904761904761905</v>
      </c>
      <c r="H95" s="470"/>
      <c r="I95" s="501"/>
      <c r="J95" s="1220">
        <f>IF(AND(I95&gt;1,(H95-I95=0)),(H95-1),(H95-I95))</f>
        <v>0</v>
      </c>
      <c r="K95" s="1066">
        <f>IF(AND(I95&gt;=1,H95&gt;=1),"0",((1-I95)*(6/10)))</f>
        <v>0.6</v>
      </c>
      <c r="L95" s="1238">
        <f t="shared" ref="L95:L96" si="33">I95+K95</f>
        <v>0.6</v>
      </c>
      <c r="M95" s="989">
        <f>IF(I95&gt;=1,(1+(H95-1)/1),(J95/K95))</f>
        <v>0</v>
      </c>
      <c r="N95" s="1628"/>
      <c r="O95" s="1758"/>
      <c r="P95" s="1635"/>
      <c r="Q95" s="1239" t="s">
        <v>191</v>
      </c>
      <c r="R95" s="277"/>
      <c r="S95" s="193" t="s">
        <v>615</v>
      </c>
    </row>
    <row r="96" spans="1:19" ht="41.45" customHeight="1" thickBot="1" x14ac:dyDescent="0.5">
      <c r="A96" s="1617"/>
      <c r="B96" s="1620"/>
      <c r="C96" s="1623"/>
      <c r="D96" s="1626"/>
      <c r="E96" s="1090">
        <f t="shared" si="32"/>
        <v>1.1904761904761905</v>
      </c>
      <c r="F96" s="1024" t="s">
        <v>84</v>
      </c>
      <c r="G96" s="1228">
        <f>E96/1</f>
        <v>1.1904761904761905</v>
      </c>
      <c r="H96" s="475"/>
      <c r="I96" s="476"/>
      <c r="J96" s="1229">
        <f>H96-I96</f>
        <v>0</v>
      </c>
      <c r="K96" s="1208">
        <f>(100-I96)*(6/10)</f>
        <v>60</v>
      </c>
      <c r="L96" s="1230">
        <f t="shared" si="33"/>
        <v>60</v>
      </c>
      <c r="M96" s="950">
        <f>IF(K96&lt;&gt;0,J96/K96,"100%")</f>
        <v>0</v>
      </c>
      <c r="N96" s="1629"/>
      <c r="O96" s="1759"/>
      <c r="P96" s="1631"/>
      <c r="Q96" s="1240" t="s">
        <v>95</v>
      </c>
      <c r="R96" s="266"/>
      <c r="S96" s="193" t="s">
        <v>615</v>
      </c>
    </row>
    <row r="97" spans="1:19" ht="18" customHeight="1" thickBot="1" x14ac:dyDescent="0.5">
      <c r="B97" s="1636" t="s">
        <v>85</v>
      </c>
      <c r="C97" s="1637"/>
      <c r="D97" s="1637"/>
      <c r="E97" s="1637"/>
      <c r="F97" s="1638"/>
      <c r="G97" s="1241"/>
      <c r="H97" s="125"/>
      <c r="I97" s="126"/>
      <c r="J97" s="1241"/>
      <c r="K97" s="1242"/>
      <c r="L97" s="1242"/>
      <c r="M97" s="1243"/>
      <c r="N97" s="1244">
        <f>(N98+N99+N100)/3</f>
        <v>1.5253427426765174E-2</v>
      </c>
      <c r="O97" s="1245">
        <f>(O98+O99+O100)</f>
        <v>0.16342955342375129</v>
      </c>
      <c r="P97" s="913">
        <f>O97/10.714284</f>
        <v>1.5253427426765177E-2</v>
      </c>
      <c r="Q97" s="1246"/>
      <c r="R97" s="336"/>
      <c r="S97" s="336"/>
    </row>
    <row r="98" spans="1:19" ht="29.45" customHeight="1" thickBot="1" x14ac:dyDescent="0.5">
      <c r="A98" s="22">
        <v>26</v>
      </c>
      <c r="B98" s="1032" t="s">
        <v>86</v>
      </c>
      <c r="C98" s="1033">
        <f>$M$5</f>
        <v>3.5714285714285716</v>
      </c>
      <c r="D98" s="1032" t="s">
        <v>215</v>
      </c>
      <c r="E98" s="1033">
        <f>C98/1</f>
        <v>3.5714285714285716</v>
      </c>
      <c r="F98" s="1163" t="s">
        <v>291</v>
      </c>
      <c r="G98" s="1033">
        <f>E98/1</f>
        <v>3.5714285714285716</v>
      </c>
      <c r="H98" s="324"/>
      <c r="I98" s="325"/>
      <c r="J98" s="1248">
        <f>IF(I98=H98,(H98-10),H98-I98)</f>
        <v>-10</v>
      </c>
      <c r="K98" s="1051">
        <f>IF(I98&gt;=10,0,((10-I98)*(6/10)))</f>
        <v>6</v>
      </c>
      <c r="L98" s="1158">
        <f>I98+K98</f>
        <v>6</v>
      </c>
      <c r="M98" s="989" t="str">
        <f>IF(H98=0,"0%",J98/K98)</f>
        <v>0%</v>
      </c>
      <c r="N98" s="1159">
        <f>((G98/C98)*M98)</f>
        <v>0</v>
      </c>
      <c r="O98" s="1041">
        <f>IF(((G98/C98)*M98)&gt;=1,3.571428,IF(((G98/C98)*M98)&lt;=0,0,((G98/C98)*M98)*3.571428))</f>
        <v>0</v>
      </c>
      <c r="P98" s="913">
        <f>O98/3.571428</f>
        <v>0</v>
      </c>
      <c r="Q98" s="1249" t="s">
        <v>95</v>
      </c>
      <c r="R98" s="367"/>
      <c r="S98" s="193" t="s">
        <v>615</v>
      </c>
    </row>
    <row r="99" spans="1:19" ht="35.25" thickBot="1" x14ac:dyDescent="0.5">
      <c r="A99" s="22">
        <v>27</v>
      </c>
      <c r="B99" s="1032" t="s">
        <v>87</v>
      </c>
      <c r="C99" s="1033">
        <f>$M$5</f>
        <v>3.5714285714285716</v>
      </c>
      <c r="D99" s="1032" t="s">
        <v>216</v>
      </c>
      <c r="E99" s="1033">
        <f>C99/1</f>
        <v>3.5714285714285716</v>
      </c>
      <c r="F99" s="1163" t="s">
        <v>271</v>
      </c>
      <c r="G99" s="1033">
        <f>E99/1</f>
        <v>3.5714285714285716</v>
      </c>
      <c r="H99" s="326">
        <v>16.2</v>
      </c>
      <c r="I99" s="325">
        <v>14.54</v>
      </c>
      <c r="J99" s="1248">
        <f>IF(I99=H99,(H99-75),H99-I99)</f>
        <v>1.6600000000000001</v>
      </c>
      <c r="K99" s="1051">
        <f>IF(I99&gt;=75,0,((75-I99)*(6/10)))</f>
        <v>36.275999999999996</v>
      </c>
      <c r="L99" s="1182">
        <f>I99+K99</f>
        <v>50.815999999999995</v>
      </c>
      <c r="M99" s="1250">
        <f>IF(I99&gt;=75,(1+(H99-75)/75),(J99/K99))</f>
        <v>4.5760282280295522E-2</v>
      </c>
      <c r="N99" s="1159">
        <f>((G99/C99)*M99)</f>
        <v>4.5760282280295522E-2</v>
      </c>
      <c r="O99" s="1041">
        <f>IF(((G99/C99)*M99)&gt;=1,3.571428,IF(((G99/C99)*M99)&lt;=0,0,((G99/C99)*M99)*3.571428))</f>
        <v>0.16342955342375129</v>
      </c>
      <c r="P99" s="913">
        <f>O99/3.571428</f>
        <v>4.5760282280295522E-2</v>
      </c>
      <c r="Q99" s="1249" t="s">
        <v>192</v>
      </c>
      <c r="R99" s="229" t="s">
        <v>645</v>
      </c>
      <c r="S99" s="229"/>
    </row>
    <row r="100" spans="1:19" ht="30.75" thickBot="1" x14ac:dyDescent="0.5">
      <c r="A100" s="1617">
        <v>28</v>
      </c>
      <c r="B100" s="1639" t="s">
        <v>88</v>
      </c>
      <c r="C100" s="1641">
        <f>M5</f>
        <v>3.5714285714285716</v>
      </c>
      <c r="D100" s="1639" t="s">
        <v>217</v>
      </c>
      <c r="E100" s="1641">
        <f>C100/1</f>
        <v>3.5714285714285716</v>
      </c>
      <c r="F100" s="1124" t="s">
        <v>89</v>
      </c>
      <c r="G100" s="931">
        <f>$E$100/2</f>
        <v>1.7857142857142858</v>
      </c>
      <c r="H100" s="101"/>
      <c r="I100" s="1352"/>
      <c r="J100" s="1252">
        <f>IF(I100=H100,(25-H100),I100-H100)</f>
        <v>25</v>
      </c>
      <c r="K100" s="1105">
        <f>IF(I100&lt;=25,0,((0.25*I100)*(6/10)))</f>
        <v>0</v>
      </c>
      <c r="L100" s="1253">
        <f>I100-K100</f>
        <v>0</v>
      </c>
      <c r="M100" s="989" t="str">
        <f>IF(H100=0,"0%",J100/K100)</f>
        <v>0%</v>
      </c>
      <c r="N100" s="1644">
        <f>((G100/$C$100)*M100)+((G101/$C$100)*M101)</f>
        <v>0</v>
      </c>
      <c r="O100" s="1723">
        <f>IF((((G100/C100)*M100)+((G101/C100)*M101))&gt;=1,3.57148,IF((((G100/C100)*M100)+((G101/C100)*M101))&lt;=0,0, (((G100/C100)*M100)+((G101/C100)*M101))*3.571428))</f>
        <v>0</v>
      </c>
      <c r="P100" s="1630">
        <f>O100/3.571428</f>
        <v>0</v>
      </c>
      <c r="Q100" s="1254" t="s">
        <v>193</v>
      </c>
      <c r="R100" s="609"/>
      <c r="S100" s="193" t="s">
        <v>615</v>
      </c>
    </row>
    <row r="101" spans="1:19" ht="38.450000000000003" customHeight="1" thickBot="1" x14ac:dyDescent="0.5">
      <c r="A101" s="1617"/>
      <c r="B101" s="1640"/>
      <c r="C101" s="1642"/>
      <c r="D101" s="1640"/>
      <c r="E101" s="1643"/>
      <c r="F101" s="1024" t="s">
        <v>90</v>
      </c>
      <c r="G101" s="944">
        <f>$E$100/2</f>
        <v>1.7857142857142858</v>
      </c>
      <c r="H101" s="115"/>
      <c r="I101" s="1281"/>
      <c r="J101" s="1255">
        <f>IF(I101=H101,(H101-25),H101-I101)</f>
        <v>-25</v>
      </c>
      <c r="K101" s="994">
        <f>IF(I101&gt;=25,0,((25-I101)*(6/10)))</f>
        <v>15</v>
      </c>
      <c r="L101" s="1256">
        <f t="shared" ref="L101" si="34">K101+I101</f>
        <v>15</v>
      </c>
      <c r="M101" s="989" t="str">
        <f>IF(H101=0,"0%",J101/K101)</f>
        <v>0%</v>
      </c>
      <c r="N101" s="1645"/>
      <c r="O101" s="1760"/>
      <c r="P101" s="1631"/>
      <c r="Q101" s="1257" t="s">
        <v>95</v>
      </c>
      <c r="R101" s="370"/>
      <c r="S101" s="193" t="s">
        <v>615</v>
      </c>
    </row>
    <row r="102" spans="1:19" ht="34.25" customHeight="1" thickBot="1" x14ac:dyDescent="0.5">
      <c r="B102" s="1258" t="s">
        <v>194</v>
      </c>
      <c r="C102" s="1259">
        <f>C11+C13+C15+C19+C24+C33+C34+C35+C36+C38+C41+C44+C48+C51+C53+C61+C68+C71+C73+C75+C78+C81+C83+C87+C94+C98+C99+C100</f>
        <v>99.999999999999972</v>
      </c>
      <c r="D102" s="1260"/>
      <c r="E102" s="1259">
        <f>E11+E12+E13+E14+E15+E19+E20+E21+E22+E24+E25+E28+E31+E33+E34+E35+E36+E38+E39+E41+E42+E44+E45+E48+E49++E51+E53+E54+E55+E56+E57+E61+E62+E63+E64+E68+E71+E73+E75+E78+E81++E82+E83+E84+E85+E87+E88+E91+E94+E95+E96+E98+E99+E100</f>
        <v>100.00714285714285</v>
      </c>
      <c r="F102" s="1261"/>
      <c r="G102" s="1259">
        <f>G11+G12+G13+G14+G15+G16+G17+G19+G20+G21+G22+G24+G25+G26+G27+G28+G29+G30+G31+G33+G34+G35+G36+G38+G39+G41+G42+G44+G45+G48+G49+G51+G53+G54+G55+G56+G57+G58+G61+G62+G63+G64+G65+G66+G68+G71+G73+G75+G78+G81+G82+G83+G84+G85+G87+G88+G89+G90+G91+G94+G95+G96+G98+G99+G100+G101</f>
        <v>100.00714285714285</v>
      </c>
      <c r="H102" s="1262"/>
      <c r="I102" s="1263"/>
      <c r="J102" s="1262"/>
      <c r="K102" s="1264"/>
      <c r="L102" s="1261"/>
      <c r="M102" s="1265"/>
      <c r="N102" s="1266"/>
      <c r="O102" s="1267"/>
      <c r="P102" s="1267"/>
      <c r="Q102" s="1268"/>
      <c r="R102" s="26"/>
      <c r="S102" s="27"/>
    </row>
    <row r="104" spans="1:19" ht="15.75" x14ac:dyDescent="0.5">
      <c r="B104" s="28"/>
    </row>
    <row r="107" spans="1:19" ht="15.75" x14ac:dyDescent="0.5">
      <c r="B107" s="28"/>
    </row>
    <row r="108" spans="1:19" x14ac:dyDescent="0.45">
      <c r="B108" s="29"/>
    </row>
    <row r="109" spans="1:19" x14ac:dyDescent="0.45">
      <c r="B109" s="29"/>
    </row>
    <row r="111" spans="1:19" x14ac:dyDescent="0.45">
      <c r="E111"/>
      <c r="F111" s="1269" t="s">
        <v>196</v>
      </c>
    </row>
    <row r="112" spans="1:19" x14ac:dyDescent="0.45">
      <c r="E112" s="1270">
        <v>1</v>
      </c>
      <c r="F112" s="1270" t="s">
        <v>197</v>
      </c>
    </row>
    <row r="113" spans="5:6" x14ac:dyDescent="0.45">
      <c r="E113" s="1270">
        <v>2</v>
      </c>
      <c r="F113" s="1270" t="s">
        <v>227</v>
      </c>
    </row>
    <row r="114" spans="5:6" x14ac:dyDescent="0.45">
      <c r="E114" s="1270">
        <v>3</v>
      </c>
      <c r="F114" s="1270" t="s">
        <v>228</v>
      </c>
    </row>
    <row r="115" spans="5:6" x14ac:dyDescent="0.45">
      <c r="E115" s="1270">
        <v>4</v>
      </c>
      <c r="F115" s="1270" t="s">
        <v>229</v>
      </c>
    </row>
    <row r="116" spans="5:6" x14ac:dyDescent="0.45">
      <c r="E116" s="1270">
        <v>5</v>
      </c>
      <c r="F116" s="1270" t="s">
        <v>198</v>
      </c>
    </row>
    <row r="117" spans="5:6" x14ac:dyDescent="0.45">
      <c r="E117" s="1270">
        <v>6</v>
      </c>
      <c r="F117" s="1270" t="s">
        <v>230</v>
      </c>
    </row>
    <row r="118" spans="5:6" x14ac:dyDescent="0.45">
      <c r="E118" s="1270">
        <v>7</v>
      </c>
      <c r="F118" s="1270" t="s">
        <v>231</v>
      </c>
    </row>
    <row r="119" spans="5:6" x14ac:dyDescent="0.45">
      <c r="E119" s="1270">
        <v>8</v>
      </c>
      <c r="F119" s="1270" t="s">
        <v>199</v>
      </c>
    </row>
    <row r="120" spans="5:6" x14ac:dyDescent="0.45">
      <c r="E120" s="1270">
        <v>9</v>
      </c>
      <c r="F120" s="1270" t="s">
        <v>200</v>
      </c>
    </row>
    <row r="121" spans="5:6" x14ac:dyDescent="0.45">
      <c r="E121" s="1270">
        <v>10</v>
      </c>
      <c r="F121" s="1270" t="s">
        <v>201</v>
      </c>
    </row>
    <row r="122" spans="5:6" x14ac:dyDescent="0.45">
      <c r="E122" s="1270">
        <v>11</v>
      </c>
      <c r="F122" s="1270" t="s">
        <v>232</v>
      </c>
    </row>
    <row r="123" spans="5:6" x14ac:dyDescent="0.45">
      <c r="E123" s="1270">
        <v>12</v>
      </c>
      <c r="F123" s="1270" t="s">
        <v>202</v>
      </c>
    </row>
    <row r="124" spans="5:6" x14ac:dyDescent="0.45">
      <c r="E124" s="1270">
        <f t="shared" ref="E124:E145" si="35">E123+1</f>
        <v>13</v>
      </c>
      <c r="F124" s="1270" t="s">
        <v>203</v>
      </c>
    </row>
    <row r="125" spans="5:6" x14ac:dyDescent="0.45">
      <c r="E125" s="1270">
        <v>14</v>
      </c>
      <c r="F125" s="1270" t="s">
        <v>233</v>
      </c>
    </row>
    <row r="126" spans="5:6" x14ac:dyDescent="0.45">
      <c r="E126" s="1270">
        <v>15</v>
      </c>
      <c r="F126" s="1270" t="s">
        <v>234</v>
      </c>
    </row>
    <row r="127" spans="5:6" x14ac:dyDescent="0.45">
      <c r="E127" s="1270">
        <v>16</v>
      </c>
      <c r="F127" s="1270" t="s">
        <v>213</v>
      </c>
    </row>
    <row r="128" spans="5:6" x14ac:dyDescent="0.45">
      <c r="E128" s="1270">
        <v>17</v>
      </c>
      <c r="F128" s="1270" t="s">
        <v>235</v>
      </c>
    </row>
    <row r="129" spans="5:6" x14ac:dyDescent="0.45">
      <c r="E129" s="1270">
        <v>18</v>
      </c>
      <c r="F129" s="1270" t="s">
        <v>263</v>
      </c>
    </row>
    <row r="130" spans="5:6" x14ac:dyDescent="0.45">
      <c r="E130" s="1270">
        <v>19</v>
      </c>
      <c r="F130" s="1270" t="s">
        <v>204</v>
      </c>
    </row>
    <row r="131" spans="5:6" x14ac:dyDescent="0.45">
      <c r="E131" s="1270">
        <v>20</v>
      </c>
      <c r="F131" s="1270" t="s">
        <v>236</v>
      </c>
    </row>
    <row r="132" spans="5:6" x14ac:dyDescent="0.45">
      <c r="E132" s="1270">
        <v>21</v>
      </c>
      <c r="F132" s="1270" t="s">
        <v>237</v>
      </c>
    </row>
    <row r="133" spans="5:6" x14ac:dyDescent="0.45">
      <c r="E133" s="1270">
        <v>22</v>
      </c>
      <c r="F133" s="1270" t="s">
        <v>238</v>
      </c>
    </row>
    <row r="134" spans="5:6" x14ac:dyDescent="0.45">
      <c r="E134" s="1270">
        <v>23</v>
      </c>
      <c r="F134" s="1270" t="s">
        <v>205</v>
      </c>
    </row>
    <row r="135" spans="5:6" x14ac:dyDescent="0.45">
      <c r="E135" s="1270">
        <v>24</v>
      </c>
      <c r="F135" s="1270" t="s">
        <v>239</v>
      </c>
    </row>
    <row r="136" spans="5:6" x14ac:dyDescent="0.45">
      <c r="E136" s="1270">
        <v>25</v>
      </c>
      <c r="F136" s="1270" t="s">
        <v>240</v>
      </c>
    </row>
    <row r="137" spans="5:6" x14ac:dyDescent="0.45">
      <c r="E137" s="1270">
        <v>26</v>
      </c>
      <c r="F137" s="1270" t="s">
        <v>241</v>
      </c>
    </row>
    <row r="138" spans="5:6" x14ac:dyDescent="0.45">
      <c r="E138" s="1270">
        <v>27</v>
      </c>
      <c r="F138" s="1270" t="s">
        <v>206</v>
      </c>
    </row>
    <row r="139" spans="5:6" x14ac:dyDescent="0.45">
      <c r="E139" s="1270">
        <v>28</v>
      </c>
      <c r="F139" s="1270" t="s">
        <v>242</v>
      </c>
    </row>
    <row r="140" spans="5:6" x14ac:dyDescent="0.45">
      <c r="E140" s="1270">
        <v>29</v>
      </c>
      <c r="F140" s="1270" t="s">
        <v>243</v>
      </c>
    </row>
    <row r="141" spans="5:6" x14ac:dyDescent="0.45">
      <c r="E141" s="1270">
        <v>30</v>
      </c>
      <c r="F141" s="1270" t="s">
        <v>244</v>
      </c>
    </row>
    <row r="142" spans="5:6" x14ac:dyDescent="0.45">
      <c r="E142" s="1270">
        <v>31</v>
      </c>
      <c r="F142" s="1270" t="s">
        <v>245</v>
      </c>
    </row>
    <row r="143" spans="5:6" x14ac:dyDescent="0.45">
      <c r="E143" s="1270">
        <v>32</v>
      </c>
      <c r="F143" s="1270" t="s">
        <v>246</v>
      </c>
    </row>
    <row r="144" spans="5:6" x14ac:dyDescent="0.45">
      <c r="E144" s="1270">
        <v>33</v>
      </c>
      <c r="F144" s="1270" t="s">
        <v>207</v>
      </c>
    </row>
    <row r="145" spans="5:6" x14ac:dyDescent="0.45">
      <c r="E145" s="1270">
        <f t="shared" si="35"/>
        <v>34</v>
      </c>
      <c r="F145" s="1270" t="s">
        <v>208</v>
      </c>
    </row>
    <row r="146" spans="5:6" x14ac:dyDescent="0.45">
      <c r="E146" s="1270">
        <v>35</v>
      </c>
      <c r="F146" s="1270" t="s">
        <v>247</v>
      </c>
    </row>
    <row r="147" spans="5:6" x14ac:dyDescent="0.45">
      <c r="E147" s="1270">
        <v>36</v>
      </c>
      <c r="F147" s="1270" t="s">
        <v>248</v>
      </c>
    </row>
    <row r="148" spans="5:6" x14ac:dyDescent="0.45">
      <c r="E148" s="1270">
        <v>36</v>
      </c>
      <c r="F148" s="1270" t="s">
        <v>249</v>
      </c>
    </row>
    <row r="149" spans="5:6" x14ac:dyDescent="0.45">
      <c r="E149" s="1270">
        <v>38</v>
      </c>
      <c r="F149" s="1270" t="s">
        <v>250</v>
      </c>
    </row>
    <row r="150" spans="5:6" x14ac:dyDescent="0.45">
      <c r="E150" s="1270">
        <v>39</v>
      </c>
      <c r="F150" s="1270" t="s">
        <v>251</v>
      </c>
    </row>
    <row r="151" spans="5:6" x14ac:dyDescent="0.45">
      <c r="E151" s="1270">
        <v>40</v>
      </c>
      <c r="F151" s="1270" t="s">
        <v>209</v>
      </c>
    </row>
    <row r="152" spans="5:6" x14ac:dyDescent="0.45">
      <c r="E152" s="1270">
        <v>41</v>
      </c>
      <c r="F152" s="1270" t="s">
        <v>264</v>
      </c>
    </row>
    <row r="153" spans="5:6" x14ac:dyDescent="0.45">
      <c r="E153" s="1270">
        <v>42</v>
      </c>
      <c r="F153" s="1270" t="s">
        <v>252</v>
      </c>
    </row>
    <row r="154" spans="5:6" x14ac:dyDescent="0.45">
      <c r="E154" s="1270">
        <v>43</v>
      </c>
      <c r="F154" s="1270" t="s">
        <v>253</v>
      </c>
    </row>
    <row r="155" spans="5:6" x14ac:dyDescent="0.45">
      <c r="E155" s="1270">
        <v>44</v>
      </c>
      <c r="F155" s="1270" t="s">
        <v>254</v>
      </c>
    </row>
    <row r="156" spans="5:6" x14ac:dyDescent="0.45">
      <c r="E156" s="1270">
        <v>45</v>
      </c>
      <c r="F156" s="1270" t="s">
        <v>210</v>
      </c>
    </row>
    <row r="157" spans="5:6" x14ac:dyDescent="0.45">
      <c r="E157" s="1270">
        <v>46</v>
      </c>
      <c r="F157" s="1270" t="s">
        <v>255</v>
      </c>
    </row>
    <row r="158" spans="5:6" x14ac:dyDescent="0.45">
      <c r="E158" s="1270">
        <v>47</v>
      </c>
      <c r="F158" s="1270" t="s">
        <v>211</v>
      </c>
    </row>
    <row r="159" spans="5:6" x14ac:dyDescent="0.45">
      <c r="E159" s="1270">
        <v>48</v>
      </c>
      <c r="F159" s="1270" t="s">
        <v>256</v>
      </c>
    </row>
    <row r="160" spans="5:6" x14ac:dyDescent="0.45">
      <c r="E160" s="1270">
        <v>49</v>
      </c>
      <c r="F160" s="1270" t="s">
        <v>257</v>
      </c>
    </row>
    <row r="161" spans="5:6" x14ac:dyDescent="0.45">
      <c r="E161" s="1270">
        <v>50</v>
      </c>
      <c r="F161" s="1270" t="s">
        <v>260</v>
      </c>
    </row>
    <row r="162" spans="5:6" x14ac:dyDescent="0.45">
      <c r="E162" s="1270">
        <v>51</v>
      </c>
      <c r="F162" s="1270" t="s">
        <v>258</v>
      </c>
    </row>
    <row r="163" spans="5:6" x14ac:dyDescent="0.45">
      <c r="E163" s="1270">
        <v>52</v>
      </c>
      <c r="F163" s="1270" t="s">
        <v>212</v>
      </c>
    </row>
    <row r="164" spans="5:6" x14ac:dyDescent="0.45">
      <c r="E164" s="1270">
        <v>53</v>
      </c>
      <c r="F164" s="1270" t="s">
        <v>259</v>
      </c>
    </row>
    <row r="165" spans="5:6" x14ac:dyDescent="0.45">
      <c r="E165" s="1270">
        <v>54</v>
      </c>
      <c r="F165" s="1270" t="s">
        <v>261</v>
      </c>
    </row>
    <row r="166" spans="5:6" x14ac:dyDescent="0.45">
      <c r="E166" s="1270">
        <v>55</v>
      </c>
      <c r="F166" s="1270" t="s">
        <v>262</v>
      </c>
    </row>
    <row r="167" spans="5:6" x14ac:dyDescent="0.45">
      <c r="E167"/>
      <c r="F167"/>
    </row>
    <row r="168" spans="5:6" x14ac:dyDescent="0.45">
      <c r="E168"/>
      <c r="F168"/>
    </row>
  </sheetData>
  <sheetProtection algorithmName="SHA-512" hashValue="udjvPAnrPuZD5QoD0X6a59Qr7mv59V0u3H6p0oWlgR8phaCDmQBiQXe2+ACTd6hvs33R58V5b8E6xqS2SAhtcQ==" saltValue="PIpqN87rQ0k4dWkXkLhHwg==" spinCount="100000" sheet="1" objects="1" scenarios="1"/>
  <mergeCells count="140">
    <mergeCell ref="K4:M4"/>
    <mergeCell ref="B5:K5"/>
    <mergeCell ref="B6:F6"/>
    <mergeCell ref="B7:F7"/>
    <mergeCell ref="B9:F9"/>
    <mergeCell ref="B10:F10"/>
    <mergeCell ref="A13:A14"/>
    <mergeCell ref="B13:B14"/>
    <mergeCell ref="C13:C14"/>
    <mergeCell ref="N13:N14"/>
    <mergeCell ref="O13:O14"/>
    <mergeCell ref="P13:P14"/>
    <mergeCell ref="A11:A12"/>
    <mergeCell ref="B11:B12"/>
    <mergeCell ref="C11:C12"/>
    <mergeCell ref="N11:N12"/>
    <mergeCell ref="O11:O12"/>
    <mergeCell ref="P11:P1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B37:F37"/>
    <mergeCell ref="A38:A39"/>
    <mergeCell ref="B38:B39"/>
    <mergeCell ref="C38:C39"/>
    <mergeCell ref="N38:N39"/>
    <mergeCell ref="O38:O39"/>
    <mergeCell ref="P24:P31"/>
    <mergeCell ref="D25:D27"/>
    <mergeCell ref="E25:E27"/>
    <mergeCell ref="D28:D30"/>
    <mergeCell ref="E28:E30"/>
    <mergeCell ref="B32:F32"/>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77:F77"/>
    <mergeCell ref="B79:F79"/>
    <mergeCell ref="B80:F80"/>
    <mergeCell ref="B81:B82"/>
    <mergeCell ref="C81:C82"/>
    <mergeCell ref="N81:N82"/>
    <mergeCell ref="B67:F67"/>
    <mergeCell ref="B69:F69"/>
    <mergeCell ref="B70:F70"/>
    <mergeCell ref="B72:F72"/>
    <mergeCell ref="B74:F74"/>
    <mergeCell ref="B76:F76"/>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69 O10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80 O59">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00CE3A07-1335-4F33-99F9-4D773E8021AB}">
      <formula1>$F$112:$F$166</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A3985C-72B3-4FED-A61A-57F597D41A5D}">
  <dimension ref="A1:AA168"/>
  <sheetViews>
    <sheetView topLeftCell="B1" zoomScale="60" zoomScaleNormal="60" workbookViewId="0">
      <selection activeCell="H12" sqref="H12:I12"/>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871"/>
      <c r="R1" s="3"/>
      <c r="S1" s="4"/>
      <c r="U1" s="872"/>
      <c r="V1" s="872"/>
      <c r="W1" s="872"/>
      <c r="X1" s="872"/>
      <c r="Y1" s="872"/>
      <c r="Z1" s="872"/>
      <c r="AA1" s="872"/>
    </row>
    <row r="2" spans="1:27" ht="30" x14ac:dyDescent="1.1000000000000001">
      <c r="B2" s="873"/>
      <c r="C2" s="874"/>
      <c r="D2" s="875" t="s">
        <v>286</v>
      </c>
      <c r="E2" s="874"/>
      <c r="F2" s="876"/>
      <c r="G2" s="876"/>
      <c r="H2" s="876"/>
      <c r="I2" s="876"/>
      <c r="J2" s="876"/>
      <c r="K2" s="876"/>
      <c r="L2" s="876"/>
      <c r="M2" s="876"/>
      <c r="N2" s="876"/>
      <c r="O2" s="876"/>
      <c r="P2" s="876"/>
      <c r="Q2" s="874"/>
      <c r="R2" s="876"/>
      <c r="S2" s="6"/>
    </row>
    <row r="3" spans="1:27" ht="14.65" thickBot="1" x14ac:dyDescent="0.5">
      <c r="B3" s="877"/>
      <c r="C3" s="878"/>
      <c r="D3" s="878"/>
      <c r="E3" s="878"/>
      <c r="F3" s="879"/>
      <c r="G3" s="879"/>
      <c r="H3" s="879"/>
      <c r="I3" s="879"/>
      <c r="J3" s="879"/>
      <c r="K3" s="879"/>
      <c r="L3" s="879"/>
      <c r="M3" s="879"/>
      <c r="N3" s="879"/>
      <c r="O3" s="879"/>
      <c r="P3" s="879"/>
      <c r="Q3" s="878"/>
      <c r="R3" s="879"/>
      <c r="S3" s="7"/>
    </row>
    <row r="4" spans="1:27" ht="26.45" customHeight="1" thickBot="1" x14ac:dyDescent="0.5">
      <c r="B4" s="877"/>
      <c r="C4" s="878"/>
      <c r="D4" s="880" t="s">
        <v>195</v>
      </c>
      <c r="E4" s="878"/>
      <c r="F4" s="8" t="s">
        <v>242</v>
      </c>
      <c r="G4" s="879"/>
      <c r="H4" s="879"/>
      <c r="I4" s="879"/>
      <c r="J4" s="879"/>
      <c r="K4" s="1737" t="s">
        <v>723</v>
      </c>
      <c r="L4" s="1738"/>
      <c r="M4" s="1739"/>
      <c r="N4" s="881">
        <f>(N9+N46+N59+N69+N76+N79+N92)/7</f>
        <v>0.21023200677114354</v>
      </c>
      <c r="O4" s="882">
        <f>(O9+O46+O59+O69+O76+O79+O92)</f>
        <v>18.190930055384431</v>
      </c>
      <c r="P4" s="881">
        <f>O4/100</f>
        <v>0.1819093005538443</v>
      </c>
      <c r="Q4" s="878"/>
      <c r="R4" s="879"/>
      <c r="S4" s="7"/>
    </row>
    <row r="5" spans="1:27" ht="18.399999999999999" thickBot="1" x14ac:dyDescent="0.6">
      <c r="B5" s="1740"/>
      <c r="C5" s="1741"/>
      <c r="D5" s="1741"/>
      <c r="E5" s="1741"/>
      <c r="F5" s="1741"/>
      <c r="G5" s="1741"/>
      <c r="H5" s="1741"/>
      <c r="I5" s="1741"/>
      <c r="J5" s="1741"/>
      <c r="K5" s="1741"/>
      <c r="L5" s="68"/>
      <c r="M5" s="883">
        <f>100/28</f>
        <v>3.5714285714285716</v>
      </c>
      <c r="N5" s="9"/>
      <c r="O5" s="647"/>
      <c r="P5" s="647"/>
      <c r="Q5" s="884"/>
      <c r="R5" s="9"/>
      <c r="S5" s="10"/>
    </row>
    <row r="6" spans="1:27" ht="33.6" customHeight="1" thickBot="1" x14ac:dyDescent="0.5">
      <c r="B6" s="1742"/>
      <c r="C6" s="1743"/>
      <c r="D6" s="1743"/>
      <c r="E6" s="1743"/>
      <c r="F6" s="1744"/>
      <c r="G6" s="885"/>
      <c r="H6" s="885"/>
      <c r="I6" s="885"/>
      <c r="J6" s="885"/>
      <c r="K6" s="885"/>
      <c r="L6" s="885"/>
      <c r="M6" s="885"/>
      <c r="N6" s="886"/>
      <c r="O6" s="887"/>
      <c r="P6" s="887"/>
      <c r="Q6" s="886"/>
      <c r="R6" s="12"/>
      <c r="S6" s="13"/>
    </row>
    <row r="7" spans="1:27" ht="55.8" customHeight="1" thickBot="1" x14ac:dyDescent="0.5">
      <c r="B7" s="1745"/>
      <c r="C7" s="1746"/>
      <c r="D7" s="1746"/>
      <c r="E7" s="1746"/>
      <c r="F7" s="1747"/>
      <c r="G7" s="888"/>
      <c r="H7" s="889" t="s">
        <v>218</v>
      </c>
      <c r="I7" s="890" t="s">
        <v>219</v>
      </c>
      <c r="J7" s="891" t="s">
        <v>91</v>
      </c>
      <c r="K7" s="892" t="s">
        <v>107</v>
      </c>
      <c r="L7" s="892" t="s">
        <v>104</v>
      </c>
      <c r="M7" s="892" t="s">
        <v>105</v>
      </c>
      <c r="N7" s="890" t="s">
        <v>106</v>
      </c>
      <c r="O7" s="890" t="s">
        <v>646</v>
      </c>
      <c r="P7" s="893" t="s">
        <v>647</v>
      </c>
      <c r="Q7" s="894" t="s">
        <v>93</v>
      </c>
      <c r="R7" s="895" t="s">
        <v>110</v>
      </c>
      <c r="S7" s="896" t="s">
        <v>103</v>
      </c>
    </row>
    <row r="8" spans="1:27" ht="25.25" customHeight="1" thickBot="1" x14ac:dyDescent="0.5">
      <c r="B8" s="897" t="s">
        <v>2</v>
      </c>
      <c r="C8" s="897" t="s">
        <v>92</v>
      </c>
      <c r="D8" s="897" t="s">
        <v>3</v>
      </c>
      <c r="E8" s="897" t="s">
        <v>94</v>
      </c>
      <c r="F8" s="897" t="s">
        <v>102</v>
      </c>
      <c r="G8" s="897" t="s">
        <v>96</v>
      </c>
      <c r="H8" s="898"/>
      <c r="I8" s="899"/>
      <c r="J8" s="898"/>
      <c r="K8" s="900"/>
      <c r="L8" s="900"/>
      <c r="M8" s="897"/>
      <c r="N8" s="901"/>
      <c r="O8" s="902"/>
      <c r="P8" s="903"/>
      <c r="Q8" s="899"/>
      <c r="R8" s="901"/>
      <c r="S8" s="901"/>
      <c r="V8" s="904" t="s">
        <v>151</v>
      </c>
      <c r="W8" s="905"/>
      <c r="X8" s="905"/>
      <c r="Y8" s="905"/>
      <c r="Z8" s="906"/>
    </row>
    <row r="9" spans="1:27" s="207" customFormat="1" ht="25.25" customHeight="1" thickBot="1" x14ac:dyDescent="0.5">
      <c r="B9" s="1748" t="s">
        <v>0</v>
      </c>
      <c r="C9" s="1749"/>
      <c r="D9" s="1749"/>
      <c r="E9" s="1749"/>
      <c r="F9" s="1750"/>
      <c r="G9" s="907"/>
      <c r="H9" s="908"/>
      <c r="I9" s="909"/>
      <c r="J9" s="910"/>
      <c r="K9" s="910"/>
      <c r="L9" s="910"/>
      <c r="M9" s="907"/>
      <c r="N9" s="911">
        <f>(N10+N18+N23+N32+N37+N40+N43)/7</f>
        <v>0.15627206636363589</v>
      </c>
      <c r="O9" s="912">
        <f>(O10+O18+O23+O32+O37+O40+O43)</f>
        <v>4.9081226868869567</v>
      </c>
      <c r="P9" s="913">
        <f>O9/42.857136</f>
        <v>0.11452288101768997</v>
      </c>
      <c r="Q9" s="910"/>
      <c r="R9" s="914"/>
      <c r="S9" s="914"/>
      <c r="U9" s="915"/>
      <c r="V9" s="916"/>
      <c r="W9" s="917"/>
      <c r="X9" s="917"/>
      <c r="Y9" s="917"/>
      <c r="Z9" s="918"/>
      <c r="AA9" s="915"/>
    </row>
    <row r="10" spans="1:27" s="109" customFormat="1" ht="25.25" customHeight="1" thickBot="1" x14ac:dyDescent="0.5">
      <c r="B10" s="1751" t="s">
        <v>1</v>
      </c>
      <c r="C10" s="1752"/>
      <c r="D10" s="1752"/>
      <c r="E10" s="1752"/>
      <c r="F10" s="1753"/>
      <c r="G10" s="919"/>
      <c r="H10" s="920"/>
      <c r="I10" s="921"/>
      <c r="J10" s="922"/>
      <c r="K10" s="922"/>
      <c r="L10" s="922"/>
      <c r="M10" s="919"/>
      <c r="N10" s="911">
        <f>(N11+N13+N15)/3</f>
        <v>1.0109207548814256</v>
      </c>
      <c r="O10" s="912">
        <f>(O11+O13+O15)</f>
        <v>3.7725691138177941</v>
      </c>
      <c r="P10" s="913">
        <f>O10/10.714284</f>
        <v>0.35210650696003526</v>
      </c>
      <c r="Q10" s="922"/>
      <c r="R10" s="923"/>
      <c r="S10" s="923"/>
      <c r="U10" s="924"/>
      <c r="V10" s="925"/>
      <c r="W10" s="926"/>
      <c r="X10" s="926"/>
      <c r="Y10" s="926"/>
      <c r="Z10" s="927"/>
      <c r="AA10" s="924"/>
    </row>
    <row r="11" spans="1:27" ht="27.6" customHeight="1" x14ac:dyDescent="0.45">
      <c r="A11" s="1617">
        <v>1</v>
      </c>
      <c r="B11" s="1733" t="s">
        <v>4</v>
      </c>
      <c r="C11" s="1735">
        <f>M5</f>
        <v>3.5714285714285716</v>
      </c>
      <c r="D11" s="928" t="s">
        <v>111</v>
      </c>
      <c r="E11" s="929">
        <f>$C$11/2</f>
        <v>1.7857142857142858</v>
      </c>
      <c r="F11" s="930" t="s">
        <v>5</v>
      </c>
      <c r="G11" s="931">
        <f>E11/1</f>
        <v>1.7857142857142858</v>
      </c>
      <c r="H11" s="302">
        <v>476.875</v>
      </c>
      <c r="I11" s="303">
        <v>538.22799999999995</v>
      </c>
      <c r="J11" s="932">
        <f>(H11-I11)</f>
        <v>-61.352999999999952</v>
      </c>
      <c r="K11" s="933">
        <f>(0.3*I11)*6/10</f>
        <v>96.881039999999985</v>
      </c>
      <c r="L11" s="934">
        <f>I11+K11</f>
        <v>635.10903999999994</v>
      </c>
      <c r="M11" s="935">
        <f>IF(K11&lt;&gt;0,J11/K11,"0%")</f>
        <v>-0.63328180622338448</v>
      </c>
      <c r="N11" s="1731">
        <f>(((G11/C11)*M11)+((G12/C11)*M12))</f>
        <v>5.6319520880105722E-2</v>
      </c>
      <c r="O11" s="1723">
        <f>IF((((G11/C11)*M11)+((G12/C11)*M12))&gt;=1,3.57148,IF((((G11/C11)*M11)+((G12/C11)*M12))&lt;=0,0, (((G11/C11)*M11)+((G12/C11)*M12))*3.571428))</f>
        <v>0.20114111381779423</v>
      </c>
      <c r="P11" s="1630">
        <f>O11/3.571428</f>
        <v>5.6319520880105722E-2</v>
      </c>
      <c r="Q11" s="936" t="s">
        <v>97</v>
      </c>
      <c r="R11" s="154" t="s">
        <v>710</v>
      </c>
      <c r="S11" s="155" t="s">
        <v>808</v>
      </c>
      <c r="V11" s="937" t="s">
        <v>109</v>
      </c>
      <c r="W11" s="938" t="e">
        <f>#REF!</f>
        <v>#REF!</v>
      </c>
      <c r="X11" s="939"/>
      <c r="Y11" s="939"/>
      <c r="Z11" s="940"/>
    </row>
    <row r="12" spans="1:27" ht="27" customHeight="1" thickBot="1" x14ac:dyDescent="0.5">
      <c r="A12" s="1617"/>
      <c r="B12" s="1734"/>
      <c r="C12" s="1736"/>
      <c r="D12" s="941" t="s">
        <v>112</v>
      </c>
      <c r="E12" s="942">
        <f>$C$11/2</f>
        <v>1.7857142857142858</v>
      </c>
      <c r="F12" s="943" t="s">
        <v>281</v>
      </c>
      <c r="G12" s="944">
        <f>E12/1</f>
        <v>1.7857142857142858</v>
      </c>
      <c r="H12" s="1322">
        <v>2.0320000600000001</v>
      </c>
      <c r="I12" s="1323">
        <v>2.2880001069999998</v>
      </c>
      <c r="J12" s="947">
        <f>I12-H12</f>
        <v>0.25600004699999968</v>
      </c>
      <c r="K12" s="948">
        <f>(0.25*I12)*(6/10)</f>
        <v>0.34320001604999995</v>
      </c>
      <c r="L12" s="949">
        <f>I12-K12</f>
        <v>1.9448000909499998</v>
      </c>
      <c r="M12" s="971">
        <f>IF(K12&lt;&gt;0,J12/K12,"0%")</f>
        <v>0.74592084798359592</v>
      </c>
      <c r="N12" s="1732"/>
      <c r="O12" s="1760"/>
      <c r="P12" s="1631"/>
      <c r="Q12" s="951" t="s">
        <v>98</v>
      </c>
      <c r="R12" s="108" t="s">
        <v>710</v>
      </c>
      <c r="S12" s="1324" t="s">
        <v>809</v>
      </c>
      <c r="V12" s="952">
        <v>0.02</v>
      </c>
      <c r="W12" s="953" t="e">
        <f>(W11-(W11*V12))</f>
        <v>#REF!</v>
      </c>
      <c r="X12" s="953" t="e">
        <f>W11-(V12*W11)</f>
        <v>#REF!</v>
      </c>
      <c r="Y12" s="939"/>
      <c r="Z12" s="940"/>
    </row>
    <row r="13" spans="1:27" ht="32.450000000000003" customHeight="1" thickBot="1" x14ac:dyDescent="0.5">
      <c r="A13" s="1617">
        <v>2</v>
      </c>
      <c r="B13" s="1754" t="s">
        <v>6</v>
      </c>
      <c r="C13" s="1756">
        <f>M5</f>
        <v>3.5714285714285716</v>
      </c>
      <c r="D13" s="954" t="s">
        <v>273</v>
      </c>
      <c r="E13" s="955">
        <f>$C$13/2</f>
        <v>1.7857142857142858</v>
      </c>
      <c r="F13" s="956" t="s">
        <v>7</v>
      </c>
      <c r="G13" s="957">
        <f>E13/1</f>
        <v>1.7857142857142858</v>
      </c>
      <c r="H13" s="1353"/>
      <c r="I13" s="305">
        <v>15.3</v>
      </c>
      <c r="J13" s="959">
        <f>IF(I13=H13,(5-H13),I13-H13)</f>
        <v>15.3</v>
      </c>
      <c r="K13" s="960">
        <f>IF(I13&lt;=5,0,((I13-5)*(6/10)))</f>
        <v>6.1800000000000006</v>
      </c>
      <c r="L13" s="961">
        <f>I13-K13</f>
        <v>9.120000000000001</v>
      </c>
      <c r="M13" s="935" t="str">
        <f>IF(H13=0,"0%",J13/K13)</f>
        <v>0%</v>
      </c>
      <c r="N13" s="1731">
        <f>(((G13/C13)*M13)+((G14/C13)*M14))</f>
        <v>0</v>
      </c>
      <c r="O13" s="1723">
        <f>IF((((G13/C13)*M13)+((G14/C13)*M14))&gt;=1,3.57148,IF((((G13/C13)*M13)+((G14/C13)*M14))&lt;=0,0, (((G13/C13)*M13)+((G14/C13)*M14))*3.571428))</f>
        <v>0</v>
      </c>
      <c r="P13" s="1630">
        <f>O13/3.571428</f>
        <v>0</v>
      </c>
      <c r="Q13" s="963" t="s">
        <v>99</v>
      </c>
      <c r="R13" s="265" t="s">
        <v>710</v>
      </c>
      <c r="S13" s="604" t="s">
        <v>810</v>
      </c>
      <c r="V13" s="952">
        <v>0.02</v>
      </c>
      <c r="W13" s="953" t="e">
        <f>(#REF!-(#REF!*V13))</f>
        <v>#REF!</v>
      </c>
      <c r="X13" s="953" t="e">
        <f>(W11-(V12*W11))-((W11-(V12*W11))*0.02)-(((W11-(V12*W11))-((W11-(V12*W11))*0.02))*0.02)-(((W11-(V12*W11))-((W11-(V12*W11))*0.02)-(((W11-(V12*W11))-((W11-(V12*W11))*0.02))*0.02))*0.02)</f>
        <v>#REF!</v>
      </c>
      <c r="Y13" s="964" t="e">
        <f>(W11-W14)/W11</f>
        <v>#REF!</v>
      </c>
      <c r="Z13" s="940"/>
    </row>
    <row r="14" spans="1:27" ht="33" customHeight="1" thickBot="1" x14ac:dyDescent="0.5">
      <c r="A14" s="1617"/>
      <c r="B14" s="1755"/>
      <c r="C14" s="1757"/>
      <c r="D14" s="941" t="s">
        <v>274</v>
      </c>
      <c r="E14" s="965">
        <f>$C$13/2</f>
        <v>1.7857142857142858</v>
      </c>
      <c r="F14" s="966" t="s">
        <v>8</v>
      </c>
      <c r="G14" s="967">
        <f>E14/1</f>
        <v>1.7857142857142858</v>
      </c>
      <c r="H14" s="1354"/>
      <c r="I14" s="1355"/>
      <c r="J14" s="968">
        <f>H14-I14</f>
        <v>0</v>
      </c>
      <c r="K14" s="969">
        <f>(0.95*(100-I14))*6/10</f>
        <v>57</v>
      </c>
      <c r="L14" s="970">
        <f>K14+I14</f>
        <v>57</v>
      </c>
      <c r="M14" s="950">
        <f>IF(K14&lt;&gt;0,J14/K14,"1%")</f>
        <v>0</v>
      </c>
      <c r="N14" s="1732"/>
      <c r="O14" s="1760"/>
      <c r="P14" s="1631"/>
      <c r="Q14" s="972" t="s">
        <v>100</v>
      </c>
      <c r="R14" s="154"/>
      <c r="S14" s="208"/>
      <c r="V14" s="973">
        <v>0.02</v>
      </c>
      <c r="W14" s="974" t="e">
        <f>(#REF!-(#REF!*V14))</f>
        <v>#REF!</v>
      </c>
      <c r="X14" s="974"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975" t="e">
        <f>W11-X14</f>
        <v>#REF!</v>
      </c>
      <c r="Z14" s="976"/>
    </row>
    <row r="15" spans="1:27" ht="22.25" customHeight="1" thickBot="1" x14ac:dyDescent="0.5">
      <c r="A15" s="1651">
        <v>3</v>
      </c>
      <c r="B15" s="1727" t="s">
        <v>9</v>
      </c>
      <c r="C15" s="1729">
        <f>M5</f>
        <v>3.5714285714285716</v>
      </c>
      <c r="D15" s="1727" t="s">
        <v>113</v>
      </c>
      <c r="E15" s="1729">
        <f>$C$15/1</f>
        <v>3.5714285714285716</v>
      </c>
      <c r="F15" s="977" t="s">
        <v>221</v>
      </c>
      <c r="G15" s="978">
        <f>$E$15/3</f>
        <v>1.1904761904761905</v>
      </c>
      <c r="H15" s="308">
        <v>0.214</v>
      </c>
      <c r="I15" s="309">
        <v>9.8000000000000004E-2</v>
      </c>
      <c r="J15" s="979">
        <f>H15-I15</f>
        <v>0.11599999999999999</v>
      </c>
      <c r="K15" s="980">
        <f>(0.5*I15)*6/10</f>
        <v>2.9400000000000003E-2</v>
      </c>
      <c r="L15" s="934">
        <f>I15+K15</f>
        <v>0.12740000000000001</v>
      </c>
      <c r="M15" s="962">
        <f>IF(K15&lt;&gt;0,J15/K15,"0%")</f>
        <v>3.9455782312925165</v>
      </c>
      <c r="N15" s="1702">
        <f>(((G15/C15)*M15)+((G16/C15)*M16)+((G17/C15)*M17))</f>
        <v>2.9764427437641716</v>
      </c>
      <c r="O15" s="1632">
        <f>IF((((G15/C15)*M15)+((G16/C15)*M16)+((G17/C15)*M17))&gt;=1,3.571428,IF((((G15/C15)*M15)+((G16/C15)*M16)+((G17/C15)*M17))&lt;=0,0,(((G15/C15)*M15)+((G16/C15)*M16)+((G17/C15)*M17))*3.571428))</f>
        <v>3.571428</v>
      </c>
      <c r="P15" s="1630">
        <f>O15/3.571428</f>
        <v>1</v>
      </c>
      <c r="Q15" s="981" t="s">
        <v>101</v>
      </c>
      <c r="R15" s="154" t="s">
        <v>710</v>
      </c>
      <c r="S15" s="164"/>
    </row>
    <row r="16" spans="1:27" x14ac:dyDescent="0.45">
      <c r="A16" s="1651"/>
      <c r="B16" s="1727"/>
      <c r="C16" s="1729"/>
      <c r="D16" s="1727"/>
      <c r="E16" s="1729"/>
      <c r="F16" s="982" t="s">
        <v>220</v>
      </c>
      <c r="G16" s="983">
        <f t="shared" ref="G16:G17" si="0">$E$15/3</f>
        <v>1.1904761904761905</v>
      </c>
      <c r="H16" s="233"/>
      <c r="I16" s="234"/>
      <c r="J16" s="986">
        <f>H16-I16</f>
        <v>0</v>
      </c>
      <c r="K16" s="987">
        <f>(0.5*I16)*6/10</f>
        <v>0</v>
      </c>
      <c r="L16" s="988">
        <f t="shared" ref="L16:L17" si="1">I16+K16</f>
        <v>0</v>
      </c>
      <c r="M16" s="989" t="str">
        <f>IF(K16&lt;&gt;0,J16/K16,"0%")</f>
        <v>0%</v>
      </c>
      <c r="N16" s="1657"/>
      <c r="O16" s="1758"/>
      <c r="P16" s="1635"/>
      <c r="Q16" s="990" t="s">
        <v>95</v>
      </c>
      <c r="R16" s="154"/>
      <c r="S16" s="169"/>
    </row>
    <row r="17" spans="1:19" ht="25.25" customHeight="1" thickBot="1" x14ac:dyDescent="0.5">
      <c r="A17" s="1651"/>
      <c r="B17" s="1728"/>
      <c r="C17" s="1730"/>
      <c r="D17" s="1728"/>
      <c r="E17" s="1730"/>
      <c r="F17" s="991" t="s">
        <v>10</v>
      </c>
      <c r="G17" s="992">
        <f t="shared" si="0"/>
        <v>1.1904761904761905</v>
      </c>
      <c r="H17" s="111">
        <v>7.9843999999999999</v>
      </c>
      <c r="I17" s="112">
        <v>3.2</v>
      </c>
      <c r="J17" s="993">
        <f>H17-I17</f>
        <v>4.7843999999999998</v>
      </c>
      <c r="K17" s="994">
        <f>(0.5*I17)*6/10</f>
        <v>0.96000000000000019</v>
      </c>
      <c r="L17" s="949">
        <f t="shared" si="1"/>
        <v>4.16</v>
      </c>
      <c r="M17" s="950">
        <f>IF(K17&lt;&gt;0,J17/K17,"0%")</f>
        <v>4.9837499999999988</v>
      </c>
      <c r="N17" s="1703"/>
      <c r="O17" s="1759"/>
      <c r="P17" s="1635"/>
      <c r="Q17" s="995" t="s">
        <v>162</v>
      </c>
      <c r="R17" s="236" t="s">
        <v>710</v>
      </c>
      <c r="S17" s="166" t="s">
        <v>711</v>
      </c>
    </row>
    <row r="18" spans="1:19" ht="21.4" thickBot="1" x14ac:dyDescent="0.7">
      <c r="A18" s="14"/>
      <c r="B18" s="1670" t="s">
        <v>11</v>
      </c>
      <c r="C18" s="1671"/>
      <c r="D18" s="1671"/>
      <c r="E18" s="1671"/>
      <c r="F18" s="1672"/>
      <c r="G18" s="996"/>
      <c r="H18" s="1274"/>
      <c r="I18" s="1274"/>
      <c r="J18" s="997"/>
      <c r="K18" s="997"/>
      <c r="L18" s="997"/>
      <c r="M18" s="998"/>
      <c r="N18" s="911">
        <f>N19</f>
        <v>0</v>
      </c>
      <c r="O18" s="912">
        <f>O19</f>
        <v>0</v>
      </c>
      <c r="P18" s="913">
        <f>O18/3.571428</f>
        <v>0</v>
      </c>
      <c r="Q18" s="997"/>
      <c r="R18" s="333"/>
      <c r="S18" s="729"/>
    </row>
    <row r="19" spans="1:19" ht="34.25" customHeight="1" thickBot="1" x14ac:dyDescent="0.5">
      <c r="A19" s="1617">
        <v>4</v>
      </c>
      <c r="B19" s="1618" t="s">
        <v>12</v>
      </c>
      <c r="C19" s="1678">
        <f>M5</f>
        <v>3.5714285714285716</v>
      </c>
      <c r="D19" s="999" t="s">
        <v>114</v>
      </c>
      <c r="E19" s="931">
        <f>$C$19/4</f>
        <v>0.8928571428571429</v>
      </c>
      <c r="F19" s="1000" t="s">
        <v>222</v>
      </c>
      <c r="G19" s="978">
        <f>E19/1</f>
        <v>0.8928571428571429</v>
      </c>
      <c r="H19" s="1356">
        <v>1.2518</v>
      </c>
      <c r="I19" s="1357"/>
      <c r="J19" s="1001">
        <f>H19-I19</f>
        <v>1.2518</v>
      </c>
      <c r="K19" s="980">
        <f>(2*I19)*6/10</f>
        <v>0</v>
      </c>
      <c r="L19" s="1002">
        <f t="shared" ref="L19:L22" si="2">K19+I19</f>
        <v>0</v>
      </c>
      <c r="M19" s="935" t="str">
        <f>IF(K19&lt;&gt;0,J19/K19,"0%")</f>
        <v>0%</v>
      </c>
      <c r="N19" s="1721">
        <f>(((G19/C19)*M19)+((G20/C19)*M20)+((G21/C19)*M21)+((G22/C19)*M22))</f>
        <v>0</v>
      </c>
      <c r="O19" s="1723">
        <f>IF((((G19/C19)*M19)+((G20/C19)*M20)+((G21/C19)*M21)+((G22/C19)*M22))&gt;=1,3.571428,IF((((G19/C19)*M19)+((G20/C19)*M20)+((G21/C19)*M21)+((G22/C19)*M22))&lt;=0,0,((((G19/C19)*M19)+((G20/C19)*M20)+((G21/C19)*M21)+((G22/C19)*M22))*3.571428)))</f>
        <v>0</v>
      </c>
      <c r="P19" s="1630">
        <f>O19/3.571428</f>
        <v>0</v>
      </c>
      <c r="Q19" s="1003" t="s">
        <v>163</v>
      </c>
      <c r="R19" s="108"/>
      <c r="S19" s="60"/>
    </row>
    <row r="20" spans="1:19" ht="39" customHeight="1" x14ac:dyDescent="0.45">
      <c r="A20" s="1617"/>
      <c r="B20" s="1619"/>
      <c r="C20" s="1685"/>
      <c r="D20" s="1004" t="s">
        <v>152</v>
      </c>
      <c r="E20" s="1005">
        <f>($C$19/4)</f>
        <v>0.8928571428571429</v>
      </c>
      <c r="F20" s="1006" t="s">
        <v>265</v>
      </c>
      <c r="G20" s="983">
        <f>E20/1</f>
        <v>0.8928571428571429</v>
      </c>
      <c r="H20" s="1358">
        <v>0.44569999999999999</v>
      </c>
      <c r="I20" s="1359"/>
      <c r="J20" s="1007">
        <f t="shared" ref="J20:J24" si="3">H20-I20</f>
        <v>0.44569999999999999</v>
      </c>
      <c r="K20" s="987">
        <f>(100-I20)*(6/10)</f>
        <v>60</v>
      </c>
      <c r="L20" s="1008">
        <f t="shared" si="2"/>
        <v>60</v>
      </c>
      <c r="M20" s="989" t="str">
        <f>IF(I20=0,"0%",J20/K20)</f>
        <v>0%</v>
      </c>
      <c r="N20" s="1722"/>
      <c r="O20" s="1763"/>
      <c r="P20" s="1635"/>
      <c r="Q20" s="1009" t="s">
        <v>164</v>
      </c>
      <c r="R20" s="154"/>
      <c r="S20" s="62"/>
    </row>
    <row r="21" spans="1:19" ht="56.45" customHeight="1" thickBot="1" x14ac:dyDescent="0.5">
      <c r="A21" s="1617"/>
      <c r="B21" s="1619"/>
      <c r="C21" s="1685"/>
      <c r="D21" s="1004" t="s">
        <v>153</v>
      </c>
      <c r="E21" s="1005">
        <f t="shared" ref="E21:E22" si="4">($C$19/4)</f>
        <v>0.8928571428571429</v>
      </c>
      <c r="F21" s="1006" t="s">
        <v>155</v>
      </c>
      <c r="G21" s="983">
        <f>E21/1</f>
        <v>0.8928571428571429</v>
      </c>
      <c r="H21" s="470"/>
      <c r="I21" s="496"/>
      <c r="J21" s="1007">
        <f t="shared" si="3"/>
        <v>0</v>
      </c>
      <c r="K21" s="987">
        <f>(0.3*I21)*6/10</f>
        <v>0</v>
      </c>
      <c r="L21" s="1008">
        <f t="shared" si="2"/>
        <v>0</v>
      </c>
      <c r="M21" s="989" t="str">
        <f>IF(K21&lt;&gt;0,J21/K21,"0%")</f>
        <v>0%</v>
      </c>
      <c r="N21" s="1722"/>
      <c r="O21" s="1763"/>
      <c r="P21" s="1635"/>
      <c r="Q21" s="1009" t="s">
        <v>165</v>
      </c>
      <c r="R21" s="159"/>
      <c r="S21" s="62"/>
    </row>
    <row r="22" spans="1:19" ht="36.6" customHeight="1" thickBot="1" x14ac:dyDescent="0.5">
      <c r="A22" s="1617"/>
      <c r="B22" s="1724"/>
      <c r="C22" s="1725"/>
      <c r="D22" s="966" t="s">
        <v>154</v>
      </c>
      <c r="E22" s="1010">
        <f t="shared" si="4"/>
        <v>0.8928571428571429</v>
      </c>
      <c r="F22" s="1011" t="s">
        <v>156</v>
      </c>
      <c r="G22" s="1012">
        <f>E22/1</f>
        <v>0.8928571428571429</v>
      </c>
      <c r="H22" s="500"/>
      <c r="I22" s="758">
        <v>16.96</v>
      </c>
      <c r="J22" s="1013">
        <f t="shared" si="3"/>
        <v>-16.96</v>
      </c>
      <c r="K22" s="994">
        <f>(100-I22)*(6/10)</f>
        <v>49.823999999999991</v>
      </c>
      <c r="L22" s="1014">
        <f t="shared" si="2"/>
        <v>66.783999999999992</v>
      </c>
      <c r="M22" s="950" t="str">
        <f>IF(K22=0,J22/K22,"0%")</f>
        <v>0%</v>
      </c>
      <c r="N22" s="1726"/>
      <c r="O22" s="1760"/>
      <c r="P22" s="1631"/>
      <c r="Q22" s="1015" t="s">
        <v>95</v>
      </c>
      <c r="R22" s="154" t="s">
        <v>710</v>
      </c>
      <c r="S22" s="62" t="s">
        <v>712</v>
      </c>
    </row>
    <row r="23" spans="1:19" ht="20.45" customHeight="1" thickBot="1" x14ac:dyDescent="0.5">
      <c r="B23" s="1614" t="s">
        <v>13</v>
      </c>
      <c r="C23" s="1615"/>
      <c r="D23" s="1615"/>
      <c r="E23" s="1615"/>
      <c r="F23" s="1616"/>
      <c r="G23" s="996"/>
      <c r="H23" s="1274"/>
      <c r="I23" s="1274"/>
      <c r="J23" s="1016"/>
      <c r="K23" s="1017"/>
      <c r="L23" s="1017"/>
      <c r="M23" s="998"/>
      <c r="N23" s="911">
        <f>N24</f>
        <v>0.2801795186788929</v>
      </c>
      <c r="O23" s="912">
        <f>O24</f>
        <v>1.0006409780363212</v>
      </c>
      <c r="P23" s="913">
        <f>O23/3.571428</f>
        <v>0.28017951867889296</v>
      </c>
      <c r="Q23" s="997"/>
      <c r="R23" s="336"/>
      <c r="S23" s="731"/>
    </row>
    <row r="24" spans="1:19" ht="36" customHeight="1" thickBot="1" x14ac:dyDescent="0.5">
      <c r="A24" s="1617">
        <v>5</v>
      </c>
      <c r="B24" s="1618" t="s">
        <v>14</v>
      </c>
      <c r="C24" s="1678">
        <f>M5</f>
        <v>3.5714285714285716</v>
      </c>
      <c r="D24" s="999" t="s">
        <v>115</v>
      </c>
      <c r="E24" s="931">
        <f>$C$24/4</f>
        <v>0.8928571428571429</v>
      </c>
      <c r="F24" s="999" t="s">
        <v>280</v>
      </c>
      <c r="G24" s="931">
        <f>E24/1</f>
        <v>0.8928571428571429</v>
      </c>
      <c r="H24" s="489"/>
      <c r="I24" s="1360">
        <v>0.67200000000000004</v>
      </c>
      <c r="J24" s="1020">
        <f t="shared" si="3"/>
        <v>-0.67200000000000004</v>
      </c>
      <c r="K24" s="980">
        <f>(0.3*I24)*6/10</f>
        <v>0.12096</v>
      </c>
      <c r="L24" s="1002">
        <f>K24+I24</f>
        <v>0.79296</v>
      </c>
      <c r="M24" s="935" t="str">
        <f>IF(H24=0,"0%",J24/K24)</f>
        <v>0%</v>
      </c>
      <c r="N24" s="1721">
        <f>(((G24/C24)*M24)+((G25/C24)*M25)+ ((G26/C24)*M26)+((G27/C24)*M27)+((G28/C24)*M28)+((G29/C24)*M29)+((G30/C24)*M30)+((G31/C24)*M31))</f>
        <v>0.2801795186788929</v>
      </c>
      <c r="O24" s="1723">
        <f>IF((((G24/C24)*M24)+((G25/C24)*M25)+ ((G26/C24)*M26)+((G27/C24)*M27)+((G28/C24)*M28)+((G29/C24)*M29)+((G30/C24)*M30)+((G31/C24)*M31))&gt;=1,3.571428,IF((((G24/C24)*M24)+((G25/C24)*M25)+ ((G26/C24)*M26)+((G27/C24)*M27)+((G28/C24)*M28)+((G29/C24)*M29)+((G30/C24)*M30)+((G31/C24)*M31))&lt;=0,0,((((G24/C24)*M24)+((G25/C24)*M25)+ ((G26/C24)*M26)+((G27/C24)*M27)+((G28/C24)*M28)+((G29/C24)*M29)+((G30/C24)*M30)+((G31/C24)*M31))*3.571428)))</f>
        <v>1.0006409780363212</v>
      </c>
      <c r="P24" s="1630">
        <f>O24/3.571428</f>
        <v>0.28017951867889296</v>
      </c>
      <c r="Q24" s="1021" t="s">
        <v>166</v>
      </c>
      <c r="R24" s="108"/>
      <c r="S24" s="60"/>
    </row>
    <row r="25" spans="1:19" ht="19.8" customHeight="1" thickBot="1" x14ac:dyDescent="0.5">
      <c r="A25" s="1617"/>
      <c r="B25" s="1619"/>
      <c r="C25" s="1685"/>
      <c r="D25" s="1625" t="s">
        <v>158</v>
      </c>
      <c r="E25" s="1688">
        <v>0.9</v>
      </c>
      <c r="F25" s="1004" t="s">
        <v>15</v>
      </c>
      <c r="G25" s="1005">
        <f>$E$25/3</f>
        <v>0.3</v>
      </c>
      <c r="H25" s="113">
        <v>661</v>
      </c>
      <c r="I25" s="107">
        <v>674</v>
      </c>
      <c r="J25" s="1022">
        <f t="shared" ref="J25:J30" si="5">I25-H25</f>
        <v>13</v>
      </c>
      <c r="K25" s="987">
        <f>(0.5*I25)*6/10</f>
        <v>202.2</v>
      </c>
      <c r="L25" s="1008">
        <f t="shared" ref="L25:L30" si="6">I25-K25</f>
        <v>471.8</v>
      </c>
      <c r="M25" s="989">
        <f t="shared" ref="M25:M31" si="7">IF(K25&lt;&gt;0,J25/K25,"0%")</f>
        <v>6.4292779426310592E-2</v>
      </c>
      <c r="N25" s="1722"/>
      <c r="O25" s="1763"/>
      <c r="P25" s="1635"/>
      <c r="Q25" s="1023" t="s">
        <v>167</v>
      </c>
      <c r="R25" s="108" t="s">
        <v>710</v>
      </c>
      <c r="S25" s="62" t="s">
        <v>713</v>
      </c>
    </row>
    <row r="26" spans="1:19" ht="19.8" customHeight="1" thickBot="1" x14ac:dyDescent="0.5">
      <c r="A26" s="1617"/>
      <c r="B26" s="1619"/>
      <c r="C26" s="1685"/>
      <c r="D26" s="1713"/>
      <c r="E26" s="1714"/>
      <c r="F26" s="1004" t="s">
        <v>16</v>
      </c>
      <c r="G26" s="1005">
        <f t="shared" ref="G26:G27" si="8">$E$25/3</f>
        <v>0.3</v>
      </c>
      <c r="H26" s="755">
        <v>24.5</v>
      </c>
      <c r="I26" s="756">
        <v>27</v>
      </c>
      <c r="J26" s="1022">
        <f t="shared" si="5"/>
        <v>2.5</v>
      </c>
      <c r="K26" s="987">
        <f>(0.8*I26)*6/10</f>
        <v>12.960000000000003</v>
      </c>
      <c r="L26" s="1008">
        <f t="shared" si="6"/>
        <v>14.039999999999997</v>
      </c>
      <c r="M26" s="989">
        <f t="shared" si="7"/>
        <v>0.1929012345679012</v>
      </c>
      <c r="N26" s="1722"/>
      <c r="O26" s="1763"/>
      <c r="P26" s="1635"/>
      <c r="Q26" s="1023" t="s">
        <v>168</v>
      </c>
      <c r="R26" s="108" t="s">
        <v>710</v>
      </c>
      <c r="S26" s="62" t="s">
        <v>714</v>
      </c>
    </row>
    <row r="27" spans="1:19" ht="19.8" customHeight="1" thickBot="1" x14ac:dyDescent="0.5">
      <c r="A27" s="1617"/>
      <c r="B27" s="1619"/>
      <c r="C27" s="1685"/>
      <c r="D27" s="1713"/>
      <c r="E27" s="1714"/>
      <c r="F27" s="1004" t="s">
        <v>17</v>
      </c>
      <c r="G27" s="1005">
        <f t="shared" si="8"/>
        <v>0.3</v>
      </c>
      <c r="H27" s="755">
        <v>70.900000000000006</v>
      </c>
      <c r="I27" s="756">
        <v>85.1</v>
      </c>
      <c r="J27" s="1022">
        <f t="shared" si="5"/>
        <v>14.199999999999989</v>
      </c>
      <c r="K27" s="987">
        <f>(0.5*I27)*(6/10)</f>
        <v>25.529999999999998</v>
      </c>
      <c r="L27" s="1008">
        <f t="shared" si="6"/>
        <v>59.569999999999993</v>
      </c>
      <c r="M27" s="989">
        <f t="shared" si="7"/>
        <v>0.55620838229533842</v>
      </c>
      <c r="N27" s="1722"/>
      <c r="O27" s="1763"/>
      <c r="P27" s="1635"/>
      <c r="Q27" s="1023" t="s">
        <v>169</v>
      </c>
      <c r="R27" s="108" t="s">
        <v>710</v>
      </c>
      <c r="S27" s="62" t="s">
        <v>714</v>
      </c>
    </row>
    <row r="28" spans="1:19" ht="30.6" customHeight="1" thickBot="1" x14ac:dyDescent="0.5">
      <c r="A28" s="22"/>
      <c r="B28" s="1619"/>
      <c r="C28" s="1685"/>
      <c r="D28" s="1625" t="s">
        <v>116</v>
      </c>
      <c r="E28" s="1688">
        <f t="shared" ref="E28:E31" si="9">$C$24/4</f>
        <v>0.8928571428571429</v>
      </c>
      <c r="F28" s="1004" t="s">
        <v>148</v>
      </c>
      <c r="G28" s="1005">
        <f>$E$28/3</f>
        <v>0.29761904761904762</v>
      </c>
      <c r="H28" s="755">
        <v>0.6</v>
      </c>
      <c r="I28" s="756">
        <v>0.9</v>
      </c>
      <c r="J28" s="1022">
        <f t="shared" si="5"/>
        <v>0.30000000000000004</v>
      </c>
      <c r="K28" s="987">
        <f>(0.5*I28)*(6/10)</f>
        <v>0.27</v>
      </c>
      <c r="L28" s="1008">
        <f t="shared" si="6"/>
        <v>0.63</v>
      </c>
      <c r="M28" s="989">
        <f t="shared" si="7"/>
        <v>1.1111111111111112</v>
      </c>
      <c r="N28" s="1658"/>
      <c r="O28" s="1763"/>
      <c r="P28" s="1635"/>
      <c r="Q28" s="1023" t="s">
        <v>170</v>
      </c>
      <c r="R28" s="1361" t="s">
        <v>710</v>
      </c>
      <c r="S28" s="277" t="s">
        <v>811</v>
      </c>
    </row>
    <row r="29" spans="1:19" ht="20.45" customHeight="1" thickBot="1" x14ac:dyDescent="0.5">
      <c r="A29" s="22"/>
      <c r="B29" s="1619"/>
      <c r="C29" s="1685"/>
      <c r="D29" s="1713"/>
      <c r="E29" s="1714"/>
      <c r="F29" s="1004" t="s">
        <v>149</v>
      </c>
      <c r="G29" s="1005">
        <f t="shared" ref="G29:G30" si="10">$E$28/3</f>
        <v>0.29761904761904762</v>
      </c>
      <c r="H29" s="755">
        <v>308</v>
      </c>
      <c r="I29" s="756">
        <v>308</v>
      </c>
      <c r="J29" s="1022">
        <f t="shared" si="5"/>
        <v>0</v>
      </c>
      <c r="K29" s="987">
        <f>(0.5*I29)*(6/10)</f>
        <v>92.399999999999991</v>
      </c>
      <c r="L29" s="1008">
        <f t="shared" si="6"/>
        <v>215.60000000000002</v>
      </c>
      <c r="M29" s="989">
        <f t="shared" si="7"/>
        <v>0</v>
      </c>
      <c r="N29" s="1658"/>
      <c r="O29" s="1763"/>
      <c r="P29" s="1635"/>
      <c r="Q29" s="1023" t="s">
        <v>171</v>
      </c>
      <c r="R29" s="108" t="s">
        <v>710</v>
      </c>
      <c r="S29" s="62" t="s">
        <v>715</v>
      </c>
    </row>
    <row r="30" spans="1:19" ht="20.45" customHeight="1" thickBot="1" x14ac:dyDescent="0.5">
      <c r="A30" s="22"/>
      <c r="B30" s="1718"/>
      <c r="C30" s="1714"/>
      <c r="D30" s="1713"/>
      <c r="E30" s="1714"/>
      <c r="F30" s="1004" t="s">
        <v>150</v>
      </c>
      <c r="G30" s="1005">
        <f t="shared" si="10"/>
        <v>0.29761904761904762</v>
      </c>
      <c r="H30" s="755">
        <v>192.59</v>
      </c>
      <c r="I30" s="756">
        <v>211.65</v>
      </c>
      <c r="J30" s="1022">
        <f t="shared" si="5"/>
        <v>19.060000000000002</v>
      </c>
      <c r="K30" s="987">
        <f>(0.5*I30)*(6/10)</f>
        <v>63.494999999999997</v>
      </c>
      <c r="L30" s="1008">
        <f t="shared" si="6"/>
        <v>148.155</v>
      </c>
      <c r="M30" s="989">
        <f t="shared" si="7"/>
        <v>0.30018111662335623</v>
      </c>
      <c r="N30" s="1658"/>
      <c r="O30" s="1763"/>
      <c r="P30" s="1635"/>
      <c r="Q30" s="1023" t="s">
        <v>172</v>
      </c>
      <c r="R30" s="1361" t="s">
        <v>710</v>
      </c>
      <c r="S30" s="277" t="s">
        <v>812</v>
      </c>
    </row>
    <row r="31" spans="1:19" ht="34.9" customHeight="1" thickBot="1" x14ac:dyDescent="0.5">
      <c r="A31" s="22"/>
      <c r="B31" s="1719"/>
      <c r="C31" s="1720"/>
      <c r="D31" s="1024" t="s">
        <v>117</v>
      </c>
      <c r="E31" s="944">
        <f t="shared" si="9"/>
        <v>0.8928571428571429</v>
      </c>
      <c r="F31" s="1025" t="s">
        <v>223</v>
      </c>
      <c r="G31" s="944">
        <f>E31/1</f>
        <v>0.8928571428571429</v>
      </c>
      <c r="H31" s="757">
        <v>35</v>
      </c>
      <c r="I31" s="758">
        <v>16</v>
      </c>
      <c r="J31" s="1026">
        <f t="shared" ref="J31" si="11">H31-I31</f>
        <v>19</v>
      </c>
      <c r="K31" s="994">
        <f>(100-I31)*(6/10)</f>
        <v>50.4</v>
      </c>
      <c r="L31" s="1014">
        <f>K31+I31</f>
        <v>66.400000000000006</v>
      </c>
      <c r="M31" s="971">
        <f t="shared" si="7"/>
        <v>0.37698412698412698</v>
      </c>
      <c r="N31" s="1659"/>
      <c r="O31" s="1760"/>
      <c r="P31" s="1631"/>
      <c r="Q31" s="1027" t="s">
        <v>95</v>
      </c>
      <c r="R31" s="108" t="s">
        <v>710</v>
      </c>
      <c r="S31" s="57"/>
    </row>
    <row r="32" spans="1:19" ht="20.45" customHeight="1" thickBot="1" x14ac:dyDescent="0.5">
      <c r="B32" s="1715" t="s">
        <v>18</v>
      </c>
      <c r="C32" s="1716"/>
      <c r="D32" s="1716"/>
      <c r="E32" s="1716"/>
      <c r="F32" s="1717"/>
      <c r="G32" s="996"/>
      <c r="H32" s="745"/>
      <c r="I32" s="746"/>
      <c r="J32" s="1028"/>
      <c r="K32" s="1029"/>
      <c r="L32" s="1030"/>
      <c r="M32" s="1031"/>
      <c r="N32" s="911">
        <f>(N33+N34+N35+N36)/4</f>
        <v>-0.23497134166814798</v>
      </c>
      <c r="O32" s="912">
        <f>(O33+O34+O35+O36)</f>
        <v>0</v>
      </c>
      <c r="P32" s="913">
        <f>O32/14.285712</f>
        <v>0</v>
      </c>
      <c r="Q32" s="997"/>
      <c r="R32" s="334"/>
      <c r="S32" s="729"/>
    </row>
    <row r="33" spans="1:19" ht="33.6" customHeight="1" thickBot="1" x14ac:dyDescent="0.5">
      <c r="A33" s="22">
        <v>6</v>
      </c>
      <c r="B33" s="1032" t="s">
        <v>19</v>
      </c>
      <c r="C33" s="1033">
        <f>$M$5</f>
        <v>3.5714285714285716</v>
      </c>
      <c r="D33" s="1034" t="s">
        <v>287</v>
      </c>
      <c r="E33" s="1035">
        <f>C33/1</f>
        <v>3.5714285714285716</v>
      </c>
      <c r="F33" s="1032" t="s">
        <v>288</v>
      </c>
      <c r="G33" s="1033">
        <f>E33/1</f>
        <v>3.5714285714285716</v>
      </c>
      <c r="H33" s="1362">
        <v>2.6080000000000001</v>
      </c>
      <c r="I33" s="1363">
        <v>2.5379999999999998</v>
      </c>
      <c r="J33" s="1036">
        <f>IF(H33&lt;7,(H33-7),(H33-I33))</f>
        <v>-4.3919999999999995</v>
      </c>
      <c r="K33" s="1037">
        <f>IF((7-H33&gt;=0),(7-H33),0)</f>
        <v>4.3919999999999995</v>
      </c>
      <c r="L33" s="1038">
        <f>IF((I33&lt;7),7,I33)</f>
        <v>7</v>
      </c>
      <c r="M33" s="1039">
        <f>IF(K33&lt;&gt;0,J33/7,(1+((H33-I33)/I33)))</f>
        <v>-0.62742857142857134</v>
      </c>
      <c r="N33" s="1040">
        <f>((G33/C33)*M33)</f>
        <v>-0.62742857142857134</v>
      </c>
      <c r="O33" s="1041">
        <f>IF(((G33/C33)*M33)&gt;=1,3.571428,IF(((G33/C33)*M33)&lt;=0,0,((G33/C33)*M33)*3.571428))</f>
        <v>0</v>
      </c>
      <c r="P33" s="913">
        <f>O33/3.571428</f>
        <v>0</v>
      </c>
      <c r="Q33" s="1042" t="s">
        <v>97</v>
      </c>
      <c r="R33" s="154" t="s">
        <v>710</v>
      </c>
      <c r="S33" s="1275" t="s">
        <v>813</v>
      </c>
    </row>
    <row r="34" spans="1:19" ht="51" customHeight="1" thickBot="1" x14ac:dyDescent="0.5">
      <c r="A34" s="22">
        <v>7</v>
      </c>
      <c r="B34" s="1032" t="s">
        <v>20</v>
      </c>
      <c r="C34" s="1033">
        <f t="shared" ref="C34:C36" si="12">$M$5</f>
        <v>3.5714285714285716</v>
      </c>
      <c r="D34" s="1032" t="s">
        <v>118</v>
      </c>
      <c r="E34" s="1035">
        <f t="shared" ref="E34:E36" si="13">C34/1</f>
        <v>3.5714285714285716</v>
      </c>
      <c r="F34" s="1032" t="s">
        <v>21</v>
      </c>
      <c r="G34" s="1033">
        <f>E34/1</f>
        <v>3.5714285714285716</v>
      </c>
      <c r="H34" s="314">
        <v>1.748</v>
      </c>
      <c r="I34" s="1043">
        <v>1.9288000000000001</v>
      </c>
      <c r="J34" s="1044">
        <f>H34-I34</f>
        <v>-0.18080000000000007</v>
      </c>
      <c r="K34" s="1045">
        <f>(0.5*I34)*(6/10)</f>
        <v>0.57864000000000004</v>
      </c>
      <c r="L34" s="1046">
        <f>K34+I34</f>
        <v>2.5074399999999999</v>
      </c>
      <c r="M34" s="1039">
        <f>IF(K34&lt;&gt;0,J34/K34,"0%")</f>
        <v>-0.31245679524402054</v>
      </c>
      <c r="N34" s="1040">
        <f>((G34/C34)*M34)</f>
        <v>-0.31245679524402054</v>
      </c>
      <c r="O34" s="1041">
        <f>IF(((G34/C34)*M34)&gt;=1,3.571428,IF(((G34/C34)*M34)&lt;=0,0,((G34/C34)*M34)*3.571428))</f>
        <v>0</v>
      </c>
      <c r="P34" s="913">
        <f t="shared" ref="P34:P36" si="14">O34/3.571428</f>
        <v>0</v>
      </c>
      <c r="Q34" s="1042" t="s">
        <v>173</v>
      </c>
      <c r="R34" s="160" t="s">
        <v>710</v>
      </c>
      <c r="S34" s="24" t="s">
        <v>714</v>
      </c>
    </row>
    <row r="35" spans="1:19" ht="40.799999999999997" customHeight="1" thickBot="1" x14ac:dyDescent="0.5">
      <c r="A35" s="22">
        <v>8</v>
      </c>
      <c r="B35" s="1032" t="s">
        <v>22</v>
      </c>
      <c r="C35" s="1033">
        <f t="shared" si="12"/>
        <v>3.5714285714285716</v>
      </c>
      <c r="D35" s="1032" t="s">
        <v>119</v>
      </c>
      <c r="E35" s="1035">
        <f t="shared" si="13"/>
        <v>3.5714285714285716</v>
      </c>
      <c r="F35" s="1032" t="s">
        <v>23</v>
      </c>
      <c r="G35" s="1033">
        <f>E35/1</f>
        <v>3.5714285714285716</v>
      </c>
      <c r="H35" s="1364"/>
      <c r="I35" s="1365"/>
      <c r="J35" s="1047">
        <f>H35-I35</f>
        <v>0</v>
      </c>
      <c r="K35" s="1048">
        <f>IF((I35&gt;=1),0,((1-I35)*0.6))</f>
        <v>0.6</v>
      </c>
      <c r="L35" s="1038">
        <f>I35+K35</f>
        <v>0.6</v>
      </c>
      <c r="M35" s="1039">
        <f>IF(K35&lt;&gt;0,J35/K35,"0%")</f>
        <v>0</v>
      </c>
      <c r="N35" s="1040">
        <f>((G35/C35)*M35)</f>
        <v>0</v>
      </c>
      <c r="O35" s="1041">
        <f>IF(((G35/C35)*M35)&gt;=1,3.571428,IF(((G35/C35)*M35)&lt;=0,0,((G35/C35)*M35)*3.571428))</f>
        <v>0</v>
      </c>
      <c r="P35" s="913">
        <f t="shared" si="14"/>
        <v>0</v>
      </c>
      <c r="Q35" s="1042" t="s">
        <v>174</v>
      </c>
      <c r="R35" s="160"/>
      <c r="S35" s="24"/>
    </row>
    <row r="36" spans="1:19" ht="32.450000000000003" customHeight="1" thickBot="1" x14ac:dyDescent="0.5">
      <c r="A36" s="22">
        <v>9</v>
      </c>
      <c r="B36" s="1032" t="s">
        <v>24</v>
      </c>
      <c r="C36" s="1033">
        <f t="shared" si="12"/>
        <v>3.5714285714285716</v>
      </c>
      <c r="D36" s="1032" t="s">
        <v>275</v>
      </c>
      <c r="E36" s="1035">
        <f t="shared" si="13"/>
        <v>3.5714285714285716</v>
      </c>
      <c r="F36" s="1049" t="s">
        <v>25</v>
      </c>
      <c r="G36" s="1033">
        <f>E36/1</f>
        <v>3.5714285714285716</v>
      </c>
      <c r="H36" s="1364"/>
      <c r="I36" s="1365"/>
      <c r="J36" s="1050">
        <f>H36-I36</f>
        <v>0</v>
      </c>
      <c r="K36" s="1051">
        <f>(1*I36)*(6/10)</f>
        <v>0</v>
      </c>
      <c r="L36" s="1052">
        <f>I36+K36</f>
        <v>0</v>
      </c>
      <c r="M36" s="1039" t="str">
        <f>IF(K36&lt;&gt;0,J36/K36,"0%")</f>
        <v>0%</v>
      </c>
      <c r="N36" s="1040">
        <f>((G36/C36)*M36)</f>
        <v>0</v>
      </c>
      <c r="O36" s="1041">
        <f>IF(((G36/C36)*M36)&gt;=1,3.571428,IF(((G36/C36)*M36)&lt;=0,0,((G36/C36)*M36)*3.571428))</f>
        <v>0</v>
      </c>
      <c r="P36" s="913">
        <f t="shared" si="14"/>
        <v>0</v>
      </c>
      <c r="Q36" s="1053" t="s">
        <v>175</v>
      </c>
      <c r="R36" s="160"/>
      <c r="S36" s="24"/>
    </row>
    <row r="37" spans="1:19" ht="30.6" customHeight="1" thickBot="1" x14ac:dyDescent="0.5">
      <c r="B37" s="1710" t="s">
        <v>26</v>
      </c>
      <c r="C37" s="1711"/>
      <c r="D37" s="1711"/>
      <c r="E37" s="1711"/>
      <c r="F37" s="1712"/>
      <c r="G37" s="1054"/>
      <c r="H37" s="1277"/>
      <c r="I37" s="1277"/>
      <c r="J37" s="1055"/>
      <c r="K37" s="1056"/>
      <c r="L37" s="1056"/>
      <c r="M37" s="1057"/>
      <c r="N37" s="911">
        <f>N38</f>
        <v>0</v>
      </c>
      <c r="O37" s="912">
        <f>O38</f>
        <v>0</v>
      </c>
      <c r="P37" s="913">
        <f>O37/3.571428</f>
        <v>0</v>
      </c>
      <c r="Q37" s="1058"/>
      <c r="R37" s="333"/>
      <c r="S37" s="729"/>
    </row>
    <row r="38" spans="1:19" ht="25.8" customHeight="1" thickBot="1" x14ac:dyDescent="0.5">
      <c r="A38" s="1617">
        <v>10</v>
      </c>
      <c r="B38" s="1618" t="s">
        <v>27</v>
      </c>
      <c r="C38" s="1678">
        <f>M5</f>
        <v>3.5714285714285716</v>
      </c>
      <c r="D38" s="977" t="s">
        <v>120</v>
      </c>
      <c r="E38" s="931">
        <f>$C$38/2</f>
        <v>1.7857142857142858</v>
      </c>
      <c r="F38" s="1059" t="s">
        <v>224</v>
      </c>
      <c r="G38" s="931">
        <f>E38/1</f>
        <v>1.7857142857142858</v>
      </c>
      <c r="H38" s="507"/>
      <c r="I38" s="508"/>
      <c r="J38" s="1060">
        <f>H38-I38</f>
        <v>0</v>
      </c>
      <c r="K38" s="1061">
        <f>(1*I38)*(6/10)</f>
        <v>0</v>
      </c>
      <c r="L38" s="1062">
        <f>I38+K38</f>
        <v>0</v>
      </c>
      <c r="M38" s="935" t="str">
        <f>IF(K38&lt;&gt;0,J38/K38,"0%")</f>
        <v>0%</v>
      </c>
      <c r="N38" s="1702">
        <f>(((G38/C38)*M38)+((G39/C38)*M39))</f>
        <v>0</v>
      </c>
      <c r="O38" s="1723">
        <f>IF((((G38/C38)*M38)+((G39/C38)*M39))&gt;=1,3.57148,IF((((G38/C38)*M38)+((G39/C38)*M39))&lt;=0,0, (((G38/C38)*M38)+((G39/C38)*M39))*3.571428))</f>
        <v>0</v>
      </c>
      <c r="P38" s="1630">
        <f>O38/3.571428</f>
        <v>0</v>
      </c>
      <c r="Q38" s="1063" t="s">
        <v>176</v>
      </c>
      <c r="R38" s="327"/>
      <c r="S38" s="730" t="s">
        <v>615</v>
      </c>
    </row>
    <row r="39" spans="1:19" ht="35.25" thickBot="1" x14ac:dyDescent="0.5">
      <c r="A39" s="1617"/>
      <c r="B39" s="1619"/>
      <c r="C39" s="1685"/>
      <c r="D39" s="982" t="s">
        <v>157</v>
      </c>
      <c r="E39" s="944">
        <f>$C$38/2</f>
        <v>1.7857142857142858</v>
      </c>
      <c r="F39" s="1064" t="s">
        <v>225</v>
      </c>
      <c r="G39" s="1005">
        <f>E39/1</f>
        <v>1.7857142857142858</v>
      </c>
      <c r="H39" s="470"/>
      <c r="I39" s="501"/>
      <c r="J39" s="1065">
        <f>H39-I39</f>
        <v>0</v>
      </c>
      <c r="K39" s="1066">
        <f>IF(AND(I39&gt;=10,H39&gt;=I39),0,((10-H39)*(6/10)))</f>
        <v>6</v>
      </c>
      <c r="L39" s="1067">
        <f>I39+K39</f>
        <v>6</v>
      </c>
      <c r="M39" s="950">
        <f>IF(K39&lt;&gt;0,J39/K39,"0%")</f>
        <v>0</v>
      </c>
      <c r="N39" s="1657"/>
      <c r="O39" s="1760"/>
      <c r="P39" s="1631"/>
      <c r="Q39" s="1068" t="s">
        <v>95</v>
      </c>
      <c r="R39" s="335"/>
      <c r="S39" s="730" t="s">
        <v>615</v>
      </c>
    </row>
    <row r="40" spans="1:19" ht="20.45" customHeight="1" thickBot="1" x14ac:dyDescent="0.5">
      <c r="B40" s="1679" t="s">
        <v>28</v>
      </c>
      <c r="C40" s="1680"/>
      <c r="D40" s="1680"/>
      <c r="E40" s="1704"/>
      <c r="F40" s="1681"/>
      <c r="G40" s="1054"/>
      <c r="H40" s="247"/>
      <c r="I40" s="247"/>
      <c r="J40" s="1069"/>
      <c r="K40" s="1070"/>
      <c r="L40" s="1070"/>
      <c r="M40" s="1071"/>
      <c r="N40" s="911">
        <f>N41</f>
        <v>2.1578855944572491E-3</v>
      </c>
      <c r="O40" s="912">
        <f>O41</f>
        <v>7.7067330328412639E-3</v>
      </c>
      <c r="P40" s="913">
        <f>O40/3.571428</f>
        <v>2.1578855944572491E-3</v>
      </c>
      <c r="Q40" s="1072"/>
      <c r="R40" s="336"/>
      <c r="S40" s="731"/>
    </row>
    <row r="41" spans="1:19" ht="35.25" thickBot="1" x14ac:dyDescent="0.5">
      <c r="A41" s="1617">
        <v>11</v>
      </c>
      <c r="B41" s="1705" t="s">
        <v>29</v>
      </c>
      <c r="C41" s="1707">
        <f>M5</f>
        <v>3.5714285714285716</v>
      </c>
      <c r="D41" s="1073" t="s">
        <v>121</v>
      </c>
      <c r="E41" s="1074">
        <f>$C$41/2</f>
        <v>1.7857142857142858</v>
      </c>
      <c r="F41" s="956" t="s">
        <v>30</v>
      </c>
      <c r="G41" s="1075">
        <f>E41/1</f>
        <v>1.7857142857142858</v>
      </c>
      <c r="H41" s="1366">
        <v>37.276000000000003</v>
      </c>
      <c r="I41" s="1367">
        <v>37.227800000000002</v>
      </c>
      <c r="J41" s="1076">
        <f>H41-I41</f>
        <v>4.8200000000001353E-2</v>
      </c>
      <c r="K41" s="1077">
        <f>(0.5*I41)*(6/10)</f>
        <v>11.168340000000001</v>
      </c>
      <c r="L41" s="1078">
        <f>I41+K41</f>
        <v>48.396140000000003</v>
      </c>
      <c r="M41" s="935">
        <f>IF(K41&lt;&gt;0,J41/K41,"0%")</f>
        <v>4.3157711889144981E-3</v>
      </c>
      <c r="N41" s="1709">
        <f>(((G41/C41)*M41)+(G42/C41)*M42)</f>
        <v>2.1578855944572491E-3</v>
      </c>
      <c r="O41" s="1723">
        <f>IF((((G41/C41)*M41)+((G42/C41)*M42))&gt;=1,3.57148,IF((((G41/C41)*M41)+((G42/C41)*M42))&lt;=0,0, (((G41/C41)*M41)+((G42/C41)*M42))*3.571428))</f>
        <v>7.7067330328412639E-3</v>
      </c>
      <c r="P41" s="1630">
        <f>O41/3.571428</f>
        <v>2.1578855944572491E-3</v>
      </c>
      <c r="Q41" s="1079" t="s">
        <v>177</v>
      </c>
      <c r="R41" s="759" t="s">
        <v>710</v>
      </c>
      <c r="S41" s="258" t="s">
        <v>716</v>
      </c>
    </row>
    <row r="42" spans="1:19" ht="23.65" thickBot="1" x14ac:dyDescent="0.5">
      <c r="A42" s="1617"/>
      <c r="B42" s="1706"/>
      <c r="C42" s="1708"/>
      <c r="D42" s="1080" t="s">
        <v>122</v>
      </c>
      <c r="E42" s="1010">
        <f>$C$41/2</f>
        <v>1.7857142857142858</v>
      </c>
      <c r="F42" s="966" t="s">
        <v>31</v>
      </c>
      <c r="G42" s="1081">
        <f>E42/1</f>
        <v>1.7857142857142858</v>
      </c>
      <c r="H42" s="505"/>
      <c r="I42" s="506"/>
      <c r="J42" s="1082">
        <f>H42-I42</f>
        <v>0</v>
      </c>
      <c r="K42" s="969">
        <f>(0.5*I42)*(6/10)</f>
        <v>0</v>
      </c>
      <c r="L42" s="1083">
        <f>I42+K42</f>
        <v>0</v>
      </c>
      <c r="M42" s="950" t="str">
        <f>IF(K42&lt;&gt;0,J42/K42,"0%")</f>
        <v>0%</v>
      </c>
      <c r="N42" s="1709"/>
      <c r="O42" s="1760"/>
      <c r="P42" s="1631"/>
      <c r="Q42" s="1079" t="s">
        <v>95</v>
      </c>
      <c r="R42" s="605"/>
      <c r="S42" s="258"/>
    </row>
    <row r="43" spans="1:19" ht="30.6" customHeight="1" thickBot="1" x14ac:dyDescent="0.5">
      <c r="B43" s="1670" t="s">
        <v>32</v>
      </c>
      <c r="C43" s="1671"/>
      <c r="D43" s="1671"/>
      <c r="E43" s="1671"/>
      <c r="F43" s="1672"/>
      <c r="G43" s="996"/>
      <c r="H43" s="248"/>
      <c r="I43" s="248"/>
      <c r="J43" s="1084"/>
      <c r="K43" s="1085"/>
      <c r="L43" s="1085"/>
      <c r="M43" s="996"/>
      <c r="N43" s="911">
        <f>N44</f>
        <v>3.5617647058823532E-2</v>
      </c>
      <c r="O43" s="912">
        <f>O44</f>
        <v>0.127205862</v>
      </c>
      <c r="P43" s="913">
        <f>O43/3.571428</f>
        <v>3.5617647058823532E-2</v>
      </c>
      <c r="Q43" s="1086"/>
      <c r="R43" s="336"/>
      <c r="S43" s="731"/>
    </row>
    <row r="44" spans="1:19" ht="37.799999999999997" customHeight="1" thickBot="1" x14ac:dyDescent="0.5">
      <c r="A44" s="1617">
        <v>12</v>
      </c>
      <c r="B44" s="1624" t="s">
        <v>33</v>
      </c>
      <c r="C44" s="1678">
        <f>M5</f>
        <v>3.5714285714285716</v>
      </c>
      <c r="D44" s="999" t="s">
        <v>123</v>
      </c>
      <c r="E44" s="1087">
        <f>C44/2</f>
        <v>1.7857142857142858</v>
      </c>
      <c r="F44" s="999" t="s">
        <v>34</v>
      </c>
      <c r="G44" s="931">
        <f>$E$44/1</f>
        <v>1.7857142857142858</v>
      </c>
      <c r="H44" s="477"/>
      <c r="I44" s="491"/>
      <c r="J44" s="1088">
        <f>IF(I44=H44,(H44-30),H44-I44)</f>
        <v>-30</v>
      </c>
      <c r="K44" s="980">
        <f>IF(I44&gt;=30,0,((30-I44)*(6/10)))</f>
        <v>18</v>
      </c>
      <c r="L44" s="1089">
        <f>I44+K44</f>
        <v>18</v>
      </c>
      <c r="M44" s="1039" t="str">
        <f>IF(K44=0,J44/K44,"0%")</f>
        <v>0%</v>
      </c>
      <c r="N44" s="1702">
        <f>(((G44/C44)*M44)+((G45/C44)*M45))</f>
        <v>3.5617647058823532E-2</v>
      </c>
      <c r="O44" s="1723">
        <f>IF((((G44/C44)*M44)+((G45/C44)*M45))&gt;=1,3.57148,IF((((G44/C44)*M44)+((G45/C44)*M45))&lt;=0,0, (((G44/C44)*M44)+((G45/C44)*M45))*3.571428))</f>
        <v>0.127205862</v>
      </c>
      <c r="P44" s="1630">
        <f>O44/3.571428</f>
        <v>3.5617647058823532E-2</v>
      </c>
      <c r="Q44" s="981" t="s">
        <v>178</v>
      </c>
      <c r="R44" s="689"/>
      <c r="S44" s="533"/>
    </row>
    <row r="45" spans="1:19" ht="35.25" thickBot="1" x14ac:dyDescent="0.5">
      <c r="A45" s="1617"/>
      <c r="B45" s="1626"/>
      <c r="C45" s="1686"/>
      <c r="D45" s="1024" t="s">
        <v>124</v>
      </c>
      <c r="E45" s="1090">
        <f>(C44/2)</f>
        <v>1.7857142857142858</v>
      </c>
      <c r="F45" s="1024" t="s">
        <v>35</v>
      </c>
      <c r="G45" s="944">
        <f>$E$45/1</f>
        <v>1.7857142857142858</v>
      </c>
      <c r="H45" s="760">
        <v>1.2110000000000001</v>
      </c>
      <c r="I45" s="761">
        <v>0.77300000000000002</v>
      </c>
      <c r="J45" s="1091">
        <f>IF(I45=H45,(H45-17),H45-I45)</f>
        <v>0.43800000000000006</v>
      </c>
      <c r="K45" s="1092">
        <f>IF(I45&gt;=17,0,((17-I45)*(6/10)))</f>
        <v>9.7362000000000002</v>
      </c>
      <c r="L45" s="1093">
        <f>I45+K45</f>
        <v>10.5092</v>
      </c>
      <c r="M45" s="962">
        <f>IF(I45&gt;=17,(1+(H45-17)/17),(H45/17))</f>
        <v>7.1235294117647063E-2</v>
      </c>
      <c r="N45" s="1703"/>
      <c r="O45" s="1760"/>
      <c r="P45" s="1631"/>
      <c r="Q45" s="995" t="s">
        <v>179</v>
      </c>
      <c r="R45" s="690" t="s">
        <v>710</v>
      </c>
      <c r="S45" s="469" t="s">
        <v>717</v>
      </c>
    </row>
    <row r="46" spans="1:19" ht="30.6" customHeight="1" thickBot="1" x14ac:dyDescent="0.5">
      <c r="B46" s="1694" t="s">
        <v>36</v>
      </c>
      <c r="C46" s="1695"/>
      <c r="D46" s="1695"/>
      <c r="E46" s="1695"/>
      <c r="F46" s="1696"/>
      <c r="G46" s="1095"/>
      <c r="H46" s="138"/>
      <c r="I46" s="139"/>
      <c r="J46" s="1096"/>
      <c r="K46" s="1097"/>
      <c r="L46" s="1097"/>
      <c r="M46" s="1098"/>
      <c r="N46" s="911">
        <f>(N47+N50+N52)/3</f>
        <v>0.27456445548121833</v>
      </c>
      <c r="O46" s="912">
        <f>(O47+O50+O52)</f>
        <v>2.9761900000000003</v>
      </c>
      <c r="P46" s="913">
        <f>O46/10.714284</f>
        <v>0.27777777777777785</v>
      </c>
      <c r="Q46" s="1099"/>
      <c r="R46" s="348"/>
      <c r="S46" s="732"/>
    </row>
    <row r="47" spans="1:19" ht="20.45" customHeight="1" thickBot="1" x14ac:dyDescent="0.5">
      <c r="B47" s="1614" t="s">
        <v>37</v>
      </c>
      <c r="C47" s="1615"/>
      <c r="D47" s="1615"/>
      <c r="E47" s="1615"/>
      <c r="F47" s="1616"/>
      <c r="G47" s="1100"/>
      <c r="H47" s="247"/>
      <c r="I47" s="247"/>
      <c r="J47" s="1101"/>
      <c r="K47" s="1102"/>
      <c r="L47" s="1102"/>
      <c r="M47" s="996"/>
      <c r="N47" s="911">
        <f>N48</f>
        <v>0</v>
      </c>
      <c r="O47" s="912">
        <f>O48</f>
        <v>0</v>
      </c>
      <c r="P47" s="913">
        <f>O47/3.571428</f>
        <v>0</v>
      </c>
      <c r="Q47" s="1086"/>
      <c r="R47" s="336"/>
      <c r="S47" s="731"/>
    </row>
    <row r="48" spans="1:19" ht="37.799999999999997" customHeight="1" thickBot="1" x14ac:dyDescent="0.5">
      <c r="A48" s="1617">
        <v>13</v>
      </c>
      <c r="B48" s="1624" t="s">
        <v>38</v>
      </c>
      <c r="C48" s="1678">
        <f>M5</f>
        <v>3.5714285714285716</v>
      </c>
      <c r="D48" s="999" t="s">
        <v>125</v>
      </c>
      <c r="E48" s="931">
        <f>$C$48/2</f>
        <v>1.7857142857142858</v>
      </c>
      <c r="F48" s="1103" t="s">
        <v>289</v>
      </c>
      <c r="G48" s="931">
        <f>E48/1</f>
        <v>1.7857142857142858</v>
      </c>
      <c r="H48" s="477"/>
      <c r="I48" s="497"/>
      <c r="J48" s="1104">
        <f>H48-I48</f>
        <v>0</v>
      </c>
      <c r="K48" s="1105">
        <f>(0.5*I48)* (6/10)</f>
        <v>0</v>
      </c>
      <c r="L48" s="1106">
        <f>I48-K48</f>
        <v>0</v>
      </c>
      <c r="M48" s="962" t="str">
        <f>IF(K48&lt;&gt;0,J48/K48,"0%")</f>
        <v>0%</v>
      </c>
      <c r="N48" s="1700">
        <f>(((G48/C48)*M48)+((G49/C48)*M49))</f>
        <v>0</v>
      </c>
      <c r="O48" s="1723">
        <f>IF((((G48/C48)*M48)+((G49/C48)*M49))&gt;=1,3.57148,IF((((G48/C48)*M48)+((G49/C48)*M49))&lt;=0,0, (((G48/C48)*M48)+((G49/C48)*M49))*3.571428))</f>
        <v>0</v>
      </c>
      <c r="P48" s="1630">
        <f>O48/3.571428</f>
        <v>0</v>
      </c>
      <c r="Q48" s="1021" t="s">
        <v>95</v>
      </c>
      <c r="R48" s="327"/>
      <c r="S48" s="730" t="s">
        <v>615</v>
      </c>
    </row>
    <row r="49" spans="1:19" ht="30.6" customHeight="1" thickBot="1" x14ac:dyDescent="0.5">
      <c r="A49" s="1617"/>
      <c r="B49" s="1626"/>
      <c r="C49" s="1686"/>
      <c r="D49" s="1024" t="s">
        <v>126</v>
      </c>
      <c r="E49" s="944">
        <f>$C$48/2</f>
        <v>1.7857142857142858</v>
      </c>
      <c r="F49" s="1024" t="s">
        <v>290</v>
      </c>
      <c r="G49" s="944">
        <f>E49/1</f>
        <v>1.7857142857142858</v>
      </c>
      <c r="H49" s="498"/>
      <c r="I49" s="499"/>
      <c r="J49" s="1026">
        <f>H49-I49</f>
        <v>0</v>
      </c>
      <c r="K49" s="1107">
        <f>(2*I49)*(6/10)</f>
        <v>0</v>
      </c>
      <c r="L49" s="1108">
        <f>I49+K49</f>
        <v>0</v>
      </c>
      <c r="M49" s="950" t="str">
        <f>IF(K49&lt;&gt;0,J49/K49,"0%")</f>
        <v>0%</v>
      </c>
      <c r="N49" s="1701"/>
      <c r="O49" s="1760"/>
      <c r="P49" s="1631"/>
      <c r="Q49" s="1027" t="s">
        <v>95</v>
      </c>
      <c r="R49" s="345" t="s">
        <v>533</v>
      </c>
      <c r="S49" s="730" t="s">
        <v>615</v>
      </c>
    </row>
    <row r="50" spans="1:19" ht="15" customHeight="1" thickBot="1" x14ac:dyDescent="0.5">
      <c r="B50" s="1670" t="s">
        <v>39</v>
      </c>
      <c r="C50" s="1671"/>
      <c r="D50" s="1671"/>
      <c r="E50" s="1671"/>
      <c r="F50" s="1672"/>
      <c r="G50" s="1109"/>
      <c r="H50" s="250"/>
      <c r="I50" s="250"/>
      <c r="J50" s="1110"/>
      <c r="K50" s="1110"/>
      <c r="L50" s="1110"/>
      <c r="M50" s="1111"/>
      <c r="N50" s="911">
        <f>N51</f>
        <v>0.83333333333333337</v>
      </c>
      <c r="O50" s="912">
        <f>O51</f>
        <v>2.9761900000000003</v>
      </c>
      <c r="P50" s="913">
        <f>O50/3.571428</f>
        <v>0.83333333333333337</v>
      </c>
      <c r="Q50" s="1112"/>
      <c r="R50" s="349"/>
      <c r="S50" s="733"/>
    </row>
    <row r="51" spans="1:19" ht="30.6" customHeight="1" thickBot="1" x14ac:dyDescent="0.5">
      <c r="A51" s="21">
        <v>14</v>
      </c>
      <c r="B51" s="1113" t="s">
        <v>226</v>
      </c>
      <c r="C51" s="1114">
        <f>M5</f>
        <v>3.5714285714285716</v>
      </c>
      <c r="D51" s="1115" t="s">
        <v>272</v>
      </c>
      <c r="E51" s="1116">
        <f>C51</f>
        <v>3.5714285714285716</v>
      </c>
      <c r="F51" s="1117" t="s">
        <v>266</v>
      </c>
      <c r="G51" s="1118">
        <f>E51/1</f>
        <v>3.5714285714285716</v>
      </c>
      <c r="H51" s="572">
        <v>50</v>
      </c>
      <c r="I51" s="573">
        <v>0</v>
      </c>
      <c r="J51" s="1119">
        <f>H51-I51</f>
        <v>50</v>
      </c>
      <c r="K51" s="1120">
        <f>(100-I51)*(6/10)</f>
        <v>60</v>
      </c>
      <c r="L51" s="1121">
        <f>I51+K51</f>
        <v>60</v>
      </c>
      <c r="M51" s="971">
        <f>IF(K51&lt;&gt;0,J51/K51,"100%")</f>
        <v>0.83333333333333337</v>
      </c>
      <c r="N51" s="1040">
        <f>((G51/C51)*M51)</f>
        <v>0.83333333333333337</v>
      </c>
      <c r="O51" s="1041">
        <f>IF(((G51/C51)*M51)&gt;=1,3.571428,IF(((G51/C51)*M51)&lt;=0,0,((G51/C51)*M51)*3.571428))</f>
        <v>2.9761900000000003</v>
      </c>
      <c r="P51" s="913">
        <f>O51/3.571428</f>
        <v>0.83333333333333337</v>
      </c>
      <c r="Q51" s="1122" t="s">
        <v>95</v>
      </c>
      <c r="R51" s="350"/>
      <c r="S51" s="747" t="s">
        <v>587</v>
      </c>
    </row>
    <row r="52" spans="1:19" ht="20.45" customHeight="1" thickBot="1" x14ac:dyDescent="0.5">
      <c r="B52" s="1670" t="s">
        <v>40</v>
      </c>
      <c r="C52" s="1671"/>
      <c r="D52" s="1671"/>
      <c r="E52" s="1671"/>
      <c r="F52" s="1672"/>
      <c r="G52" s="1100"/>
      <c r="H52" s="247"/>
      <c r="I52" s="247"/>
      <c r="J52" s="1101"/>
      <c r="K52" s="1102"/>
      <c r="L52" s="1102"/>
      <c r="M52" s="1018"/>
      <c r="N52" s="911">
        <f>N53</f>
        <v>-9.6399668896783378E-3</v>
      </c>
      <c r="O52" s="912">
        <f>O53</f>
        <v>0</v>
      </c>
      <c r="P52" s="913">
        <f>O52/3.571428</f>
        <v>0</v>
      </c>
      <c r="Q52" s="1123"/>
      <c r="R52" s="349"/>
      <c r="S52" s="733"/>
    </row>
    <row r="53" spans="1:19" ht="43.8" customHeight="1" thickBot="1" x14ac:dyDescent="0.5">
      <c r="A53" s="1617">
        <v>15</v>
      </c>
      <c r="B53" s="1618" t="s">
        <v>108</v>
      </c>
      <c r="C53" s="1678">
        <f>M5</f>
        <v>3.5714285714285716</v>
      </c>
      <c r="D53" s="1124" t="s">
        <v>127</v>
      </c>
      <c r="E53" s="1125">
        <f>$C$53/5</f>
        <v>0.7142857142857143</v>
      </c>
      <c r="F53" s="1126" t="s">
        <v>41</v>
      </c>
      <c r="G53" s="978">
        <f>E53/1</f>
        <v>0.7142857142857143</v>
      </c>
      <c r="H53" s="1368"/>
      <c r="I53" s="1369"/>
      <c r="J53" s="1001">
        <f>H53-I53</f>
        <v>0</v>
      </c>
      <c r="K53" s="1105">
        <f>(100-I53)*(6/10)</f>
        <v>60</v>
      </c>
      <c r="L53" s="1062">
        <f t="shared" ref="L53:L58" si="15">I53+K53</f>
        <v>60</v>
      </c>
      <c r="M53" s="935">
        <f t="shared" ref="M53:M55" si="16">IF(K53&lt;&gt;0,J53/K53,"0%")</f>
        <v>0</v>
      </c>
      <c r="N53" s="1697">
        <f>(((G53/C53)*M53)+((G54/C53)*M54)+((G55/C53)*M55)+((G56/C53)*M56)+((G57/C53)*M57)+((G58/C53)*M58))</f>
        <v>-9.6399668896783378E-3</v>
      </c>
      <c r="O53" s="1687">
        <f>IF((((G53/C53)*M53)+((G54/C53)*M54)+((G55/C53)*M55)+((G56/C53)*M56)+((G57/C53)*M57)+((G58/C53)*M58))&gt;=1,3.571428,IF((((G53/C53)*M53)+((G54/C53)*M54)+((G55/C53)*M55)+((G56/C53)*M56)+((G57/C53)*M57)+((G58/C53)*M58))&lt;=0,0,((((G53/C53)*M53)+((G54/C53)*M54)+((G55/C53)*M55)+((G56/C53)*M56)+((G57/C53)*M57)+((G58/C53)*M58))*3.571428)))</f>
        <v>0</v>
      </c>
      <c r="P53" s="1630">
        <f>O53/3.571428</f>
        <v>0</v>
      </c>
      <c r="Q53" s="1127" t="s">
        <v>95</v>
      </c>
      <c r="R53" s="262"/>
      <c r="S53" s="730" t="s">
        <v>615</v>
      </c>
    </row>
    <row r="54" spans="1:19" ht="35.450000000000003" customHeight="1" thickBot="1" x14ac:dyDescent="0.5">
      <c r="A54" s="1617"/>
      <c r="B54" s="1619"/>
      <c r="C54" s="1685"/>
      <c r="D54" s="1128" t="s">
        <v>128</v>
      </c>
      <c r="E54" s="1129">
        <f t="shared" ref="E54:E57" si="17">$C$53/5</f>
        <v>0.7142857142857143</v>
      </c>
      <c r="F54" s="1130" t="s">
        <v>42</v>
      </c>
      <c r="G54" s="983">
        <f>E54/1</f>
        <v>0.7142857142857143</v>
      </c>
      <c r="H54" s="630"/>
      <c r="I54" s="631"/>
      <c r="J54" s="1007">
        <f>H54-I54</f>
        <v>0</v>
      </c>
      <c r="K54" s="1066">
        <f>(100-I54)*(6/6)</f>
        <v>100</v>
      </c>
      <c r="L54" s="1067">
        <f>I54+K54</f>
        <v>100</v>
      </c>
      <c r="M54" s="989">
        <f t="shared" si="16"/>
        <v>0</v>
      </c>
      <c r="N54" s="1698"/>
      <c r="O54" s="1761"/>
      <c r="P54" s="1635"/>
      <c r="Q54" s="1131" t="s">
        <v>95</v>
      </c>
      <c r="R54" s="261"/>
      <c r="S54" s="730" t="s">
        <v>615</v>
      </c>
    </row>
    <row r="55" spans="1:19" ht="34.25" customHeight="1" thickBot="1" x14ac:dyDescent="0.5">
      <c r="A55" s="1617"/>
      <c r="B55" s="1619"/>
      <c r="C55" s="1685"/>
      <c r="D55" s="1128" t="s">
        <v>129</v>
      </c>
      <c r="E55" s="1129">
        <f t="shared" si="17"/>
        <v>0.7142857142857143</v>
      </c>
      <c r="F55" s="1130" t="s">
        <v>43</v>
      </c>
      <c r="G55" s="983">
        <f>E55/1</f>
        <v>0.7142857142857143</v>
      </c>
      <c r="H55" s="632"/>
      <c r="I55" s="631"/>
      <c r="J55" s="1007">
        <f>H55-I55</f>
        <v>0</v>
      </c>
      <c r="K55" s="1066">
        <f>(100-I55)*(6/10)</f>
        <v>60</v>
      </c>
      <c r="L55" s="1067">
        <f t="shared" si="15"/>
        <v>60</v>
      </c>
      <c r="M55" s="989">
        <f t="shared" si="16"/>
        <v>0</v>
      </c>
      <c r="N55" s="1698"/>
      <c r="O55" s="1761"/>
      <c r="P55" s="1635"/>
      <c r="Q55" s="1131" t="s">
        <v>95</v>
      </c>
      <c r="R55" s="261"/>
      <c r="S55" s="730" t="s">
        <v>615</v>
      </c>
    </row>
    <row r="56" spans="1:19" ht="37.25" customHeight="1" thickBot="1" x14ac:dyDescent="0.5">
      <c r="A56" s="1617"/>
      <c r="B56" s="1619"/>
      <c r="C56" s="1685"/>
      <c r="D56" s="1128" t="s">
        <v>130</v>
      </c>
      <c r="E56" s="1129">
        <f t="shared" si="17"/>
        <v>0.7142857142857143</v>
      </c>
      <c r="F56" s="1130" t="s">
        <v>44</v>
      </c>
      <c r="G56" s="983">
        <f>E56/1</f>
        <v>0.7142857142857143</v>
      </c>
      <c r="H56" s="649"/>
      <c r="I56" s="725"/>
      <c r="J56" s="1007">
        <f>H56-I56</f>
        <v>0</v>
      </c>
      <c r="K56" s="1132">
        <f>(0.5*I56)*(6/7)</f>
        <v>0</v>
      </c>
      <c r="L56" s="1067">
        <f t="shared" si="15"/>
        <v>0</v>
      </c>
      <c r="M56" s="989" t="str">
        <f>IF(K56&lt;&gt;0,J56/K56,"0%")</f>
        <v>0%</v>
      </c>
      <c r="N56" s="1698"/>
      <c r="O56" s="1761"/>
      <c r="P56" s="1635"/>
      <c r="Q56" s="1131" t="s">
        <v>101</v>
      </c>
      <c r="R56" s="261"/>
      <c r="S56" s="730" t="s">
        <v>615</v>
      </c>
    </row>
    <row r="57" spans="1:19" ht="22.8" customHeight="1" thickBot="1" x14ac:dyDescent="0.5">
      <c r="A57" s="1617"/>
      <c r="B57" s="1619"/>
      <c r="C57" s="1685"/>
      <c r="D57" s="1690" t="s">
        <v>131</v>
      </c>
      <c r="E57" s="1692">
        <f t="shared" si="17"/>
        <v>0.7142857142857143</v>
      </c>
      <c r="F57" s="1130" t="s">
        <v>45</v>
      </c>
      <c r="G57" s="983">
        <f>$E$57/2</f>
        <v>0.35714285714285715</v>
      </c>
      <c r="H57" s="1370"/>
      <c r="I57" s="1371"/>
      <c r="J57" s="1007">
        <f t="shared" ref="J57:J58" si="18">H57-I57</f>
        <v>0</v>
      </c>
      <c r="K57" s="1133">
        <f>(1*I57)*(6/10)</f>
        <v>0</v>
      </c>
      <c r="L57" s="1067">
        <f t="shared" si="15"/>
        <v>0</v>
      </c>
      <c r="M57" s="989" t="str">
        <f>IF(K57&lt;&gt;0,J57/K57,"0%")</f>
        <v>0%</v>
      </c>
      <c r="N57" s="1698"/>
      <c r="O57" s="1761"/>
      <c r="P57" s="1635"/>
      <c r="Q57" s="1131" t="s">
        <v>180</v>
      </c>
      <c r="R57" s="261" t="s">
        <v>708</v>
      </c>
      <c r="S57" s="730" t="s">
        <v>615</v>
      </c>
    </row>
    <row r="58" spans="1:19" ht="15" customHeight="1" thickBot="1" x14ac:dyDescent="0.5">
      <c r="A58" s="1617"/>
      <c r="B58" s="1620"/>
      <c r="C58" s="1686"/>
      <c r="D58" s="1691"/>
      <c r="E58" s="1693"/>
      <c r="F58" s="943" t="s">
        <v>46</v>
      </c>
      <c r="G58" s="992">
        <f>$E$57/2</f>
        <v>0.35714285714285715</v>
      </c>
      <c r="H58" s="1372">
        <v>56.568899999999999</v>
      </c>
      <c r="I58" s="1373">
        <v>60.041699999999999</v>
      </c>
      <c r="J58" s="1013">
        <f t="shared" si="18"/>
        <v>-3.4727999999999994</v>
      </c>
      <c r="K58" s="1107">
        <f>(1*I58)*(6/10)</f>
        <v>36.025019999999998</v>
      </c>
      <c r="L58" s="1134">
        <f t="shared" si="15"/>
        <v>96.066720000000004</v>
      </c>
      <c r="M58" s="950">
        <f>IF(K58&lt;&gt;0,J58/K58,"0%")</f>
        <v>-9.6399668896783391E-2</v>
      </c>
      <c r="N58" s="1699"/>
      <c r="O58" s="1762"/>
      <c r="P58" s="1631"/>
      <c r="Q58" s="1135" t="s">
        <v>95</v>
      </c>
      <c r="R58" s="259"/>
      <c r="S58" s="730" t="s">
        <v>615</v>
      </c>
    </row>
    <row r="59" spans="1:19" ht="23.45" customHeight="1" thickBot="1" x14ac:dyDescent="0.5">
      <c r="B59" s="1694" t="s">
        <v>47</v>
      </c>
      <c r="C59" s="1695"/>
      <c r="D59" s="1695"/>
      <c r="E59" s="1695"/>
      <c r="F59" s="1696"/>
      <c r="G59" s="1136"/>
      <c r="H59" s="254"/>
      <c r="I59" s="254"/>
      <c r="J59" s="1137"/>
      <c r="K59" s="1137"/>
      <c r="L59" s="1137"/>
      <c r="M59" s="1098"/>
      <c r="N59" s="911">
        <f>(N60+N67)/2</f>
        <v>0.1111111111111111</v>
      </c>
      <c r="O59" s="912">
        <f>(O60+O67)</f>
        <v>0.79365066666666662</v>
      </c>
      <c r="P59" s="913">
        <f>O59/7.142856</f>
        <v>0.1111111111111111</v>
      </c>
      <c r="Q59" s="1138"/>
      <c r="R59" s="352"/>
      <c r="S59" s="353"/>
    </row>
    <row r="60" spans="1:19" ht="22.25" customHeight="1" thickBot="1" x14ac:dyDescent="0.5">
      <c r="B60" s="1670" t="s">
        <v>48</v>
      </c>
      <c r="C60" s="1671"/>
      <c r="D60" s="1671"/>
      <c r="E60" s="1671"/>
      <c r="F60" s="1672"/>
      <c r="G60" s="996"/>
      <c r="H60" s="512"/>
      <c r="I60" s="512"/>
      <c r="J60" s="1016"/>
      <c r="K60" s="1017"/>
      <c r="L60" s="1017"/>
      <c r="M60" s="996"/>
      <c r="N60" s="911">
        <f>N61</f>
        <v>0.22222222222222221</v>
      </c>
      <c r="O60" s="912">
        <f>O61</f>
        <v>0.79365066666666662</v>
      </c>
      <c r="P60" s="913">
        <f>O60/3.571428</f>
        <v>0.22222222222222221</v>
      </c>
      <c r="Q60" s="997"/>
      <c r="R60" s="336"/>
      <c r="S60" s="731"/>
    </row>
    <row r="61" spans="1:19" ht="39" customHeight="1" thickBot="1" x14ac:dyDescent="0.5">
      <c r="A61" s="1617">
        <v>16</v>
      </c>
      <c r="B61" s="1618" t="s">
        <v>49</v>
      </c>
      <c r="C61" s="1678">
        <f>M5</f>
        <v>3.5714285714285716</v>
      </c>
      <c r="D61" s="999" t="s">
        <v>133</v>
      </c>
      <c r="E61" s="931">
        <f>$C$61/4</f>
        <v>0.8928571428571429</v>
      </c>
      <c r="F61" s="999" t="s">
        <v>50</v>
      </c>
      <c r="G61" s="978">
        <f>E61/1</f>
        <v>0.8928571428571429</v>
      </c>
      <c r="H61" s="640"/>
      <c r="I61" s="641"/>
      <c r="J61" s="1088">
        <f>IF(I61=H61,(H61-70),H61-I61)</f>
        <v>-70</v>
      </c>
      <c r="K61" s="980">
        <f>IF(I61&gt;=70,0,((70-I61)*(6/10)))</f>
        <v>42</v>
      </c>
      <c r="L61" s="1140">
        <f t="shared" ref="L61:L66" si="19">I61+K61</f>
        <v>42</v>
      </c>
      <c r="M61" s="989" t="str">
        <f>IF(K61=0,J61/K61,"0%")</f>
        <v>0%</v>
      </c>
      <c r="N61" s="1627">
        <f>(((G61/C61)*M61)+((G62/C61)*M62)+((G63/C61)*M63)+((G64/C61)*M64)+((G65/C61)*M65)+((G66/C61)*M66))</f>
        <v>0.22222222222222221</v>
      </c>
      <c r="O61" s="1687">
        <f>IF((((G61/C61)*M61)+((G62/C61)*M62)+((G63/C61)*M63)+((G64/C61)*M64)+((G65/C61)*M65)+((G66/C61)*M66))&gt;=1,3.571428,IF((((G61/C61)*M61)+((G62/C61)*M62)+((G63/C61)*M63)+((G64/C61)*M64)+((G65/C61)*M65)+((G66/C61)*M66))&lt;=0,0,((((G61/C61)*M61)+((G62/C61)*M62)+((G63/C61)*M63)+((G64/C61)*M64)+((G65/C61)*M65)+((G66/C61)*M66))*3.571428)))</f>
        <v>0.79365066666666662</v>
      </c>
      <c r="P61" s="1630">
        <f>O61/3.571428</f>
        <v>0.22222222222222221</v>
      </c>
      <c r="Q61" s="1063" t="s">
        <v>181</v>
      </c>
      <c r="R61" s="598"/>
      <c r="S61" s="730" t="s">
        <v>615</v>
      </c>
    </row>
    <row r="62" spans="1:19" ht="58.25" customHeight="1" thickBot="1" x14ac:dyDescent="0.5">
      <c r="A62" s="1617"/>
      <c r="B62" s="1619"/>
      <c r="C62" s="1685"/>
      <c r="D62" s="1004" t="s">
        <v>134</v>
      </c>
      <c r="E62" s="1005">
        <f t="shared" ref="E62:E63" si="20">$C$61/4</f>
        <v>0.8928571428571429</v>
      </c>
      <c r="F62" s="1128" t="s">
        <v>276</v>
      </c>
      <c r="G62" s="983">
        <f>$E$62/1</f>
        <v>0.8928571428571429</v>
      </c>
      <c r="H62" s="642"/>
      <c r="I62" s="643"/>
      <c r="J62" s="1141">
        <f>IF(I62=H62,(H62-70),H62-I62)</f>
        <v>-70</v>
      </c>
      <c r="K62" s="987">
        <f t="shared" ref="K62:K63" si="21">IF(I62&gt;=70,0,((70-I62)*(6/10)))</f>
        <v>42</v>
      </c>
      <c r="L62" s="1142">
        <f t="shared" si="19"/>
        <v>42</v>
      </c>
      <c r="M62" s="989" t="str">
        <f t="shared" ref="M62:M63" si="22">IF(K62=0,J62/K62,"0%")</f>
        <v>0%</v>
      </c>
      <c r="N62" s="1628"/>
      <c r="O62" s="1761"/>
      <c r="P62" s="1635"/>
      <c r="Q62" s="1068" t="s">
        <v>182</v>
      </c>
      <c r="R62" s="749"/>
      <c r="S62" s="730" t="s">
        <v>615</v>
      </c>
    </row>
    <row r="63" spans="1:19" ht="26.45" customHeight="1" thickBot="1" x14ac:dyDescent="0.5">
      <c r="A63" s="1617"/>
      <c r="B63" s="1619"/>
      <c r="C63" s="1685"/>
      <c r="D63" s="1004" t="s">
        <v>135</v>
      </c>
      <c r="E63" s="1005">
        <f t="shared" si="20"/>
        <v>0.8928571428571429</v>
      </c>
      <c r="F63" s="1004" t="s">
        <v>51</v>
      </c>
      <c r="G63" s="983">
        <f>E63/1</f>
        <v>0.8928571428571429</v>
      </c>
      <c r="H63" s="642"/>
      <c r="I63" s="643"/>
      <c r="J63" s="1141">
        <f>IF(I63=H63,(H63-70),H63-I63)</f>
        <v>-70</v>
      </c>
      <c r="K63" s="987">
        <f t="shared" si="21"/>
        <v>42</v>
      </c>
      <c r="L63" s="1142">
        <f t="shared" si="19"/>
        <v>42</v>
      </c>
      <c r="M63" s="989" t="str">
        <f t="shared" si="22"/>
        <v>0%</v>
      </c>
      <c r="N63" s="1628"/>
      <c r="O63" s="1761"/>
      <c r="P63" s="1635"/>
      <c r="Q63" s="1068" t="s">
        <v>95</v>
      </c>
      <c r="R63" s="603"/>
      <c r="S63" s="730" t="s">
        <v>615</v>
      </c>
    </row>
    <row r="64" spans="1:19" ht="15" customHeight="1" thickBot="1" x14ac:dyDescent="0.5">
      <c r="A64" s="1617"/>
      <c r="B64" s="1619"/>
      <c r="C64" s="1685"/>
      <c r="D64" s="1625" t="s">
        <v>136</v>
      </c>
      <c r="E64" s="1688">
        <f>$C$61/4</f>
        <v>0.8928571428571429</v>
      </c>
      <c r="F64" s="1143" t="s">
        <v>52</v>
      </c>
      <c r="G64" s="1144">
        <f>$E$64/3</f>
        <v>0.29761904761904762</v>
      </c>
      <c r="H64" s="271">
        <v>100</v>
      </c>
      <c r="I64" s="272">
        <v>100</v>
      </c>
      <c r="J64" s="1145">
        <f t="shared" ref="J64:J66" si="23">H64-I64</f>
        <v>0</v>
      </c>
      <c r="K64" s="1146">
        <f>(100-I64)*(6/10)</f>
        <v>0</v>
      </c>
      <c r="L64" s="1142">
        <f t="shared" si="19"/>
        <v>100</v>
      </c>
      <c r="M64" s="989" t="str">
        <f t="shared" ref="M64:M66" si="24">IF(K64&lt;&gt;0,J64/K64,"100%")</f>
        <v>100%</v>
      </c>
      <c r="N64" s="1628"/>
      <c r="O64" s="1761"/>
      <c r="P64" s="1635"/>
      <c r="Q64" s="1068" t="s">
        <v>95</v>
      </c>
      <c r="R64" s="734"/>
      <c r="S64" s="750" t="s">
        <v>589</v>
      </c>
    </row>
    <row r="65" spans="1:19" ht="14.65" thickBot="1" x14ac:dyDescent="0.5">
      <c r="A65" s="1617"/>
      <c r="B65" s="1619"/>
      <c r="C65" s="1685"/>
      <c r="D65" s="1625"/>
      <c r="E65" s="1688"/>
      <c r="F65" s="1143" t="s">
        <v>53</v>
      </c>
      <c r="G65" s="1144">
        <f t="shared" ref="G65:G66" si="25">$E$64/3</f>
        <v>0.29761904761904762</v>
      </c>
      <c r="H65" s="271">
        <v>100</v>
      </c>
      <c r="I65" s="272">
        <v>0</v>
      </c>
      <c r="J65" s="1145">
        <f t="shared" si="23"/>
        <v>100</v>
      </c>
      <c r="K65" s="1146">
        <f>(100-I65)*(6/10)</f>
        <v>60</v>
      </c>
      <c r="L65" s="1142">
        <f t="shared" si="19"/>
        <v>60</v>
      </c>
      <c r="M65" s="989">
        <f t="shared" si="24"/>
        <v>1.6666666666666667</v>
      </c>
      <c r="N65" s="1628"/>
      <c r="O65" s="1761"/>
      <c r="P65" s="1635"/>
      <c r="Q65" s="1068" t="s">
        <v>95</v>
      </c>
      <c r="R65" s="594"/>
      <c r="S65" s="750" t="s">
        <v>589</v>
      </c>
    </row>
    <row r="66" spans="1:19" ht="27.6" customHeight="1" thickBot="1" x14ac:dyDescent="0.5">
      <c r="A66" s="1617"/>
      <c r="B66" s="1620"/>
      <c r="C66" s="1686"/>
      <c r="D66" s="1626"/>
      <c r="E66" s="1689"/>
      <c r="F66" s="1147" t="s">
        <v>54</v>
      </c>
      <c r="G66" s="1148">
        <f t="shared" si="25"/>
        <v>0.29761904761904762</v>
      </c>
      <c r="H66" s="503"/>
      <c r="I66" s="504"/>
      <c r="J66" s="1149">
        <f t="shared" si="23"/>
        <v>0</v>
      </c>
      <c r="K66" s="1150">
        <f>(100-I66)*(6/10)</f>
        <v>60</v>
      </c>
      <c r="L66" s="1151">
        <f t="shared" si="19"/>
        <v>60</v>
      </c>
      <c r="M66" s="950">
        <f t="shared" si="24"/>
        <v>0</v>
      </c>
      <c r="N66" s="1629"/>
      <c r="O66" s="1762"/>
      <c r="P66" s="1631"/>
      <c r="Q66" s="1152" t="s">
        <v>95</v>
      </c>
      <c r="R66" s="593"/>
      <c r="S66" s="730" t="s">
        <v>615</v>
      </c>
    </row>
    <row r="67" spans="1:19" ht="27" customHeight="1" thickBot="1" x14ac:dyDescent="0.5">
      <c r="B67" s="1614" t="s">
        <v>55</v>
      </c>
      <c r="C67" s="1615"/>
      <c r="D67" s="1615"/>
      <c r="E67" s="1615"/>
      <c r="F67" s="1616"/>
      <c r="G67" s="1084"/>
      <c r="H67" s="513"/>
      <c r="I67" s="513"/>
      <c r="J67" s="1084"/>
      <c r="K67" s="1085"/>
      <c r="L67" s="1085"/>
      <c r="M67" s="996"/>
      <c r="N67" s="911">
        <f>N68</f>
        <v>0</v>
      </c>
      <c r="O67" s="912">
        <f>O68</f>
        <v>0</v>
      </c>
      <c r="P67" s="913">
        <f>O67/3.571428</f>
        <v>0</v>
      </c>
      <c r="Q67" s="1153"/>
      <c r="R67" s="334"/>
      <c r="S67" s="733"/>
    </row>
    <row r="68" spans="1:19" ht="58.5" thickBot="1" x14ac:dyDescent="0.5">
      <c r="A68" s="22">
        <v>17</v>
      </c>
      <c r="B68" s="1154" t="s">
        <v>56</v>
      </c>
      <c r="C68" s="1155">
        <f>M5</f>
        <v>3.5714285714285716</v>
      </c>
      <c r="D68" s="1154" t="s">
        <v>137</v>
      </c>
      <c r="E68" s="1155">
        <f>C68</f>
        <v>3.5714285714285716</v>
      </c>
      <c r="F68" s="1154" t="s">
        <v>57</v>
      </c>
      <c r="G68" s="1156">
        <f>E68/1</f>
        <v>3.5714285714285716</v>
      </c>
      <c r="H68" s="474"/>
      <c r="I68" s="264"/>
      <c r="J68" s="1157">
        <f>IF(I68=H68,(H68-70),I68-H68)</f>
        <v>-70</v>
      </c>
      <c r="K68" s="1051">
        <f t="shared" ref="K68" si="26">IF(I68&gt;=70,0,((70-I68)*(6/10)))</f>
        <v>42</v>
      </c>
      <c r="L68" s="1158">
        <f>I68-K68</f>
        <v>-42</v>
      </c>
      <c r="M68" s="989" t="str">
        <f>IF(K68=0,J68/K68,"0%")</f>
        <v>0%</v>
      </c>
      <c r="N68" s="1159">
        <f>((G68/C68)*M68)</f>
        <v>0</v>
      </c>
      <c r="O68" s="1041">
        <f>IF(((G68/C68)*M68)&gt;=1,3.571428,IF(((G68/C68)*M68)&lt;=0,0,((G68/C68)*M68)*3.571428))</f>
        <v>0</v>
      </c>
      <c r="P68" s="913">
        <f>O68/3.571428</f>
        <v>0</v>
      </c>
      <c r="Q68" s="1160" t="s">
        <v>132</v>
      </c>
      <c r="R68" s="355"/>
      <c r="S68" s="730" t="s">
        <v>615</v>
      </c>
    </row>
    <row r="69" spans="1:19" ht="22.25" customHeight="1" thickBot="1" x14ac:dyDescent="0.5">
      <c r="B69" s="1563" t="s">
        <v>58</v>
      </c>
      <c r="C69" s="1564"/>
      <c r="D69" s="1564"/>
      <c r="E69" s="1564"/>
      <c r="F69" s="1565"/>
      <c r="G69" s="223"/>
      <c r="H69" s="144"/>
      <c r="I69" s="255"/>
      <c r="J69" s="224"/>
      <c r="K69" s="92"/>
      <c r="L69" s="92"/>
      <c r="M69" s="1161"/>
      <c r="N69" s="911">
        <f>(N70+N72+N74)/3</f>
        <v>0.66666666666666663</v>
      </c>
      <c r="O69" s="912">
        <f>(O70+O72+O74)</f>
        <v>7.1428560000000001</v>
      </c>
      <c r="P69" s="913">
        <f>O69/10.714284</f>
        <v>0.66666666666666674</v>
      </c>
      <c r="Q69" s="886"/>
      <c r="R69" s="356"/>
      <c r="S69" s="145"/>
    </row>
    <row r="70" spans="1:19" ht="20.45" customHeight="1" thickBot="1" x14ac:dyDescent="0.5">
      <c r="B70" s="1670" t="s">
        <v>59</v>
      </c>
      <c r="C70" s="1671"/>
      <c r="D70" s="1671"/>
      <c r="E70" s="1671"/>
      <c r="F70" s="1672"/>
      <c r="G70" s="996"/>
      <c r="H70" s="136"/>
      <c r="I70" s="137"/>
      <c r="J70" s="997"/>
      <c r="K70" s="997"/>
      <c r="L70" s="997"/>
      <c r="M70" s="1162"/>
      <c r="N70" s="911">
        <f>N71</f>
        <v>1</v>
      </c>
      <c r="O70" s="912">
        <f>O71</f>
        <v>3.571428</v>
      </c>
      <c r="P70" s="913">
        <f t="shared" ref="P70:P78" si="27">O70/3.571428</f>
        <v>1</v>
      </c>
      <c r="Q70" s="1123"/>
      <c r="R70" s="349"/>
      <c r="S70" s="733"/>
    </row>
    <row r="71" spans="1:19" ht="52.25" customHeight="1" thickBot="1" x14ac:dyDescent="0.5">
      <c r="A71" s="22">
        <v>18</v>
      </c>
      <c r="B71" s="1163" t="s">
        <v>60</v>
      </c>
      <c r="C71" s="1164">
        <f>M5</f>
        <v>3.5714285714285716</v>
      </c>
      <c r="D71" s="1165" t="s">
        <v>138</v>
      </c>
      <c r="E71" s="1166">
        <f>C71</f>
        <v>3.5714285714285716</v>
      </c>
      <c r="F71" s="1167" t="s">
        <v>61</v>
      </c>
      <c r="G71" s="1168">
        <f>E71/1</f>
        <v>3.5714285714285716</v>
      </c>
      <c r="H71" s="96">
        <v>0</v>
      </c>
      <c r="I71" s="246">
        <v>0</v>
      </c>
      <c r="J71" s="1169">
        <f>I71-H71</f>
        <v>0</v>
      </c>
      <c r="K71" s="1048">
        <f>(0.5*I71)*0.6</f>
        <v>0</v>
      </c>
      <c r="L71" s="1158">
        <f>I71-K71</f>
        <v>0</v>
      </c>
      <c r="M71" s="989" t="str">
        <f>IF(H71=0,"100%",J71/K71)</f>
        <v>100%</v>
      </c>
      <c r="N71" s="1159">
        <f>((G71/C71)*M71)</f>
        <v>1</v>
      </c>
      <c r="O71" s="1041">
        <f>IF(((G71/C71)*M71)&gt;=1,3.571428,IF(((G71/C71)*M71)&lt;=0,0,((G71/C71)*M71)*3.571428))</f>
        <v>3.571428</v>
      </c>
      <c r="P71" s="913">
        <f t="shared" si="27"/>
        <v>1</v>
      </c>
      <c r="Q71" s="1170" t="s">
        <v>183</v>
      </c>
      <c r="R71" s="355"/>
      <c r="S71" s="730" t="s">
        <v>615</v>
      </c>
    </row>
    <row r="72" spans="1:19" ht="20.45" customHeight="1" thickBot="1" x14ac:dyDescent="0.5">
      <c r="B72" s="1679" t="s">
        <v>277</v>
      </c>
      <c r="C72" s="1680"/>
      <c r="D72" s="1680"/>
      <c r="E72" s="1680"/>
      <c r="F72" s="1681"/>
      <c r="G72" s="1054"/>
      <c r="H72" s="134"/>
      <c r="I72" s="247"/>
      <c r="J72" s="1055"/>
      <c r="K72" s="1056"/>
      <c r="L72" s="1056"/>
      <c r="M72" s="1057"/>
      <c r="N72" s="911">
        <f>N73</f>
        <v>1</v>
      </c>
      <c r="O72" s="912">
        <f>O73</f>
        <v>3.571428</v>
      </c>
      <c r="P72" s="913">
        <f t="shared" si="27"/>
        <v>1</v>
      </c>
      <c r="Q72" s="1171"/>
      <c r="R72" s="349"/>
      <c r="S72" s="733"/>
    </row>
    <row r="73" spans="1:19" ht="45" customHeight="1" thickBot="1" x14ac:dyDescent="0.5">
      <c r="A73" s="22">
        <v>19</v>
      </c>
      <c r="B73" s="1172" t="s">
        <v>62</v>
      </c>
      <c r="C73" s="1173">
        <f>M5</f>
        <v>3.5714285714285716</v>
      </c>
      <c r="D73" s="1174" t="s">
        <v>139</v>
      </c>
      <c r="E73" s="1173">
        <f>C73</f>
        <v>3.5714285714285716</v>
      </c>
      <c r="F73" s="1175" t="s">
        <v>63</v>
      </c>
      <c r="G73" s="1176">
        <f>E73/1</f>
        <v>3.5714285714285716</v>
      </c>
      <c r="H73" s="96">
        <v>0</v>
      </c>
      <c r="I73" s="103">
        <v>0</v>
      </c>
      <c r="J73" s="1177">
        <f>I73-H73</f>
        <v>0</v>
      </c>
      <c r="K73" s="1178">
        <f>IF(H73&gt;0,(H73),I73)</f>
        <v>0</v>
      </c>
      <c r="L73" s="1179">
        <f>I73-K73</f>
        <v>0</v>
      </c>
      <c r="M73" s="989" t="str">
        <f>IF(H73=0,"100%",J73/K73)</f>
        <v>100%</v>
      </c>
      <c r="N73" s="1159">
        <f>((G73/C73)*M73)</f>
        <v>1</v>
      </c>
      <c r="O73" s="1041">
        <f>IF(((G73/C73)*M73)&gt;=1,3.571428,IF(((G73/C73)*M73)&lt;=0,0,((G73/C73)*M73)*3.571428))</f>
        <v>3.571428</v>
      </c>
      <c r="P73" s="913">
        <f t="shared" si="27"/>
        <v>1</v>
      </c>
      <c r="Q73" s="1180" t="s">
        <v>95</v>
      </c>
      <c r="R73" s="355"/>
      <c r="S73" s="730" t="s">
        <v>615</v>
      </c>
    </row>
    <row r="74" spans="1:19" ht="30.6" customHeight="1" thickBot="1" x14ac:dyDescent="0.5">
      <c r="B74" s="1670" t="s">
        <v>64</v>
      </c>
      <c r="C74" s="1671"/>
      <c r="D74" s="1671"/>
      <c r="E74" s="1671"/>
      <c r="F74" s="1672"/>
      <c r="G74" s="997"/>
      <c r="H74" s="136"/>
      <c r="I74" s="137"/>
      <c r="J74" s="997"/>
      <c r="K74" s="997"/>
      <c r="L74" s="997"/>
      <c r="M74" s="996"/>
      <c r="N74" s="911">
        <f>N75</f>
        <v>0</v>
      </c>
      <c r="O74" s="912">
        <f>O75</f>
        <v>0</v>
      </c>
      <c r="P74" s="913">
        <f t="shared" si="27"/>
        <v>0</v>
      </c>
      <c r="Q74" s="1123"/>
      <c r="R74" s="349"/>
      <c r="S74" s="733"/>
    </row>
    <row r="75" spans="1:19" ht="29.45" customHeight="1" thickBot="1" x14ac:dyDescent="0.5">
      <c r="A75" s="22">
        <v>20</v>
      </c>
      <c r="B75" s="1172" t="s">
        <v>65</v>
      </c>
      <c r="C75" s="1035">
        <f>M5</f>
        <v>3.5714285714285716</v>
      </c>
      <c r="D75" s="1165" t="s">
        <v>140</v>
      </c>
      <c r="E75" s="1181">
        <f>C75</f>
        <v>3.5714285714285716</v>
      </c>
      <c r="F75" s="1174" t="s">
        <v>66</v>
      </c>
      <c r="G75" s="1168">
        <f>E75/1</f>
        <v>3.5714285714285716</v>
      </c>
      <c r="H75" s="1374"/>
      <c r="I75" s="264"/>
      <c r="J75" s="1119">
        <f>H75-I75</f>
        <v>0</v>
      </c>
      <c r="K75" s="1120">
        <f>IF(AND(H75=0,I75=1)," 1",(H75-I75))</f>
        <v>0</v>
      </c>
      <c r="L75" s="1182">
        <f>I75+K75</f>
        <v>0</v>
      </c>
      <c r="M75" s="989" t="str">
        <f>IF(H75=0,"0%",J75/K75)</f>
        <v>0%</v>
      </c>
      <c r="N75" s="1159">
        <f>((G75/C75)*M75)</f>
        <v>0</v>
      </c>
      <c r="O75" s="1041">
        <f>IF(((G75/C75)*M75)&gt;=1,3.571428,IF(((G75/C75)*M75)&lt;=0,0,((G75/C75)*M75)*3.571428))</f>
        <v>0</v>
      </c>
      <c r="P75" s="913">
        <f t="shared" si="27"/>
        <v>0</v>
      </c>
      <c r="Q75" s="1184" t="s">
        <v>95</v>
      </c>
      <c r="R75" s="735"/>
      <c r="S75" s="730"/>
    </row>
    <row r="76" spans="1:19" ht="20.45" customHeight="1" thickBot="1" x14ac:dyDescent="0.5">
      <c r="B76" s="1682" t="s">
        <v>67</v>
      </c>
      <c r="C76" s="1683"/>
      <c r="D76" s="1683"/>
      <c r="E76" s="1683"/>
      <c r="F76" s="1684"/>
      <c r="G76" s="1185"/>
      <c r="H76" s="146"/>
      <c r="I76" s="147"/>
      <c r="J76" s="1186"/>
      <c r="K76" s="885"/>
      <c r="L76" s="885"/>
      <c r="M76" s="1185"/>
      <c r="N76" s="911">
        <f t="shared" ref="N76:O77" si="28">N77</f>
        <v>0</v>
      </c>
      <c r="O76" s="912">
        <f t="shared" si="28"/>
        <v>0</v>
      </c>
      <c r="P76" s="913">
        <f t="shared" si="27"/>
        <v>0</v>
      </c>
      <c r="Q76" s="1187"/>
      <c r="R76" s="358"/>
      <c r="S76" s="736"/>
    </row>
    <row r="77" spans="1:19" ht="20.45" customHeight="1" thickBot="1" x14ac:dyDescent="0.5">
      <c r="B77" s="1670" t="s">
        <v>68</v>
      </c>
      <c r="C77" s="1671"/>
      <c r="D77" s="1671"/>
      <c r="E77" s="1671"/>
      <c r="F77" s="1672"/>
      <c r="G77" s="996"/>
      <c r="H77" s="136"/>
      <c r="I77" s="137"/>
      <c r="J77" s="1016"/>
      <c r="K77" s="1017"/>
      <c r="L77" s="1017"/>
      <c r="M77" s="998"/>
      <c r="N77" s="911">
        <f t="shared" si="28"/>
        <v>0</v>
      </c>
      <c r="O77" s="912">
        <f t="shared" si="28"/>
        <v>0</v>
      </c>
      <c r="P77" s="913">
        <f t="shared" si="27"/>
        <v>0</v>
      </c>
      <c r="Q77" s="1123"/>
      <c r="R77" s="349"/>
      <c r="S77" s="733"/>
    </row>
    <row r="78" spans="1:19" ht="35.25" thickBot="1" x14ac:dyDescent="0.5">
      <c r="A78" s="22">
        <v>21</v>
      </c>
      <c r="B78" s="1172" t="s">
        <v>69</v>
      </c>
      <c r="C78" s="1181">
        <f>M5</f>
        <v>3.5714285714285716</v>
      </c>
      <c r="D78" s="1188" t="s">
        <v>141</v>
      </c>
      <c r="E78" s="1181">
        <f>C78</f>
        <v>3.5714285714285716</v>
      </c>
      <c r="F78" s="1188" t="s">
        <v>70</v>
      </c>
      <c r="G78" s="1155">
        <f>E78/1</f>
        <v>3.5714285714285716</v>
      </c>
      <c r="H78" s="472"/>
      <c r="I78" s="264"/>
      <c r="J78" s="1157">
        <f>IF(I78=H78,(H78-60),H78-I78)</f>
        <v>-60</v>
      </c>
      <c r="K78" s="1051">
        <f>IF(I78&gt;=60,0,((60-I78)*(6/10)))</f>
        <v>36</v>
      </c>
      <c r="L78" s="1158">
        <f t="shared" ref="L78" si="29">K78+I78</f>
        <v>36</v>
      </c>
      <c r="M78" s="1039">
        <f>IF(I78&gt;=60,(1+(H78-60)/60),(H78/L78))</f>
        <v>0</v>
      </c>
      <c r="N78" s="1159">
        <f>((G78/C78)*M78)</f>
        <v>0</v>
      </c>
      <c r="O78" s="1041">
        <f>IF(((G78/C78)*M78)&gt;=1,3.571428,IF(((G78/C78)*M78)&lt;=0,0,((G78/C78)*M78)*3.571428))</f>
        <v>0</v>
      </c>
      <c r="P78" s="913">
        <f t="shared" si="27"/>
        <v>0</v>
      </c>
      <c r="Q78" s="1189" t="s">
        <v>95</v>
      </c>
      <c r="R78" s="355"/>
      <c r="S78" s="730"/>
    </row>
    <row r="79" spans="1:19" ht="21.6" customHeight="1" thickBot="1" x14ac:dyDescent="0.5">
      <c r="B79" s="1673" t="s">
        <v>71</v>
      </c>
      <c r="C79" s="1674"/>
      <c r="D79" s="1674"/>
      <c r="E79" s="1674"/>
      <c r="F79" s="1675"/>
      <c r="G79" s="1185"/>
      <c r="H79" s="146"/>
      <c r="I79" s="147"/>
      <c r="J79" s="1190"/>
      <c r="K79" s="1191"/>
      <c r="L79" s="1191"/>
      <c r="M79" s="1185"/>
      <c r="N79" s="911">
        <f>(N80+N86)/2</f>
        <v>0.26300974777537273</v>
      </c>
      <c r="O79" s="912">
        <f>(O80+O86)</f>
        <v>2.3701107018308081</v>
      </c>
      <c r="P79" s="913">
        <f>O79/10.714284</f>
        <v>0.22121036756453424</v>
      </c>
      <c r="Q79" s="1187"/>
      <c r="R79" s="358"/>
      <c r="S79" s="736"/>
    </row>
    <row r="80" spans="1:19" ht="20.45" customHeight="1" thickBot="1" x14ac:dyDescent="0.5">
      <c r="B80" s="1614" t="s">
        <v>72</v>
      </c>
      <c r="C80" s="1615"/>
      <c r="D80" s="1615"/>
      <c r="E80" s="1615"/>
      <c r="F80" s="1616"/>
      <c r="G80" s="1018"/>
      <c r="H80" s="148"/>
      <c r="I80" s="149"/>
      <c r="J80" s="997"/>
      <c r="K80" s="997"/>
      <c r="L80" s="997"/>
      <c r="M80" s="1018"/>
      <c r="N80" s="911">
        <f>(N81+N83)/2</f>
        <v>0.13761160714285714</v>
      </c>
      <c r="O80" s="912">
        <f>(O81+O83)</f>
        <v>0.98293989375000002</v>
      </c>
      <c r="P80" s="913">
        <f>O80/7.142856</f>
        <v>0.13761160714285714</v>
      </c>
      <c r="Q80" s="1192"/>
      <c r="R80" s="336"/>
      <c r="S80" s="731"/>
    </row>
    <row r="81" spans="1:19" ht="46.5" x14ac:dyDescent="0.45">
      <c r="A81" s="22"/>
      <c r="B81" s="1676" t="s">
        <v>73</v>
      </c>
      <c r="C81" s="1678">
        <f>M5</f>
        <v>3.5714285714285716</v>
      </c>
      <c r="D81" s="999" t="s">
        <v>267</v>
      </c>
      <c r="E81" s="931">
        <f>$C$81/2</f>
        <v>1.7857142857142858</v>
      </c>
      <c r="F81" s="1124" t="s">
        <v>278</v>
      </c>
      <c r="G81" s="978">
        <f>E81/1</f>
        <v>1.7857142857142858</v>
      </c>
      <c r="H81" s="477"/>
      <c r="I81" s="491"/>
      <c r="J81" s="1088">
        <f>IF(I81=H81,(H81-50),H81-I81)</f>
        <v>-50</v>
      </c>
      <c r="K81" s="980">
        <f>IF(I81&gt;=50,0,((50-I81)*(6/10)))</f>
        <v>30</v>
      </c>
      <c r="L81" s="1193">
        <f>I81+K81</f>
        <v>30</v>
      </c>
      <c r="M81" s="989" t="str">
        <f>IF(H81=0,"0%",J81/K81)</f>
        <v>0%</v>
      </c>
      <c r="N81" s="1627">
        <f>(((G81/C81)*M81)+((G82/C81)*M82))</f>
        <v>0.27522321428571428</v>
      </c>
      <c r="O81" s="1723">
        <f>IF((((G81/C81)*M81)+((G82/C81)*M82))&gt;=1,3.57148,IF((((G81/C81)*M81)+((G82/C81)*M82))&lt;=0,0, (((G81/C81)*M81)+((G82/C81)*M82))*3.571428))</f>
        <v>0.98293989375000002</v>
      </c>
      <c r="P81" s="1630">
        <f>O81/3.571428</f>
        <v>0.27522321428571428</v>
      </c>
      <c r="Q81" s="1194" t="s">
        <v>279</v>
      </c>
      <c r="R81" s="742" t="s">
        <v>709</v>
      </c>
      <c r="S81" s="738" t="s">
        <v>615</v>
      </c>
    </row>
    <row r="82" spans="1:19" ht="39.6" customHeight="1" thickBot="1" x14ac:dyDescent="0.5">
      <c r="A82" s="22"/>
      <c r="B82" s="1677"/>
      <c r="C82" s="1575"/>
      <c r="D82" s="1024" t="s">
        <v>268</v>
      </c>
      <c r="E82" s="944">
        <f>$C$81/2</f>
        <v>1.7857142857142858</v>
      </c>
      <c r="F82" s="1025" t="s">
        <v>74</v>
      </c>
      <c r="G82" s="992">
        <f>E82/1</f>
        <v>1.7857142857142858</v>
      </c>
      <c r="H82" s="99">
        <v>12.33</v>
      </c>
      <c r="I82" s="100">
        <v>11</v>
      </c>
      <c r="J82" s="1195">
        <f>IF(I82=H82,(H82-30),H82-I82)</f>
        <v>1.33</v>
      </c>
      <c r="K82" s="994">
        <f>IF(I82&gt;=30,0,((30-I82)*(6/10)))</f>
        <v>11.4</v>
      </c>
      <c r="L82" s="1196">
        <f t="shared" ref="L82" si="30">K82+I82</f>
        <v>22.4</v>
      </c>
      <c r="M82" s="950">
        <f>IF(I82&gt;=30,(1+(H82-30)/30),(H82/L82))</f>
        <v>0.55044642857142856</v>
      </c>
      <c r="N82" s="1629"/>
      <c r="O82" s="1760"/>
      <c r="P82" s="1631"/>
      <c r="Q82" s="1197" t="s">
        <v>282</v>
      </c>
      <c r="R82" s="260"/>
      <c r="S82" s="751"/>
    </row>
    <row r="83" spans="1:19" ht="60" customHeight="1" x14ac:dyDescent="0.45">
      <c r="A83" s="22"/>
      <c r="B83" s="1660" t="s">
        <v>142</v>
      </c>
      <c r="C83" s="1662">
        <f>M5</f>
        <v>3.5714285714285716</v>
      </c>
      <c r="D83" s="1198" t="s">
        <v>145</v>
      </c>
      <c r="E83" s="931">
        <f>$C$81/3</f>
        <v>1.1904761904761905</v>
      </c>
      <c r="F83" s="999" t="s">
        <v>143</v>
      </c>
      <c r="G83" s="931">
        <f>E83/1</f>
        <v>1.1904761904761905</v>
      </c>
      <c r="H83" s="846"/>
      <c r="I83" s="848"/>
      <c r="J83" s="1199">
        <f>I83-H83</f>
        <v>0</v>
      </c>
      <c r="K83" s="1077">
        <f>(0.2*I83)*(6/10)</f>
        <v>0</v>
      </c>
      <c r="L83" s="1200">
        <f>I83-K83</f>
        <v>0</v>
      </c>
      <c r="M83" s="935" t="str">
        <f>IF(K83&lt;&gt;0,J83/K83,"0%")</f>
        <v>0%</v>
      </c>
      <c r="N83" s="1665">
        <f>(((G83/C83)*M83)+((G84/C83)*M84)+((G85/C83)*M85))</f>
        <v>0</v>
      </c>
      <c r="O83" s="1632">
        <f>IF((((G83/C83)*M83)+((G84/C83)*M84)+((G85/C83)*M85))&gt;=1,3.571428,IF((((G83/C83)*M83)+((G84/C83)*M84)+((G85/C83)*M85))&lt;=0,0,(((G83/C83)*M83)+((G84/C83)*M84)+((G85/C83)*M85))*3.571428))</f>
        <v>0</v>
      </c>
      <c r="P83" s="1630">
        <f>O83/3.571428</f>
        <v>0</v>
      </c>
      <c r="Q83" s="1201" t="s">
        <v>184</v>
      </c>
      <c r="R83" s="752"/>
      <c r="S83" s="738" t="s">
        <v>615</v>
      </c>
    </row>
    <row r="84" spans="1:19" ht="45" customHeight="1" x14ac:dyDescent="0.45">
      <c r="A84" s="22"/>
      <c r="B84" s="1660"/>
      <c r="C84" s="1663"/>
      <c r="D84" s="1202" t="s">
        <v>146</v>
      </c>
      <c r="E84" s="1005">
        <f t="shared" ref="E84:E85" si="31">$C$81/3</f>
        <v>1.1904761904761905</v>
      </c>
      <c r="F84" s="1128" t="s">
        <v>283</v>
      </c>
      <c r="G84" s="1005">
        <f>E84/1</f>
        <v>1.1904761904761905</v>
      </c>
      <c r="H84" s="473"/>
      <c r="I84" s="762">
        <v>44</v>
      </c>
      <c r="J84" s="1203">
        <f>I84-H84</f>
        <v>44</v>
      </c>
      <c r="K84" s="1077">
        <f>(0.5*I84)*(6/10)</f>
        <v>13.2</v>
      </c>
      <c r="L84" s="1204">
        <f>I84-K84</f>
        <v>30.8</v>
      </c>
      <c r="M84" s="989" t="str">
        <f>IF(H84=0,"0%",J84/K84)</f>
        <v>0%</v>
      </c>
      <c r="N84" s="1666"/>
      <c r="O84" s="1758"/>
      <c r="P84" s="1635"/>
      <c r="Q84" s="1205" t="s">
        <v>185</v>
      </c>
      <c r="R84" s="290" t="s">
        <v>710</v>
      </c>
      <c r="S84" s="524" t="s">
        <v>718</v>
      </c>
    </row>
    <row r="85" spans="1:19" ht="38.450000000000003" customHeight="1" thickBot="1" x14ac:dyDescent="0.5">
      <c r="A85" s="22"/>
      <c r="B85" s="1661"/>
      <c r="C85" s="1664"/>
      <c r="D85" s="1206" t="s">
        <v>147</v>
      </c>
      <c r="E85" s="944">
        <f t="shared" si="31"/>
        <v>1.1904761904761905</v>
      </c>
      <c r="F85" s="1025" t="s">
        <v>144</v>
      </c>
      <c r="G85" s="944">
        <f>E85/1</f>
        <v>1.1904761904761905</v>
      </c>
      <c r="H85" s="475"/>
      <c r="I85" s="492"/>
      <c r="J85" s="1207">
        <f>H85-I85</f>
        <v>0</v>
      </c>
      <c r="K85" s="1208">
        <f>(100-I85)*(6/10)</f>
        <v>60</v>
      </c>
      <c r="L85" s="1209">
        <f>I85+K85</f>
        <v>60</v>
      </c>
      <c r="M85" s="971">
        <f>IF(K85&lt;&gt;0,J85/K85,"0%")</f>
        <v>0</v>
      </c>
      <c r="N85" s="1667"/>
      <c r="O85" s="1759"/>
      <c r="P85" s="1631"/>
      <c r="Q85" s="1210" t="s">
        <v>284</v>
      </c>
      <c r="R85" s="263"/>
      <c r="S85" s="737" t="s">
        <v>615</v>
      </c>
    </row>
    <row r="86" spans="1:19" ht="20.45" customHeight="1" thickBot="1" x14ac:dyDescent="0.5">
      <c r="B86" s="1648" t="s">
        <v>75</v>
      </c>
      <c r="C86" s="1649"/>
      <c r="D86" s="1649"/>
      <c r="E86" s="1649"/>
      <c r="F86" s="1650"/>
      <c r="G86" s="1162"/>
      <c r="H86" s="150"/>
      <c r="I86" s="151"/>
      <c r="J86" s="1211"/>
      <c r="K86" s="1212"/>
      <c r="L86" s="1212"/>
      <c r="M86" s="1018"/>
      <c r="N86" s="911">
        <f>N87</f>
        <v>0.38840788840788831</v>
      </c>
      <c r="O86" s="912">
        <f>O87</f>
        <v>1.3871708080808078</v>
      </c>
      <c r="P86" s="913">
        <f>O86/3.571428</f>
        <v>0.38840788840788831</v>
      </c>
      <c r="Q86" s="1085"/>
      <c r="R86" s="334"/>
      <c r="S86" s="729"/>
    </row>
    <row r="87" spans="1:19" ht="27.6" customHeight="1" x14ac:dyDescent="0.45">
      <c r="A87" s="1651">
        <v>24</v>
      </c>
      <c r="B87" s="1652" t="s">
        <v>76</v>
      </c>
      <c r="C87" s="1654">
        <f>M5</f>
        <v>3.5714285714285716</v>
      </c>
      <c r="D87" s="1073" t="s">
        <v>159</v>
      </c>
      <c r="E87" s="1074">
        <f>($C$87/3)</f>
        <v>1.1904761904761905</v>
      </c>
      <c r="F87" s="1213" t="s">
        <v>285</v>
      </c>
      <c r="G87" s="1214">
        <f>E87/1</f>
        <v>1.1904761904761905</v>
      </c>
      <c r="H87" s="1375">
        <v>2.9</v>
      </c>
      <c r="I87" s="1376">
        <v>3.3</v>
      </c>
      <c r="J87" s="1215">
        <f>I87-H87</f>
        <v>0.39999999999999991</v>
      </c>
      <c r="K87" s="1216">
        <f>(0.25*I87)*(6/10)</f>
        <v>0.49499999999999994</v>
      </c>
      <c r="L87" s="1217">
        <f>I87-K87</f>
        <v>2.8049999999999997</v>
      </c>
      <c r="M87" s="935">
        <f>IF(K87&lt;&gt;0,J87/K87,"0%")</f>
        <v>0.80808080808080796</v>
      </c>
      <c r="N87" s="1657">
        <f>(((G87/C87)*M87)+((G88/C87)*M88)+((G89/C87)*M89)+((G90/C87)*M90)+((G91/C87)*M91))</f>
        <v>0.38840788840788831</v>
      </c>
      <c r="O87" s="1632">
        <f>IF((((G87/C87)*M87)+((G88/C87)*M88)+((G89/C87)*M89)+((G90/C87)*M90)+((G91/C87)*M91))&gt;=1,3.571428,IF((((G87/C87)*M87)+((G88/C87)*M88)+((G89/C87)*M89)+((G90/C87)*M90)+((G91/C87)*M91))&lt;=0,0,((((G87/C87)*M87)+((G88/C87)*M88)+((G89/C87)*M89)+((G90/C87)*M90)+((G91/C87)*M91))*3.571428)))</f>
        <v>1.3871708080808078</v>
      </c>
      <c r="P87" s="1630">
        <f>O87/3.571428</f>
        <v>0.38840788840788831</v>
      </c>
      <c r="Q87" s="1218" t="s">
        <v>186</v>
      </c>
      <c r="R87" s="176" t="s">
        <v>814</v>
      </c>
      <c r="S87" s="292" t="s">
        <v>815</v>
      </c>
    </row>
    <row r="88" spans="1:19" ht="25.8" customHeight="1" x14ac:dyDescent="0.45">
      <c r="A88" s="1651"/>
      <c r="B88" s="1652"/>
      <c r="C88" s="1655"/>
      <c r="D88" s="1668" t="s">
        <v>160</v>
      </c>
      <c r="E88" s="1669">
        <f>C87/3</f>
        <v>1.1904761904761905</v>
      </c>
      <c r="F88" s="1006" t="s">
        <v>77</v>
      </c>
      <c r="G88" s="1219">
        <f>$E$88/3</f>
        <v>0.3968253968253968</v>
      </c>
      <c r="H88" s="584"/>
      <c r="I88" s="585"/>
      <c r="J88" s="1220">
        <f>I88-H88</f>
        <v>0</v>
      </c>
      <c r="K88" s="1221">
        <f>I88*(6/10)</f>
        <v>0</v>
      </c>
      <c r="L88" s="1222">
        <f>I88-K88</f>
        <v>0</v>
      </c>
      <c r="M88" s="989" t="str">
        <f>IF(K88&lt;&gt;0,J88/K88,"0%")</f>
        <v>0%</v>
      </c>
      <c r="N88" s="1658"/>
      <c r="O88" s="1758"/>
      <c r="P88" s="1635"/>
      <c r="Q88" s="1223" t="s">
        <v>187</v>
      </c>
      <c r="R88" s="744"/>
      <c r="S88" s="652" t="s">
        <v>615</v>
      </c>
    </row>
    <row r="89" spans="1:19" ht="59.65" customHeight="1" x14ac:dyDescent="0.45">
      <c r="A89" s="1651"/>
      <c r="B89" s="1652"/>
      <c r="C89" s="1655"/>
      <c r="D89" s="1668"/>
      <c r="E89" s="1669"/>
      <c r="F89" s="1006" t="s">
        <v>78</v>
      </c>
      <c r="G89" s="1219">
        <f>$E$88/3</f>
        <v>0.3968253968253968</v>
      </c>
      <c r="H89" s="586"/>
      <c r="I89" s="587"/>
      <c r="J89" s="1220">
        <f>I89-H89</f>
        <v>0</v>
      </c>
      <c r="K89" s="1221">
        <f>I89*(6/10)</f>
        <v>0</v>
      </c>
      <c r="L89" s="1222">
        <f>I89-K89</f>
        <v>0</v>
      </c>
      <c r="M89" s="989" t="str">
        <f>IF(K89&lt;&gt;0,J89/K89,"0%")</f>
        <v>0%</v>
      </c>
      <c r="N89" s="1658"/>
      <c r="O89" s="1758"/>
      <c r="P89" s="1635"/>
      <c r="Q89" s="1223" t="s">
        <v>188</v>
      </c>
      <c r="R89" s="744"/>
      <c r="S89" s="652" t="s">
        <v>615</v>
      </c>
    </row>
    <row r="90" spans="1:19" ht="26.45" customHeight="1" x14ac:dyDescent="0.45">
      <c r="A90" s="1651"/>
      <c r="B90" s="1652"/>
      <c r="C90" s="1655"/>
      <c r="D90" s="1668"/>
      <c r="E90" s="1669"/>
      <c r="F90" s="1006" t="s">
        <v>79</v>
      </c>
      <c r="G90" s="1219">
        <f>$E$88/3</f>
        <v>0.3968253968253968</v>
      </c>
      <c r="H90" s="509"/>
      <c r="I90" s="510"/>
      <c r="J90" s="1220">
        <f>I90-H90</f>
        <v>0</v>
      </c>
      <c r="K90" s="1224">
        <f>(I90)*(6/10)</f>
        <v>0</v>
      </c>
      <c r="L90" s="1225">
        <f>I90-K90</f>
        <v>0</v>
      </c>
      <c r="M90" s="989" t="str">
        <f>IF(H90=0,"0%",J90/K90)</f>
        <v>0%</v>
      </c>
      <c r="N90" s="1658"/>
      <c r="O90" s="1758"/>
      <c r="P90" s="1635"/>
      <c r="Q90" s="1226" t="s">
        <v>189</v>
      </c>
      <c r="R90" s="744"/>
      <c r="S90" s="652" t="s">
        <v>615</v>
      </c>
    </row>
    <row r="91" spans="1:19" ht="40.799999999999997" customHeight="1" thickBot="1" x14ac:dyDescent="0.5">
      <c r="A91" s="1651"/>
      <c r="B91" s="1653"/>
      <c r="C91" s="1656"/>
      <c r="D91" s="991" t="s">
        <v>161</v>
      </c>
      <c r="E91" s="944">
        <f>$C$87/3</f>
        <v>1.1904761904761905</v>
      </c>
      <c r="F91" s="1227" t="s">
        <v>80</v>
      </c>
      <c r="G91" s="1228">
        <f>E91/1</f>
        <v>1.1904761904761905</v>
      </c>
      <c r="H91" s="117">
        <v>25</v>
      </c>
      <c r="I91" s="1377">
        <v>25</v>
      </c>
      <c r="J91" s="1229">
        <f>H91-I91</f>
        <v>0</v>
      </c>
      <c r="K91" s="1208">
        <f>(100-I91)*(6/10)</f>
        <v>45</v>
      </c>
      <c r="L91" s="1230">
        <f>I91+K91</f>
        <v>70</v>
      </c>
      <c r="M91" s="950">
        <f>IF(I91&gt;=60,(1+(H91-60)/60),(H91/L91))</f>
        <v>0.35714285714285715</v>
      </c>
      <c r="N91" s="1659"/>
      <c r="O91" s="1759"/>
      <c r="P91" s="1631"/>
      <c r="Q91" s="1231" t="s">
        <v>95</v>
      </c>
      <c r="R91" s="743"/>
      <c r="S91" s="737" t="s">
        <v>719</v>
      </c>
    </row>
    <row r="92" spans="1:19" ht="14.65" thickBot="1" x14ac:dyDescent="0.5">
      <c r="B92" s="1586" t="s">
        <v>81</v>
      </c>
      <c r="C92" s="1587"/>
      <c r="D92" s="1587"/>
      <c r="E92" s="1587"/>
      <c r="F92" s="1588"/>
      <c r="G92" s="11"/>
      <c r="H92" s="146"/>
      <c r="I92" s="147"/>
      <c r="J92" s="225"/>
      <c r="K92" s="11"/>
      <c r="L92" s="11"/>
      <c r="M92" s="223"/>
      <c r="N92" s="911">
        <f>(N93+N97)/2</f>
        <v>0</v>
      </c>
      <c r="O92" s="912">
        <f>(O93+O97)</f>
        <v>0</v>
      </c>
      <c r="P92" s="913">
        <f>O92/14.285712</f>
        <v>0</v>
      </c>
      <c r="Q92" s="1099"/>
      <c r="R92" s="348"/>
      <c r="S92" s="732"/>
    </row>
    <row r="93" spans="1:19" ht="20.45" customHeight="1" thickBot="1" x14ac:dyDescent="0.5">
      <c r="B93" s="1614" t="s">
        <v>82</v>
      </c>
      <c r="C93" s="1615"/>
      <c r="D93" s="1615"/>
      <c r="E93" s="1615"/>
      <c r="F93" s="1616"/>
      <c r="G93" s="996"/>
      <c r="H93" s="136"/>
      <c r="I93" s="137"/>
      <c r="J93" s="1017"/>
      <c r="K93" s="1017"/>
      <c r="L93" s="1017"/>
      <c r="M93" s="1018"/>
      <c r="N93" s="911">
        <f>N94</f>
        <v>0</v>
      </c>
      <c r="O93" s="912">
        <f>O94</f>
        <v>0</v>
      </c>
      <c r="P93" s="913">
        <f>O93/3.571428</f>
        <v>0</v>
      </c>
      <c r="Q93" s="1086"/>
      <c r="R93" s="336"/>
      <c r="S93" s="733"/>
    </row>
    <row r="94" spans="1:19" ht="34.799999999999997" customHeight="1" x14ac:dyDescent="0.45">
      <c r="A94" s="1617">
        <v>25</v>
      </c>
      <c r="B94" s="1618" t="s">
        <v>83</v>
      </c>
      <c r="C94" s="1621">
        <f>M5</f>
        <v>3.5714285714285716</v>
      </c>
      <c r="D94" s="1624" t="s">
        <v>214</v>
      </c>
      <c r="E94" s="1087">
        <f>$C$94/3</f>
        <v>1.1904761904761905</v>
      </c>
      <c r="F94" s="999" t="s">
        <v>269</v>
      </c>
      <c r="G94" s="1232">
        <f>E94/1</f>
        <v>1.1904761904761905</v>
      </c>
      <c r="H94" s="487"/>
      <c r="I94" s="607"/>
      <c r="J94" s="1233">
        <f>H94-I94</f>
        <v>0</v>
      </c>
      <c r="K94" s="1234">
        <f>(100-I94)*(6/10)</f>
        <v>60</v>
      </c>
      <c r="L94" s="1235">
        <f>I94+K94</f>
        <v>60</v>
      </c>
      <c r="M94" s="935">
        <f>IF(K94&lt;&gt;0,J94/K94,"100%")</f>
        <v>0</v>
      </c>
      <c r="N94" s="1627">
        <f>(((G94/C94)*M94)+((G95/C94)*M95)+((G96/C94)*M96))</f>
        <v>0</v>
      </c>
      <c r="O94" s="1632">
        <f>IF((((G94/C94)*M94)+((G95/C94)*M95)+((G96/C94)*M96))&gt;=1,3.571428,IF((((G94/C94)*M94)+((G95/C94)*M95)+((G96/C94)*M96))&lt;=0,0,(((G94/C94)*M94)+((G95/C94)*M95)+((G96/C94)*M96))*3.571428))</f>
        <v>0</v>
      </c>
      <c r="P94" s="1630">
        <f>O94/3.571428</f>
        <v>0</v>
      </c>
      <c r="Q94" s="1236" t="s">
        <v>190</v>
      </c>
      <c r="R94" s="258"/>
      <c r="S94" s="652" t="s">
        <v>615</v>
      </c>
    </row>
    <row r="95" spans="1:19" ht="39.6" customHeight="1" x14ac:dyDescent="0.45">
      <c r="A95" s="1617"/>
      <c r="B95" s="1619"/>
      <c r="C95" s="1622"/>
      <c r="D95" s="1625"/>
      <c r="E95" s="1237">
        <f t="shared" ref="E95:E96" si="32">$C$94/3</f>
        <v>1.1904761904761905</v>
      </c>
      <c r="F95" s="1128" t="s">
        <v>270</v>
      </c>
      <c r="G95" s="1219">
        <f>E95/1</f>
        <v>1.1904761904761905</v>
      </c>
      <c r="H95" s="299"/>
      <c r="I95" s="514"/>
      <c r="J95" s="1220">
        <f>IF(AND(I95&gt;1,(H95-I95=0)),(H95-1),(H95-I95))</f>
        <v>0</v>
      </c>
      <c r="K95" s="1066">
        <f>IF(AND(I95&gt;=1,H95&gt;=1),"0",((1-I95)*(6/10)))</f>
        <v>0.6</v>
      </c>
      <c r="L95" s="1238">
        <f t="shared" ref="L95:L96" si="33">I95+K95</f>
        <v>0.6</v>
      </c>
      <c r="M95" s="989">
        <f>IF(I95&gt;=1,(1+(H95-1)/1),(J95/K95))</f>
        <v>0</v>
      </c>
      <c r="N95" s="1628"/>
      <c r="O95" s="1758"/>
      <c r="P95" s="1635"/>
      <c r="Q95" s="1239" t="s">
        <v>191</v>
      </c>
      <c r="R95" s="277"/>
      <c r="S95" s="652" t="s">
        <v>615</v>
      </c>
    </row>
    <row r="96" spans="1:19" ht="41.45" customHeight="1" thickBot="1" x14ac:dyDescent="0.5">
      <c r="A96" s="1617"/>
      <c r="B96" s="1620"/>
      <c r="C96" s="1623"/>
      <c r="D96" s="1626"/>
      <c r="E96" s="1090">
        <f t="shared" si="32"/>
        <v>1.1904761904761905</v>
      </c>
      <c r="F96" s="1024" t="s">
        <v>84</v>
      </c>
      <c r="G96" s="1228">
        <f>E96/1</f>
        <v>1.1904761904761905</v>
      </c>
      <c r="H96" s="99"/>
      <c r="I96" s="608"/>
      <c r="J96" s="1229">
        <f>H96-I96</f>
        <v>0</v>
      </c>
      <c r="K96" s="1208">
        <f>(100-I96)*(6/10)</f>
        <v>60</v>
      </c>
      <c r="L96" s="1230">
        <f t="shared" si="33"/>
        <v>60</v>
      </c>
      <c r="M96" s="950">
        <f>IF(K96&lt;&gt;0,J96/K96,"100%")</f>
        <v>0</v>
      </c>
      <c r="N96" s="1629"/>
      <c r="O96" s="1759"/>
      <c r="P96" s="1631"/>
      <c r="Q96" s="1240" t="s">
        <v>95</v>
      </c>
      <c r="R96" s="266"/>
      <c r="S96" s="652" t="s">
        <v>615</v>
      </c>
    </row>
    <row r="97" spans="1:19" ht="18" customHeight="1" thickBot="1" x14ac:dyDescent="0.5">
      <c r="B97" s="1636" t="s">
        <v>85</v>
      </c>
      <c r="C97" s="1637"/>
      <c r="D97" s="1637"/>
      <c r="E97" s="1637"/>
      <c r="F97" s="1638"/>
      <c r="G97" s="1241"/>
      <c r="H97" s="125"/>
      <c r="I97" s="126"/>
      <c r="J97" s="1241"/>
      <c r="K97" s="1242"/>
      <c r="L97" s="1242"/>
      <c r="M97" s="1243"/>
      <c r="N97" s="1244">
        <f>(N98+N99+N100)/3</f>
        <v>0</v>
      </c>
      <c r="O97" s="1245">
        <f>(O98+O99+O100)</f>
        <v>0</v>
      </c>
      <c r="P97" s="913">
        <f>O97/10.714284</f>
        <v>0</v>
      </c>
      <c r="Q97" s="1246"/>
      <c r="R97" s="336"/>
      <c r="S97" s="731"/>
    </row>
    <row r="98" spans="1:19" ht="29.45" customHeight="1" thickBot="1" x14ac:dyDescent="0.5">
      <c r="A98" s="22">
        <v>26</v>
      </c>
      <c r="B98" s="1032" t="s">
        <v>86</v>
      </c>
      <c r="C98" s="1033">
        <f>$M$5</f>
        <v>3.5714285714285716</v>
      </c>
      <c r="D98" s="1032" t="s">
        <v>215</v>
      </c>
      <c r="E98" s="1033">
        <f>C98/1</f>
        <v>3.5714285714285716</v>
      </c>
      <c r="F98" s="1163" t="s">
        <v>291</v>
      </c>
      <c r="G98" s="1033">
        <f>E98/1</f>
        <v>3.5714285714285716</v>
      </c>
      <c r="H98" s="683"/>
      <c r="I98" s="103"/>
      <c r="J98" s="1248">
        <f>IF(I98=H98,(H98-10),H98-I98)</f>
        <v>-10</v>
      </c>
      <c r="K98" s="1051">
        <f>IF(I98&gt;=10,0,((10-I98)*(6/10)))</f>
        <v>6</v>
      </c>
      <c r="L98" s="1158">
        <f>I98+K98</f>
        <v>6</v>
      </c>
      <c r="M98" s="989" t="str">
        <f>IF(H98=0,"0%",J98/K98)</f>
        <v>0%</v>
      </c>
      <c r="N98" s="1159">
        <f>((G98/C98)*M98)</f>
        <v>0</v>
      </c>
      <c r="O98" s="1041">
        <f>IF(((G98/C98)*M98)&gt;=1,3.571428,IF(((G98/C98)*M98)&lt;=0,0,((G98/C98)*M98)*3.571428))</f>
        <v>0</v>
      </c>
      <c r="P98" s="913">
        <f>O98/3.571428</f>
        <v>0</v>
      </c>
      <c r="Q98" s="1249" t="s">
        <v>95</v>
      </c>
      <c r="R98" s="753"/>
      <c r="S98" s="751" t="s">
        <v>615</v>
      </c>
    </row>
    <row r="99" spans="1:19" ht="35.25" thickBot="1" x14ac:dyDescent="0.5">
      <c r="A99" s="22">
        <v>27</v>
      </c>
      <c r="B99" s="1032" t="s">
        <v>87</v>
      </c>
      <c r="C99" s="1033">
        <f>$M$5</f>
        <v>3.5714285714285716</v>
      </c>
      <c r="D99" s="1032" t="s">
        <v>216</v>
      </c>
      <c r="E99" s="1033">
        <f>C99/1</f>
        <v>3.5714285714285716</v>
      </c>
      <c r="F99" s="1163" t="s">
        <v>271</v>
      </c>
      <c r="G99" s="1033">
        <f>E99/1</f>
        <v>3.5714285714285716</v>
      </c>
      <c r="H99" s="96"/>
      <c r="I99" s="103">
        <v>12.909000000000001</v>
      </c>
      <c r="J99" s="1248">
        <f>IF(I99=H99,(H99-75),H99-I99)</f>
        <v>-12.909000000000001</v>
      </c>
      <c r="K99" s="1051">
        <f>IF(I99&gt;=75,0,((75-I99)*(6/10)))</f>
        <v>37.254599999999996</v>
      </c>
      <c r="L99" s="1182">
        <f>I99+K99</f>
        <v>50.163599999999995</v>
      </c>
      <c r="M99" s="989" t="str">
        <f>IF(H99=0,"0%",J99/K99)</f>
        <v>0%</v>
      </c>
      <c r="N99" s="1159">
        <f>((G99/C99)*M99)</f>
        <v>0</v>
      </c>
      <c r="O99" s="1041">
        <f>IF(((G99/C99)*M99)&gt;=1,3.571428,IF(((G99/C99)*M99)&lt;=0,0,((G99/C99)*M99)*3.571428))</f>
        <v>0</v>
      </c>
      <c r="P99" s="913">
        <f>O99/3.571428</f>
        <v>0</v>
      </c>
      <c r="Q99" s="1249" t="s">
        <v>192</v>
      </c>
      <c r="R99" s="739"/>
      <c r="S99" s="730" t="s">
        <v>816</v>
      </c>
    </row>
    <row r="100" spans="1:19" ht="30.75" thickBot="1" x14ac:dyDescent="0.5">
      <c r="A100" s="1617">
        <v>28</v>
      </c>
      <c r="B100" s="1639" t="s">
        <v>88</v>
      </c>
      <c r="C100" s="1641">
        <f>M5</f>
        <v>3.5714285714285716</v>
      </c>
      <c r="D100" s="1639" t="s">
        <v>217</v>
      </c>
      <c r="E100" s="1641">
        <f>C100/1</f>
        <v>3.5714285714285716</v>
      </c>
      <c r="F100" s="1124" t="s">
        <v>89</v>
      </c>
      <c r="G100" s="931">
        <f>$E$100/2</f>
        <v>1.7857142857142858</v>
      </c>
      <c r="H100" s="97"/>
      <c r="I100" s="98">
        <v>106.006</v>
      </c>
      <c r="J100" s="1252">
        <f>IF(I100=H100,(25-H100),I100-H100)</f>
        <v>106.006</v>
      </c>
      <c r="K100" s="1105">
        <f>IF(I100&lt;=25,0,((0.25*I100)*(6/10)))</f>
        <v>15.9009</v>
      </c>
      <c r="L100" s="1253">
        <f>I100-K100</f>
        <v>90.105099999999993</v>
      </c>
      <c r="M100" s="989" t="str">
        <f>IF(H100=0,"0%",J100/K100)</f>
        <v>0%</v>
      </c>
      <c r="N100" s="1644">
        <f>((G100/$C$100)*M100)+((G101/$C$100)*M101)</f>
        <v>0</v>
      </c>
      <c r="O100" s="1723">
        <f>IF((((G100/C100)*M100)+((G101/C100)*M101))&gt;=1,3.57148,IF((((G100/C100)*M100)+((G101/C100)*M101))&lt;=0,0, (((G100/C100)*M100)+((G101/C100)*M101))*3.571428))</f>
        <v>0</v>
      </c>
      <c r="P100" s="1630">
        <f>O100/3.571428</f>
        <v>0</v>
      </c>
      <c r="Q100" s="1254" t="s">
        <v>193</v>
      </c>
      <c r="R100" s="754"/>
      <c r="S100" s="730" t="s">
        <v>816</v>
      </c>
    </row>
    <row r="101" spans="1:19" ht="38.450000000000003" customHeight="1" thickBot="1" x14ac:dyDescent="0.5">
      <c r="A101" s="1617"/>
      <c r="B101" s="1640"/>
      <c r="C101" s="1642"/>
      <c r="D101" s="1640"/>
      <c r="E101" s="1643"/>
      <c r="F101" s="1024" t="s">
        <v>90</v>
      </c>
      <c r="G101" s="944">
        <f>$E$100/2</f>
        <v>1.7857142857142858</v>
      </c>
      <c r="H101" s="99"/>
      <c r="I101" s="100"/>
      <c r="J101" s="1255">
        <f>IF(I101=H101,(H101-25),H101-I101)</f>
        <v>-25</v>
      </c>
      <c r="K101" s="994">
        <f>IF(I101&gt;=25,0,((25-I101)*(6/10)))</f>
        <v>15</v>
      </c>
      <c r="L101" s="1256">
        <f t="shared" ref="L101" si="34">K101+I101</f>
        <v>15</v>
      </c>
      <c r="M101" s="989" t="str">
        <f>IF(H101=0,"0%",J101/K101)</f>
        <v>0%</v>
      </c>
      <c r="N101" s="1645"/>
      <c r="O101" s="1760"/>
      <c r="P101" s="1631"/>
      <c r="Q101" s="1257" t="s">
        <v>95</v>
      </c>
      <c r="R101" s="740"/>
      <c r="S101" s="737" t="s">
        <v>615</v>
      </c>
    </row>
    <row r="102" spans="1:19" ht="34.25" customHeight="1" thickBot="1" x14ac:dyDescent="0.5">
      <c r="B102" s="1258" t="s">
        <v>194</v>
      </c>
      <c r="C102" s="1259">
        <f>C11+C13+C15+C19+C24+C33+C34+C35+C36+C38+C41+C44+C48+C51+C53+C61+C68+C71+C73+C75+C78+C81+C83+C87+C94+C98+C99+C100</f>
        <v>99.999999999999972</v>
      </c>
      <c r="D102" s="1260"/>
      <c r="E102" s="1259">
        <f>E11+E12+E13+E14+E15+E19+E20+E21+E22+E24+E25+E28+E31+E33+E34+E35+E36+E38+E39+E41+E42+E44+E45+E48+E49++E51+E53+E54+E55+E56+E57+E61+E62+E63+E64+E68+E71+E73+E75+E78+E81++E82+E83+E84+E85+E87+E88+E91+E94+E95+E96+E98+E99+E100</f>
        <v>100.00714285714285</v>
      </c>
      <c r="F102" s="1261"/>
      <c r="G102" s="1259">
        <f>G11+G12+G13+G14+G15+G16+G17+G19+G20+G21+G22+G24+G25+G26+G27+G28+G29+G30+G31+G33+G34+G35+G36+G38+G39+G41+G42+G44+G45+G48+G49+G51+G53+G54+G55+G56+G57+G58+G61+G62+G63+G64+G65+G66+G68+G71+G73+G75+G78+G81+G82+G83+G84+G85+G87+G88+G89+G90+G91+G94+G95+G96+G98+G99+G100+G101</f>
        <v>100.00714285714285</v>
      </c>
      <c r="H102" s="1262"/>
      <c r="I102" s="1263"/>
      <c r="J102" s="1262"/>
      <c r="K102" s="1264"/>
      <c r="L102" s="1261"/>
      <c r="M102" s="1265"/>
      <c r="N102" s="1266"/>
      <c r="O102" s="1267"/>
      <c r="P102" s="1267"/>
      <c r="Q102" s="1268"/>
      <c r="R102" s="26"/>
      <c r="S102" s="27"/>
    </row>
    <row r="104" spans="1:19" ht="15.75" x14ac:dyDescent="0.5">
      <c r="B104" s="28"/>
    </row>
    <row r="107" spans="1:19" ht="15.75" x14ac:dyDescent="0.5">
      <c r="B107" s="28"/>
    </row>
    <row r="108" spans="1:19" x14ac:dyDescent="0.45">
      <c r="B108" s="29"/>
    </row>
    <row r="109" spans="1:19" x14ac:dyDescent="0.45">
      <c r="B109" s="29"/>
    </row>
    <row r="111" spans="1:19" x14ac:dyDescent="0.45">
      <c r="E111"/>
      <c r="F111" s="1269" t="s">
        <v>196</v>
      </c>
    </row>
    <row r="112" spans="1:19" x14ac:dyDescent="0.45">
      <c r="E112" s="1270">
        <v>1</v>
      </c>
      <c r="F112" s="1270" t="s">
        <v>197</v>
      </c>
    </row>
    <row r="113" spans="5:6" x14ac:dyDescent="0.45">
      <c r="E113" s="1270">
        <v>2</v>
      </c>
      <c r="F113" s="1270" t="s">
        <v>227</v>
      </c>
    </row>
    <row r="114" spans="5:6" x14ac:dyDescent="0.45">
      <c r="E114" s="1270">
        <v>3</v>
      </c>
      <c r="F114" s="1270" t="s">
        <v>228</v>
      </c>
    </row>
    <row r="115" spans="5:6" x14ac:dyDescent="0.45">
      <c r="E115" s="1270">
        <v>4</v>
      </c>
      <c r="F115" s="1270" t="s">
        <v>229</v>
      </c>
    </row>
    <row r="116" spans="5:6" x14ac:dyDescent="0.45">
      <c r="E116" s="1270">
        <v>5</v>
      </c>
      <c r="F116" s="1270" t="s">
        <v>198</v>
      </c>
    </row>
    <row r="117" spans="5:6" x14ac:dyDescent="0.45">
      <c r="E117" s="1270">
        <v>6</v>
      </c>
      <c r="F117" s="1270" t="s">
        <v>230</v>
      </c>
    </row>
    <row r="118" spans="5:6" x14ac:dyDescent="0.45">
      <c r="E118" s="1270">
        <v>7</v>
      </c>
      <c r="F118" s="1270" t="s">
        <v>231</v>
      </c>
    </row>
    <row r="119" spans="5:6" x14ac:dyDescent="0.45">
      <c r="E119" s="1270">
        <v>8</v>
      </c>
      <c r="F119" s="1270" t="s">
        <v>199</v>
      </c>
    </row>
    <row r="120" spans="5:6" x14ac:dyDescent="0.45">
      <c r="E120" s="1270">
        <v>9</v>
      </c>
      <c r="F120" s="1270" t="s">
        <v>200</v>
      </c>
    </row>
    <row r="121" spans="5:6" x14ac:dyDescent="0.45">
      <c r="E121" s="1270">
        <v>10</v>
      </c>
      <c r="F121" s="1270" t="s">
        <v>201</v>
      </c>
    </row>
    <row r="122" spans="5:6" x14ac:dyDescent="0.45">
      <c r="E122" s="1270">
        <v>11</v>
      </c>
      <c r="F122" s="1270" t="s">
        <v>232</v>
      </c>
    </row>
    <row r="123" spans="5:6" x14ac:dyDescent="0.45">
      <c r="E123" s="1270">
        <v>12</v>
      </c>
      <c r="F123" s="1270" t="s">
        <v>202</v>
      </c>
    </row>
    <row r="124" spans="5:6" x14ac:dyDescent="0.45">
      <c r="E124" s="1270">
        <f t="shared" ref="E124:E145" si="35">E123+1</f>
        <v>13</v>
      </c>
      <c r="F124" s="1270" t="s">
        <v>203</v>
      </c>
    </row>
    <row r="125" spans="5:6" x14ac:dyDescent="0.45">
      <c r="E125" s="1270">
        <v>14</v>
      </c>
      <c r="F125" s="1270" t="s">
        <v>233</v>
      </c>
    </row>
    <row r="126" spans="5:6" x14ac:dyDescent="0.45">
      <c r="E126" s="1270">
        <v>15</v>
      </c>
      <c r="F126" s="1270" t="s">
        <v>234</v>
      </c>
    </row>
    <row r="127" spans="5:6" x14ac:dyDescent="0.45">
      <c r="E127" s="1270">
        <v>16</v>
      </c>
      <c r="F127" s="1270" t="s">
        <v>213</v>
      </c>
    </row>
    <row r="128" spans="5:6" x14ac:dyDescent="0.45">
      <c r="E128" s="1270">
        <v>17</v>
      </c>
      <c r="F128" s="1270" t="s">
        <v>235</v>
      </c>
    </row>
    <row r="129" spans="5:6" x14ac:dyDescent="0.45">
      <c r="E129" s="1270">
        <v>18</v>
      </c>
      <c r="F129" s="1270" t="s">
        <v>263</v>
      </c>
    </row>
    <row r="130" spans="5:6" x14ac:dyDescent="0.45">
      <c r="E130" s="1270">
        <v>19</v>
      </c>
      <c r="F130" s="1270" t="s">
        <v>204</v>
      </c>
    </row>
    <row r="131" spans="5:6" x14ac:dyDescent="0.45">
      <c r="E131" s="1270">
        <v>20</v>
      </c>
      <c r="F131" s="1270" t="s">
        <v>236</v>
      </c>
    </row>
    <row r="132" spans="5:6" x14ac:dyDescent="0.45">
      <c r="E132" s="1270">
        <v>21</v>
      </c>
      <c r="F132" s="1270" t="s">
        <v>237</v>
      </c>
    </row>
    <row r="133" spans="5:6" x14ac:dyDescent="0.45">
      <c r="E133" s="1270">
        <v>22</v>
      </c>
      <c r="F133" s="1270" t="s">
        <v>238</v>
      </c>
    </row>
    <row r="134" spans="5:6" x14ac:dyDescent="0.45">
      <c r="E134" s="1270">
        <v>23</v>
      </c>
      <c r="F134" s="1270" t="s">
        <v>205</v>
      </c>
    </row>
    <row r="135" spans="5:6" x14ac:dyDescent="0.45">
      <c r="E135" s="1270">
        <v>24</v>
      </c>
      <c r="F135" s="1270" t="s">
        <v>239</v>
      </c>
    </row>
    <row r="136" spans="5:6" x14ac:dyDescent="0.45">
      <c r="E136" s="1270">
        <v>25</v>
      </c>
      <c r="F136" s="1270" t="s">
        <v>240</v>
      </c>
    </row>
    <row r="137" spans="5:6" x14ac:dyDescent="0.45">
      <c r="E137" s="1270">
        <v>26</v>
      </c>
      <c r="F137" s="1270" t="s">
        <v>241</v>
      </c>
    </row>
    <row r="138" spans="5:6" x14ac:dyDescent="0.45">
      <c r="E138" s="1270">
        <v>27</v>
      </c>
      <c r="F138" s="1270" t="s">
        <v>206</v>
      </c>
    </row>
    <row r="139" spans="5:6" x14ac:dyDescent="0.45">
      <c r="E139" s="1270">
        <v>28</v>
      </c>
      <c r="F139" s="1270" t="s">
        <v>242</v>
      </c>
    </row>
    <row r="140" spans="5:6" x14ac:dyDescent="0.45">
      <c r="E140" s="1270">
        <v>29</v>
      </c>
      <c r="F140" s="1270" t="s">
        <v>243</v>
      </c>
    </row>
    <row r="141" spans="5:6" x14ac:dyDescent="0.45">
      <c r="E141" s="1270">
        <v>30</v>
      </c>
      <c r="F141" s="1270" t="s">
        <v>244</v>
      </c>
    </row>
    <row r="142" spans="5:6" x14ac:dyDescent="0.45">
      <c r="E142" s="1270">
        <v>31</v>
      </c>
      <c r="F142" s="1270" t="s">
        <v>245</v>
      </c>
    </row>
    <row r="143" spans="5:6" x14ac:dyDescent="0.45">
      <c r="E143" s="1270">
        <v>32</v>
      </c>
      <c r="F143" s="1270" t="s">
        <v>246</v>
      </c>
    </row>
    <row r="144" spans="5:6" x14ac:dyDescent="0.45">
      <c r="E144" s="1270">
        <v>33</v>
      </c>
      <c r="F144" s="1270" t="s">
        <v>207</v>
      </c>
    </row>
    <row r="145" spans="5:6" x14ac:dyDescent="0.45">
      <c r="E145" s="1270">
        <f t="shared" si="35"/>
        <v>34</v>
      </c>
      <c r="F145" s="1270" t="s">
        <v>208</v>
      </c>
    </row>
    <row r="146" spans="5:6" x14ac:dyDescent="0.45">
      <c r="E146" s="1270">
        <v>35</v>
      </c>
      <c r="F146" s="1270" t="s">
        <v>247</v>
      </c>
    </row>
    <row r="147" spans="5:6" x14ac:dyDescent="0.45">
      <c r="E147" s="1270">
        <v>36</v>
      </c>
      <c r="F147" s="1270" t="s">
        <v>248</v>
      </c>
    </row>
    <row r="148" spans="5:6" x14ac:dyDescent="0.45">
      <c r="E148" s="1270">
        <v>36</v>
      </c>
      <c r="F148" s="1270" t="s">
        <v>249</v>
      </c>
    </row>
    <row r="149" spans="5:6" x14ac:dyDescent="0.45">
      <c r="E149" s="1270">
        <v>38</v>
      </c>
      <c r="F149" s="1270" t="s">
        <v>250</v>
      </c>
    </row>
    <row r="150" spans="5:6" x14ac:dyDescent="0.45">
      <c r="E150" s="1270">
        <v>39</v>
      </c>
      <c r="F150" s="1270" t="s">
        <v>251</v>
      </c>
    </row>
    <row r="151" spans="5:6" x14ac:dyDescent="0.45">
      <c r="E151" s="1270">
        <v>40</v>
      </c>
      <c r="F151" s="1270" t="s">
        <v>209</v>
      </c>
    </row>
    <row r="152" spans="5:6" x14ac:dyDescent="0.45">
      <c r="E152" s="1270">
        <v>41</v>
      </c>
      <c r="F152" s="1270" t="s">
        <v>264</v>
      </c>
    </row>
    <row r="153" spans="5:6" x14ac:dyDescent="0.45">
      <c r="E153" s="1270">
        <v>42</v>
      </c>
      <c r="F153" s="1270" t="s">
        <v>252</v>
      </c>
    </row>
    <row r="154" spans="5:6" x14ac:dyDescent="0.45">
      <c r="E154" s="1270">
        <v>43</v>
      </c>
      <c r="F154" s="1270" t="s">
        <v>253</v>
      </c>
    </row>
    <row r="155" spans="5:6" x14ac:dyDescent="0.45">
      <c r="E155" s="1270">
        <v>44</v>
      </c>
      <c r="F155" s="1270" t="s">
        <v>254</v>
      </c>
    </row>
    <row r="156" spans="5:6" x14ac:dyDescent="0.45">
      <c r="E156" s="1270">
        <v>45</v>
      </c>
      <c r="F156" s="1270" t="s">
        <v>210</v>
      </c>
    </row>
    <row r="157" spans="5:6" x14ac:dyDescent="0.45">
      <c r="E157" s="1270">
        <v>46</v>
      </c>
      <c r="F157" s="1270" t="s">
        <v>255</v>
      </c>
    </row>
    <row r="158" spans="5:6" x14ac:dyDescent="0.45">
      <c r="E158" s="1270">
        <v>47</v>
      </c>
      <c r="F158" s="1270" t="s">
        <v>211</v>
      </c>
    </row>
    <row r="159" spans="5:6" x14ac:dyDescent="0.45">
      <c r="E159" s="1270">
        <v>48</v>
      </c>
      <c r="F159" s="1270" t="s">
        <v>256</v>
      </c>
    </row>
    <row r="160" spans="5:6" x14ac:dyDescent="0.45">
      <c r="E160" s="1270">
        <v>49</v>
      </c>
      <c r="F160" s="1270" t="s">
        <v>257</v>
      </c>
    </row>
    <row r="161" spans="5:6" x14ac:dyDescent="0.45">
      <c r="E161" s="1270">
        <v>50</v>
      </c>
      <c r="F161" s="1270" t="s">
        <v>260</v>
      </c>
    </row>
    <row r="162" spans="5:6" x14ac:dyDescent="0.45">
      <c r="E162" s="1270">
        <v>51</v>
      </c>
      <c r="F162" s="1270" t="s">
        <v>258</v>
      </c>
    </row>
    <row r="163" spans="5:6" x14ac:dyDescent="0.45">
      <c r="E163" s="1270">
        <v>52</v>
      </c>
      <c r="F163" s="1270" t="s">
        <v>212</v>
      </c>
    </row>
    <row r="164" spans="5:6" x14ac:dyDescent="0.45">
      <c r="E164" s="1270">
        <v>53</v>
      </c>
      <c r="F164" s="1270" t="s">
        <v>259</v>
      </c>
    </row>
    <row r="165" spans="5:6" x14ac:dyDescent="0.45">
      <c r="E165" s="1270">
        <v>54</v>
      </c>
      <c r="F165" s="1270" t="s">
        <v>261</v>
      </c>
    </row>
    <row r="166" spans="5:6" x14ac:dyDescent="0.45">
      <c r="E166" s="1270">
        <v>55</v>
      </c>
      <c r="F166" s="1270" t="s">
        <v>262</v>
      </c>
    </row>
    <row r="167" spans="5:6" x14ac:dyDescent="0.45">
      <c r="E167"/>
      <c r="F167"/>
    </row>
    <row r="168" spans="5:6" x14ac:dyDescent="0.45">
      <c r="E168"/>
      <c r="F168"/>
    </row>
  </sheetData>
  <sheetProtection algorithmName="SHA-512" hashValue="2YSuTuqxXxoWdzQNQkRUWTs6g7uzHhEjZa3x65yr3xzfzrSeZh9Kw5R4iPDsv43B3iSGsE2k/ybfNqoU/21KEQ==" saltValue="RHSsACKSRnNoaXRaL0fagQ==" spinCount="100000" sheet="1" objects="1" scenarios="1"/>
  <mergeCells count="140">
    <mergeCell ref="K4:M4"/>
    <mergeCell ref="B5:K5"/>
    <mergeCell ref="B6:F6"/>
    <mergeCell ref="B7:F7"/>
    <mergeCell ref="B9:F9"/>
    <mergeCell ref="B10:F10"/>
    <mergeCell ref="A13:A14"/>
    <mergeCell ref="B13:B14"/>
    <mergeCell ref="C13:C14"/>
    <mergeCell ref="N13:N14"/>
    <mergeCell ref="O13:O14"/>
    <mergeCell ref="P13:P14"/>
    <mergeCell ref="A11:A12"/>
    <mergeCell ref="B11:B12"/>
    <mergeCell ref="C11:C12"/>
    <mergeCell ref="N11:N12"/>
    <mergeCell ref="O11:O12"/>
    <mergeCell ref="P11:P1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B37:F37"/>
    <mergeCell ref="A38:A39"/>
    <mergeCell ref="B38:B39"/>
    <mergeCell ref="C38:C39"/>
    <mergeCell ref="N38:N39"/>
    <mergeCell ref="O38:O39"/>
    <mergeCell ref="P24:P31"/>
    <mergeCell ref="D25:D27"/>
    <mergeCell ref="E25:E27"/>
    <mergeCell ref="D28:D30"/>
    <mergeCell ref="E28:E30"/>
    <mergeCell ref="B32:F32"/>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77:F77"/>
    <mergeCell ref="B79:F79"/>
    <mergeCell ref="B80:F80"/>
    <mergeCell ref="B81:B82"/>
    <mergeCell ref="C81:C82"/>
    <mergeCell ref="N81:N82"/>
    <mergeCell ref="B67:F67"/>
    <mergeCell ref="B69:F69"/>
    <mergeCell ref="B70:F70"/>
    <mergeCell ref="B72:F72"/>
    <mergeCell ref="B74:F74"/>
    <mergeCell ref="B76:F76"/>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69 O10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80 O59">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A03CAE5A-984A-4705-8D34-3F166A006691}">
      <formula1>$F$112:$F$166</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95A147-E161-49CA-A11C-BD65DDBD534E}">
  <dimension ref="A1:AA168"/>
  <sheetViews>
    <sheetView topLeftCell="B49" zoomScale="60" zoomScaleNormal="60" workbookViewId="0">
      <selection activeCell="I55" sqref="I55"/>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4" style="5" customWidth="1"/>
    <col min="10" max="10" width="12.19921875" style="5" customWidth="1"/>
    <col min="11" max="11" width="15.796875" style="5" customWidth="1"/>
    <col min="12" max="12" width="16.06640625" style="5" customWidth="1"/>
    <col min="13" max="13" width="12.19921875" style="5" customWidth="1"/>
    <col min="14" max="14" width="15.33203125" style="5" customWidth="1"/>
    <col min="15" max="16" width="15.3320312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871"/>
      <c r="P1" s="871"/>
      <c r="Q1" s="871"/>
      <c r="R1" s="3"/>
      <c r="S1" s="4"/>
      <c r="U1" s="872"/>
      <c r="V1" s="872"/>
      <c r="W1" s="872"/>
      <c r="X1" s="872"/>
      <c r="Y1" s="872"/>
      <c r="Z1" s="872"/>
      <c r="AA1" s="872"/>
    </row>
    <row r="2" spans="1:27" ht="30" x14ac:dyDescent="1.1000000000000001">
      <c r="B2" s="873"/>
      <c r="C2" s="874"/>
      <c r="D2" s="875" t="s">
        <v>286</v>
      </c>
      <c r="E2" s="874"/>
      <c r="F2" s="876"/>
      <c r="G2" s="876"/>
      <c r="H2" s="876"/>
      <c r="I2" s="876"/>
      <c r="J2" s="876"/>
      <c r="K2" s="876"/>
      <c r="L2" s="876"/>
      <c r="M2" s="876"/>
      <c r="N2" s="876"/>
      <c r="O2" s="874"/>
      <c r="P2" s="874"/>
      <c r="Q2" s="874"/>
      <c r="R2" s="876"/>
      <c r="S2" s="6"/>
    </row>
    <row r="3" spans="1:27" ht="14.65" thickBot="1" x14ac:dyDescent="0.5">
      <c r="B3" s="877"/>
      <c r="C3" s="878"/>
      <c r="D3" s="878"/>
      <c r="E3" s="878"/>
      <c r="F3" s="879"/>
      <c r="G3" s="879"/>
      <c r="H3" s="879"/>
      <c r="I3" s="879"/>
      <c r="J3" s="879"/>
      <c r="K3" s="879"/>
      <c r="L3" s="879"/>
      <c r="M3" s="879"/>
      <c r="N3" s="879"/>
      <c r="O3" s="878"/>
      <c r="P3" s="878"/>
      <c r="Q3" s="878"/>
      <c r="R3" s="879"/>
      <c r="S3" s="7"/>
    </row>
    <row r="4" spans="1:27" ht="26.45" customHeight="1" thickBot="1" x14ac:dyDescent="0.5">
      <c r="B4" s="877"/>
      <c r="C4" s="878"/>
      <c r="D4" s="880" t="s">
        <v>195</v>
      </c>
      <c r="E4" s="878"/>
      <c r="F4" s="8" t="s">
        <v>258</v>
      </c>
      <c r="G4" s="879"/>
      <c r="H4" s="879"/>
      <c r="I4" s="879"/>
      <c r="J4" s="879"/>
      <c r="K4" s="1737" t="s">
        <v>723</v>
      </c>
      <c r="L4" s="1738"/>
      <c r="M4" s="1739"/>
      <c r="N4" s="881">
        <f>(N9+N46+N59+N69+N76+N79+N92)/7</f>
        <v>0.55973438676599829</v>
      </c>
      <c r="O4" s="882">
        <f>(O9+O46+O59+O69+O76+O79+O92)</f>
        <v>49.100650879790294</v>
      </c>
      <c r="P4" s="881">
        <f>O4/100</f>
        <v>0.49100650879790292</v>
      </c>
      <c r="Q4" s="878"/>
      <c r="R4" s="879"/>
      <c r="S4" s="7"/>
    </row>
    <row r="5" spans="1:27" ht="18.399999999999999" thickBot="1" x14ac:dyDescent="0.6">
      <c r="B5" s="1740"/>
      <c r="C5" s="1741"/>
      <c r="D5" s="1741"/>
      <c r="E5" s="1741"/>
      <c r="F5" s="1741"/>
      <c r="G5" s="1741"/>
      <c r="H5" s="1741"/>
      <c r="I5" s="1741"/>
      <c r="J5" s="1741"/>
      <c r="K5" s="1741"/>
      <c r="L5" s="68"/>
      <c r="M5" s="883">
        <f>100/28</f>
        <v>3.5714285714285716</v>
      </c>
      <c r="N5" s="9"/>
      <c r="O5" s="1378"/>
      <c r="P5" s="1378"/>
      <c r="Q5" s="884"/>
      <c r="R5" s="9"/>
      <c r="S5" s="10"/>
    </row>
    <row r="6" spans="1:27" ht="33.6" customHeight="1" thickBot="1" x14ac:dyDescent="0.5">
      <c r="B6" s="1742"/>
      <c r="C6" s="1743"/>
      <c r="D6" s="1743"/>
      <c r="E6" s="1743"/>
      <c r="F6" s="1744"/>
      <c r="G6" s="885"/>
      <c r="H6" s="885"/>
      <c r="I6" s="885"/>
      <c r="J6" s="885"/>
      <c r="K6" s="885"/>
      <c r="L6" s="885"/>
      <c r="M6" s="885"/>
      <c r="N6" s="886"/>
      <c r="O6" s="887"/>
      <c r="P6" s="887"/>
      <c r="Q6" s="886"/>
      <c r="R6" s="12"/>
      <c r="S6" s="13"/>
    </row>
    <row r="7" spans="1:27" ht="55.8" customHeight="1" thickBot="1" x14ac:dyDescent="0.5">
      <c r="B7" s="1745"/>
      <c r="C7" s="1746"/>
      <c r="D7" s="1746"/>
      <c r="E7" s="1746"/>
      <c r="F7" s="1747"/>
      <c r="G7" s="888"/>
      <c r="H7" s="889" t="s">
        <v>218</v>
      </c>
      <c r="I7" s="890" t="s">
        <v>219</v>
      </c>
      <c r="J7" s="891" t="s">
        <v>91</v>
      </c>
      <c r="K7" s="892" t="s">
        <v>107</v>
      </c>
      <c r="L7" s="892" t="s">
        <v>104</v>
      </c>
      <c r="M7" s="892" t="s">
        <v>105</v>
      </c>
      <c r="N7" s="890" t="s">
        <v>106</v>
      </c>
      <c r="O7" s="890" t="s">
        <v>646</v>
      </c>
      <c r="P7" s="893" t="s">
        <v>647</v>
      </c>
      <c r="Q7" s="894" t="s">
        <v>93</v>
      </c>
      <c r="R7" s="895" t="s">
        <v>110</v>
      </c>
      <c r="S7" s="896" t="s">
        <v>103</v>
      </c>
    </row>
    <row r="8" spans="1:27" ht="25.25" customHeight="1" thickBot="1" x14ac:dyDescent="0.5">
      <c r="B8" s="897" t="s">
        <v>2</v>
      </c>
      <c r="C8" s="897" t="s">
        <v>92</v>
      </c>
      <c r="D8" s="897" t="s">
        <v>3</v>
      </c>
      <c r="E8" s="897" t="s">
        <v>94</v>
      </c>
      <c r="F8" s="897" t="s">
        <v>102</v>
      </c>
      <c r="G8" s="897" t="s">
        <v>96</v>
      </c>
      <c r="H8" s="898"/>
      <c r="I8" s="899"/>
      <c r="J8" s="898"/>
      <c r="K8" s="900"/>
      <c r="L8" s="900"/>
      <c r="M8" s="897"/>
      <c r="N8" s="901"/>
      <c r="O8" s="902"/>
      <c r="P8" s="903"/>
      <c r="Q8" s="899"/>
      <c r="R8" s="901"/>
      <c r="S8" s="901"/>
      <c r="V8" s="904" t="s">
        <v>151</v>
      </c>
      <c r="W8" s="905"/>
      <c r="X8" s="905"/>
      <c r="Y8" s="905"/>
      <c r="Z8" s="906"/>
    </row>
    <row r="9" spans="1:27" s="207" customFormat="1" ht="25.25" customHeight="1" thickBot="1" x14ac:dyDescent="0.5">
      <c r="B9" s="1748" t="s">
        <v>0</v>
      </c>
      <c r="C9" s="1749"/>
      <c r="D9" s="1749"/>
      <c r="E9" s="1749"/>
      <c r="F9" s="1750"/>
      <c r="G9" s="907"/>
      <c r="H9" s="908"/>
      <c r="I9" s="909"/>
      <c r="J9" s="910"/>
      <c r="K9" s="910"/>
      <c r="L9" s="910"/>
      <c r="M9" s="907"/>
      <c r="N9" s="911">
        <f>(N10+N18+N23+N32+N37+N40+N43)/7</f>
        <v>1.3243822553384486</v>
      </c>
      <c r="O9" s="912">
        <f>(O10+O18+O23+O32+O37+O40+O43)</f>
        <v>23.888155144916116</v>
      </c>
      <c r="P9" s="913">
        <f>O9/42.857136</f>
        <v>0.55739037589716955</v>
      </c>
      <c r="Q9" s="910"/>
      <c r="R9" s="914"/>
      <c r="S9" s="914"/>
      <c r="U9" s="915"/>
      <c r="V9" s="916"/>
      <c r="W9" s="917"/>
      <c r="X9" s="917"/>
      <c r="Y9" s="917"/>
      <c r="Z9" s="918"/>
      <c r="AA9" s="915"/>
    </row>
    <row r="10" spans="1:27" s="109" customFormat="1" ht="25.25" customHeight="1" thickBot="1" x14ac:dyDescent="0.5">
      <c r="B10" s="1751" t="s">
        <v>1</v>
      </c>
      <c r="C10" s="1752"/>
      <c r="D10" s="1752"/>
      <c r="E10" s="1752"/>
      <c r="F10" s="1753"/>
      <c r="G10" s="919"/>
      <c r="H10" s="920"/>
      <c r="I10" s="921"/>
      <c r="J10" s="922"/>
      <c r="K10" s="922"/>
      <c r="L10" s="922"/>
      <c r="M10" s="919"/>
      <c r="N10" s="911">
        <f>(N11+N13+N15)/3</f>
        <v>4.1090963905029092</v>
      </c>
      <c r="O10" s="912">
        <f>(O11+O13+O15)</f>
        <v>7.4520899965550242</v>
      </c>
      <c r="P10" s="913">
        <f>O10/10.714284</f>
        <v>0.6955285109630307</v>
      </c>
      <c r="Q10" s="922"/>
      <c r="R10" s="923"/>
      <c r="S10" s="923"/>
      <c r="U10" s="924"/>
      <c r="V10" s="925"/>
      <c r="W10" s="926"/>
      <c r="X10" s="926"/>
      <c r="Y10" s="926"/>
      <c r="Z10" s="927"/>
      <c r="AA10" s="924"/>
    </row>
    <row r="11" spans="1:27" ht="27.6" customHeight="1" x14ac:dyDescent="0.45">
      <c r="A11" s="1617">
        <v>1</v>
      </c>
      <c r="B11" s="1733" t="s">
        <v>4</v>
      </c>
      <c r="C11" s="1735">
        <f>M5</f>
        <v>3.5714285714285716</v>
      </c>
      <c r="D11" s="928" t="s">
        <v>111</v>
      </c>
      <c r="E11" s="929">
        <f>$C$11/2</f>
        <v>1.7857142857142858</v>
      </c>
      <c r="F11" s="930" t="s">
        <v>5</v>
      </c>
      <c r="G11" s="931">
        <f>E11/1</f>
        <v>1.7857142857142858</v>
      </c>
      <c r="H11" s="302">
        <v>723.1</v>
      </c>
      <c r="I11" s="303">
        <v>663.8</v>
      </c>
      <c r="J11" s="932">
        <f>(H11-I11)</f>
        <v>59.300000000000068</v>
      </c>
      <c r="K11" s="933">
        <f>(0.3*I11)*6/10</f>
        <v>119.48399999999999</v>
      </c>
      <c r="L11" s="934">
        <f>I11+K11</f>
        <v>783.28399999999999</v>
      </c>
      <c r="M11" s="935">
        <f>IF(K11&lt;&gt;0,J11/K11,"0%")</f>
        <v>0.49630075993438511</v>
      </c>
      <c r="N11" s="1731">
        <f>(((G11/C11)*M11)+((G12/C11)*M12))</f>
        <v>1.581483713300526</v>
      </c>
      <c r="O11" s="1646">
        <f>IF((((G11/C11)*M11)+((G12/C11)*M12))&gt;=1,3.57148,IF((((G11/C11)*M11)+((G12/C11)*M12))&lt;=0,0, (((G11/C11)*M11)+((G12/C11)*M12))*3.571428))</f>
        <v>3.5714800000000002</v>
      </c>
      <c r="P11" s="1630">
        <f>O11/3.571428</f>
        <v>1.0000145600023296</v>
      </c>
      <c r="Q11" s="936" t="s">
        <v>97</v>
      </c>
      <c r="R11" s="764" t="s">
        <v>724</v>
      </c>
      <c r="S11" s="765" t="s">
        <v>725</v>
      </c>
      <c r="V11" s="937" t="s">
        <v>109</v>
      </c>
      <c r="W11" s="938" t="e">
        <f>#REF!</f>
        <v>#REF!</v>
      </c>
      <c r="X11" s="939"/>
      <c r="Y11" s="939"/>
      <c r="Z11" s="940"/>
    </row>
    <row r="12" spans="1:27" ht="27" customHeight="1" thickBot="1" x14ac:dyDescent="0.5">
      <c r="A12" s="1617"/>
      <c r="B12" s="1734"/>
      <c r="C12" s="1736"/>
      <c r="D12" s="941" t="s">
        <v>112</v>
      </c>
      <c r="E12" s="942">
        <f>$C$11/2</f>
        <v>1.7857142857142858</v>
      </c>
      <c r="F12" s="943" t="s">
        <v>281</v>
      </c>
      <c r="G12" s="944">
        <f>E12/1</f>
        <v>1.7857142857142858</v>
      </c>
      <c r="H12" s="1322">
        <v>3.9</v>
      </c>
      <c r="I12" s="1323">
        <v>6.5</v>
      </c>
      <c r="J12" s="947">
        <f>I12-H12</f>
        <v>2.6</v>
      </c>
      <c r="K12" s="948">
        <f>(0.25*I12)*(6/10)</f>
        <v>0.97499999999999998</v>
      </c>
      <c r="L12" s="949">
        <f>I12-K12</f>
        <v>5.5250000000000004</v>
      </c>
      <c r="M12" s="950">
        <f>IF(K12&lt;&gt;0,J12/K12,"0%")</f>
        <v>2.666666666666667</v>
      </c>
      <c r="N12" s="1732"/>
      <c r="O12" s="1647"/>
      <c r="P12" s="1631"/>
      <c r="Q12" s="951" t="s">
        <v>98</v>
      </c>
      <c r="R12" s="766" t="s">
        <v>726</v>
      </c>
      <c r="S12" s="259" t="s">
        <v>727</v>
      </c>
      <c r="V12" s="952">
        <v>0.02</v>
      </c>
      <c r="W12" s="953" t="e">
        <f>(W11-(W11*V12))</f>
        <v>#REF!</v>
      </c>
      <c r="X12" s="953" t="e">
        <f>W11-(V12*W11)</f>
        <v>#REF!</v>
      </c>
      <c r="Y12" s="939"/>
      <c r="Z12" s="940"/>
    </row>
    <row r="13" spans="1:27" ht="32.450000000000003" customHeight="1" x14ac:dyDescent="0.45">
      <c r="A13" s="1617">
        <v>2</v>
      </c>
      <c r="B13" s="1754" t="s">
        <v>6</v>
      </c>
      <c r="C13" s="1756">
        <f>M5</f>
        <v>3.5714285714285716</v>
      </c>
      <c r="D13" s="954" t="s">
        <v>273</v>
      </c>
      <c r="E13" s="955">
        <f>$C$13/2</f>
        <v>1.7857142857142858</v>
      </c>
      <c r="F13" s="956" t="s">
        <v>7</v>
      </c>
      <c r="G13" s="957">
        <f>E13/1</f>
        <v>1.7857142857142858</v>
      </c>
      <c r="H13" s="304">
        <v>15.2</v>
      </c>
      <c r="I13" s="305">
        <v>16</v>
      </c>
      <c r="J13" s="959">
        <f>IF(I13=H13,(5-H13),I13-H13)</f>
        <v>0.80000000000000071</v>
      </c>
      <c r="K13" s="960">
        <f>IF(I13&lt;=5,0,((I13-5)*(6/10)))</f>
        <v>6.6</v>
      </c>
      <c r="L13" s="961">
        <f>I13-K13</f>
        <v>9.4</v>
      </c>
      <c r="M13" s="962">
        <f>IF(I13&lt;=5,(1+(5-H13)/5),(J13/K13))</f>
        <v>0.12121212121212133</v>
      </c>
      <c r="N13" s="1731">
        <f>(((G13/C13)*M13)+((G14/C13)*M14))</f>
        <v>8.6570972886762368E-2</v>
      </c>
      <c r="O13" s="1646">
        <f>IF((((G13/C13)*M13)+((G14/C13)*M14))&gt;=1,3.57148,IF((((G13/C13)*M13)+((G14/C13)*M14))&lt;=0,0, (((G13/C13)*M13)+((G14/C13)*M14))*3.571428))</f>
        <v>0.30918199655502393</v>
      </c>
      <c r="P13" s="1630">
        <f>O13/3.571428</f>
        <v>8.6570972886762368E-2</v>
      </c>
      <c r="Q13" s="963" t="s">
        <v>99</v>
      </c>
      <c r="R13" s="767" t="s">
        <v>728</v>
      </c>
      <c r="S13" s="768" t="s">
        <v>729</v>
      </c>
      <c r="V13" s="952">
        <v>0.02</v>
      </c>
      <c r="W13" s="953" t="e">
        <f>(#REF!-(#REF!*V13))</f>
        <v>#REF!</v>
      </c>
      <c r="X13" s="953" t="e">
        <f>(W11-(V12*W11))-((W11-(V12*W11))*0.02)-(((W11-(V12*W11))-((W11-(V12*W11))*0.02))*0.02)-(((W11-(V12*W11))-((W11-(V12*W11))*0.02)-(((W11-(V12*W11))-((W11-(V12*W11))*0.02))*0.02))*0.02)</f>
        <v>#REF!</v>
      </c>
      <c r="Y13" s="964" t="e">
        <f>(W11-W14)/W11</f>
        <v>#REF!</v>
      </c>
      <c r="Z13" s="940"/>
    </row>
    <row r="14" spans="1:27" ht="33" customHeight="1" thickBot="1" x14ac:dyDescent="0.5">
      <c r="A14" s="1617"/>
      <c r="B14" s="1755"/>
      <c r="C14" s="1757"/>
      <c r="D14" s="941" t="s">
        <v>274</v>
      </c>
      <c r="E14" s="965">
        <f>$C$13/2</f>
        <v>1.7857142857142858</v>
      </c>
      <c r="F14" s="966" t="s">
        <v>8</v>
      </c>
      <c r="G14" s="967">
        <f>E14/1</f>
        <v>1.7857142857142858</v>
      </c>
      <c r="H14" s="306">
        <v>51.48</v>
      </c>
      <c r="I14" s="307">
        <v>50</v>
      </c>
      <c r="J14" s="968">
        <f>H14-I14</f>
        <v>1.4799999999999969</v>
      </c>
      <c r="K14" s="969">
        <f>(0.95*(100-I14))*6/10</f>
        <v>28.5</v>
      </c>
      <c r="L14" s="970">
        <f>K14+I14</f>
        <v>78.5</v>
      </c>
      <c r="M14" s="971">
        <f>IF(K14&lt;&gt;0,J14/K14,"1%")</f>
        <v>5.1929824561403402E-2</v>
      </c>
      <c r="N14" s="1732"/>
      <c r="O14" s="1647"/>
      <c r="P14" s="1631"/>
      <c r="Q14" s="972" t="s">
        <v>100</v>
      </c>
      <c r="R14" s="769" t="s">
        <v>730</v>
      </c>
      <c r="S14" s="770" t="s">
        <v>731</v>
      </c>
      <c r="V14" s="973">
        <v>0.02</v>
      </c>
      <c r="W14" s="974" t="e">
        <f>(#REF!-(#REF!*V14))</f>
        <v>#REF!</v>
      </c>
      <c r="X14" s="974"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975" t="e">
        <f>W11-X14</f>
        <v>#REF!</v>
      </c>
      <c r="Z14" s="976"/>
    </row>
    <row r="15" spans="1:27" ht="22.25" customHeight="1" x14ac:dyDescent="0.45">
      <c r="A15" s="1651">
        <v>3</v>
      </c>
      <c r="B15" s="1727" t="s">
        <v>9</v>
      </c>
      <c r="C15" s="1729">
        <f>M5</f>
        <v>3.5714285714285716</v>
      </c>
      <c r="D15" s="1727" t="s">
        <v>113</v>
      </c>
      <c r="E15" s="1729">
        <f>$C$15/1</f>
        <v>3.5714285714285716</v>
      </c>
      <c r="F15" s="977" t="s">
        <v>221</v>
      </c>
      <c r="G15" s="978">
        <f>$E$15/3</f>
        <v>1.1904761904761905</v>
      </c>
      <c r="H15" s="308">
        <v>50.8</v>
      </c>
      <c r="I15" s="309">
        <v>46</v>
      </c>
      <c r="J15" s="979">
        <f>H15-I15</f>
        <v>4.7999999999999972</v>
      </c>
      <c r="K15" s="980">
        <f>(0.5*I15)*6/10</f>
        <v>13.8</v>
      </c>
      <c r="L15" s="934">
        <f>I15+K15</f>
        <v>59.8</v>
      </c>
      <c r="M15" s="935">
        <f>IF(K15&lt;&gt;0,J15/K15,"0%")</f>
        <v>0.34782608695652151</v>
      </c>
      <c r="N15" s="1702">
        <f>(((G15/C15)*M15)+((G16/C15)*M16)+((G17/C15)*M17))</f>
        <v>10.65923448532144</v>
      </c>
      <c r="O15" s="1632">
        <f>IF((((G15/C15)*M15)+((G16/C15)*M16)+((G17/C15)*M17))&gt;=1,3.571428,IF((((G15/C15)*M15)+((G16/C15)*M16)+((G17/C15)*M17))&lt;=0,0,(((G15/C15)*M15)+((G16/C15)*M16)+((G17/C15)*M17))*3.571428))</f>
        <v>3.571428</v>
      </c>
      <c r="P15" s="1630">
        <f>O15/3.571428</f>
        <v>1</v>
      </c>
      <c r="Q15" s="981" t="s">
        <v>101</v>
      </c>
      <c r="R15" s="771" t="s">
        <v>732</v>
      </c>
      <c r="S15" s="772" t="s">
        <v>733</v>
      </c>
    </row>
    <row r="16" spans="1:27" ht="28.5" x14ac:dyDescent="0.45">
      <c r="A16" s="1651"/>
      <c r="B16" s="1727"/>
      <c r="C16" s="1729"/>
      <c r="D16" s="1727"/>
      <c r="E16" s="1729"/>
      <c r="F16" s="982" t="s">
        <v>220</v>
      </c>
      <c r="G16" s="983">
        <f t="shared" ref="G16:G17" si="0">$E$15/3</f>
        <v>1.1904761904761905</v>
      </c>
      <c r="H16" s="233">
        <v>50.8</v>
      </c>
      <c r="I16" s="234">
        <v>46</v>
      </c>
      <c r="J16" s="986">
        <f>H16-I16</f>
        <v>4.7999999999999972</v>
      </c>
      <c r="K16" s="987">
        <f>(0.5*I16)*6/10</f>
        <v>13.8</v>
      </c>
      <c r="L16" s="988">
        <f t="shared" ref="L16:L17" si="1">I16+K16</f>
        <v>59.8</v>
      </c>
      <c r="M16" s="989">
        <f>IF(K16&lt;&gt;0,J16/K16,"0%")</f>
        <v>0.34782608695652151</v>
      </c>
      <c r="N16" s="1657"/>
      <c r="O16" s="1633"/>
      <c r="P16" s="1635"/>
      <c r="Q16" s="990" t="s">
        <v>95</v>
      </c>
      <c r="R16" s="773" t="s">
        <v>734</v>
      </c>
      <c r="S16" s="774" t="s">
        <v>733</v>
      </c>
    </row>
    <row r="17" spans="1:19" ht="25.25" customHeight="1" thickBot="1" x14ac:dyDescent="0.5">
      <c r="A17" s="1651"/>
      <c r="B17" s="1728"/>
      <c r="C17" s="1730"/>
      <c r="D17" s="1728"/>
      <c r="E17" s="1730"/>
      <c r="F17" s="991" t="s">
        <v>10</v>
      </c>
      <c r="G17" s="992">
        <f t="shared" si="0"/>
        <v>1.1904761904761905</v>
      </c>
      <c r="H17" s="111">
        <v>54</v>
      </c>
      <c r="I17" s="112">
        <v>5.2</v>
      </c>
      <c r="J17" s="993">
        <f>H17-I17</f>
        <v>48.8</v>
      </c>
      <c r="K17" s="994">
        <f>(0.5*I17)*6/10</f>
        <v>1.56</v>
      </c>
      <c r="L17" s="949">
        <f t="shared" si="1"/>
        <v>6.76</v>
      </c>
      <c r="M17" s="950">
        <f>IF(K17&lt;&gt;0,J17/K17,"0%")</f>
        <v>31.282051282051277</v>
      </c>
      <c r="N17" s="1703"/>
      <c r="O17" s="1634"/>
      <c r="P17" s="1635"/>
      <c r="Q17" s="995" t="s">
        <v>162</v>
      </c>
      <c r="R17" s="775" t="s">
        <v>735</v>
      </c>
      <c r="S17" s="776" t="s">
        <v>736</v>
      </c>
    </row>
    <row r="18" spans="1:19" ht="21.4" thickBot="1" x14ac:dyDescent="0.7">
      <c r="A18" s="14"/>
      <c r="B18" s="1670" t="s">
        <v>11</v>
      </c>
      <c r="C18" s="1671"/>
      <c r="D18" s="1671"/>
      <c r="E18" s="1671"/>
      <c r="F18" s="1672"/>
      <c r="G18" s="996"/>
      <c r="H18" s="1379"/>
      <c r="I18" s="1380"/>
      <c r="J18" s="997"/>
      <c r="K18" s="997"/>
      <c r="L18" s="997"/>
      <c r="M18" s="998"/>
      <c r="N18" s="911">
        <f>N19</f>
        <v>0.321227579469338</v>
      </c>
      <c r="O18" s="912">
        <f>O19</f>
        <v>1.147241171689019</v>
      </c>
      <c r="P18" s="913">
        <f>O18/3.571428</f>
        <v>0.321227579469338</v>
      </c>
      <c r="Q18" s="997"/>
      <c r="R18" s="777"/>
      <c r="S18" s="778"/>
    </row>
    <row r="19" spans="1:19" ht="34.25" customHeight="1" thickBot="1" x14ac:dyDescent="0.5">
      <c r="A19" s="1617">
        <v>4</v>
      </c>
      <c r="B19" s="1618" t="s">
        <v>12</v>
      </c>
      <c r="C19" s="1678">
        <f>M5</f>
        <v>3.5714285714285716</v>
      </c>
      <c r="D19" s="999" t="s">
        <v>114</v>
      </c>
      <c r="E19" s="931">
        <f>$C$19/4</f>
        <v>0.8928571428571429</v>
      </c>
      <c r="F19" s="1000" t="s">
        <v>222</v>
      </c>
      <c r="G19" s="978">
        <f>E19/1</f>
        <v>0.8928571428571429</v>
      </c>
      <c r="H19" s="101">
        <v>34</v>
      </c>
      <c r="I19" s="106">
        <v>25.9</v>
      </c>
      <c r="J19" s="1001">
        <f>H19-I19</f>
        <v>8.1000000000000014</v>
      </c>
      <c r="K19" s="980">
        <f>(2*I19)*6/10</f>
        <v>31.079999999999995</v>
      </c>
      <c r="L19" s="1002">
        <f t="shared" ref="L19:L22" si="2">K19+I19</f>
        <v>56.97999999999999</v>
      </c>
      <c r="M19" s="935">
        <f>IF(K19&lt;&gt;0,J19/K19,"0%")</f>
        <v>0.26061776061776071</v>
      </c>
      <c r="N19" s="1721">
        <f>(((G19/C19)*M19)+((G20/C19)*M20)+((G21/C19)*M21)+((G22/C19)*M22))</f>
        <v>0.321227579469338</v>
      </c>
      <c r="O19" s="1723">
        <f>IF((((G19/C19)*M19)+((G20/C19)*M20)+((G21/C19)*M21)+((G22/C19)*M22))&gt;=1,3.571428,IF((((G19/C19)*M19)+((G20/C19)*M20)+((G21/C19)*M21)+((G22/C19)*M22))&lt;=0,0,((((G19/C19)*M19)+((G20/C19)*M20)+((G21/C19)*M21)+((G22/C19)*M22))*3.571428)))</f>
        <v>1.147241171689019</v>
      </c>
      <c r="P19" s="1630">
        <f>O19/3.571428</f>
        <v>0.321227579469338</v>
      </c>
      <c r="Q19" s="1003" t="s">
        <v>163</v>
      </c>
      <c r="R19" s="779" t="s">
        <v>737</v>
      </c>
      <c r="S19" s="765" t="s">
        <v>738</v>
      </c>
    </row>
    <row r="20" spans="1:19" ht="39" customHeight="1" thickBot="1" x14ac:dyDescent="0.5">
      <c r="A20" s="1617"/>
      <c r="B20" s="1619"/>
      <c r="C20" s="1685"/>
      <c r="D20" s="1004" t="s">
        <v>152</v>
      </c>
      <c r="E20" s="1005">
        <f>($C$19/4)</f>
        <v>0.8928571428571429</v>
      </c>
      <c r="F20" s="1006" t="s">
        <v>265</v>
      </c>
      <c r="G20" s="983">
        <f>E20/1</f>
        <v>0.8928571428571429</v>
      </c>
      <c r="H20" s="113">
        <v>92.9</v>
      </c>
      <c r="I20" s="107">
        <v>83.1</v>
      </c>
      <c r="J20" s="1007">
        <f t="shared" ref="J20:J24" si="3">H20-I20</f>
        <v>9.8000000000000114</v>
      </c>
      <c r="K20" s="987">
        <f>(100-I20)*(6/10)</f>
        <v>10.140000000000002</v>
      </c>
      <c r="L20" s="1008">
        <f t="shared" si="2"/>
        <v>93.24</v>
      </c>
      <c r="M20" s="935">
        <f>IF(K20&lt;&gt;0,J20/K20,"0%")</f>
        <v>0.96646942800789049</v>
      </c>
      <c r="N20" s="1722"/>
      <c r="O20" s="1633"/>
      <c r="P20" s="1635"/>
      <c r="Q20" s="1009" t="s">
        <v>164</v>
      </c>
      <c r="R20" s="780" t="s">
        <v>739</v>
      </c>
      <c r="S20" s="261" t="s">
        <v>740</v>
      </c>
    </row>
    <row r="21" spans="1:19" ht="56.45" customHeight="1" thickBot="1" x14ac:dyDescent="0.5">
      <c r="A21" s="1617"/>
      <c r="B21" s="1619"/>
      <c r="C21" s="1685"/>
      <c r="D21" s="1004" t="s">
        <v>153</v>
      </c>
      <c r="E21" s="1005">
        <f t="shared" ref="E21:E22" si="4">($C$19/4)</f>
        <v>0.8928571428571429</v>
      </c>
      <c r="F21" s="1006" t="s">
        <v>155</v>
      </c>
      <c r="G21" s="983">
        <f>E21/1</f>
        <v>0.8928571428571429</v>
      </c>
      <c r="H21" s="471"/>
      <c r="I21" s="478"/>
      <c r="J21" s="1007">
        <f t="shared" si="3"/>
        <v>0</v>
      </c>
      <c r="K21" s="987">
        <f>(0.3*I21)*6/10</f>
        <v>0</v>
      </c>
      <c r="L21" s="1008">
        <f t="shared" si="2"/>
        <v>0</v>
      </c>
      <c r="M21" s="989" t="str">
        <f>IF(K21&lt;&gt;0,J21/K21,"0%")</f>
        <v>0%</v>
      </c>
      <c r="N21" s="1722"/>
      <c r="O21" s="1633"/>
      <c r="P21" s="1635"/>
      <c r="Q21" s="1009" t="s">
        <v>165</v>
      </c>
      <c r="R21" s="780"/>
      <c r="S21" s="781" t="s">
        <v>615</v>
      </c>
    </row>
    <row r="22" spans="1:19" ht="36.6" customHeight="1" thickBot="1" x14ac:dyDescent="0.5">
      <c r="A22" s="1617"/>
      <c r="B22" s="1724"/>
      <c r="C22" s="1725"/>
      <c r="D22" s="966" t="s">
        <v>154</v>
      </c>
      <c r="E22" s="1010">
        <f t="shared" si="4"/>
        <v>0.8928571428571429</v>
      </c>
      <c r="F22" s="1011" t="s">
        <v>156</v>
      </c>
      <c r="G22" s="1012">
        <f>E22/1</f>
        <v>0.8928571428571429</v>
      </c>
      <c r="H22" s="312">
        <v>52.7</v>
      </c>
      <c r="I22" s="114">
        <v>51</v>
      </c>
      <c r="J22" s="1013">
        <f t="shared" si="3"/>
        <v>1.7000000000000028</v>
      </c>
      <c r="K22" s="994">
        <f>(100-I22)*(6/10)</f>
        <v>29.4</v>
      </c>
      <c r="L22" s="1014">
        <f t="shared" si="2"/>
        <v>80.400000000000006</v>
      </c>
      <c r="M22" s="950">
        <f>IF(K22&lt;&gt;0,J22/K22,"100%")</f>
        <v>5.7823129251700779E-2</v>
      </c>
      <c r="N22" s="1726"/>
      <c r="O22" s="1634"/>
      <c r="P22" s="1631"/>
      <c r="Q22" s="1015" t="s">
        <v>95</v>
      </c>
      <c r="R22" s="782" t="s">
        <v>741</v>
      </c>
      <c r="S22" s="261" t="s">
        <v>742</v>
      </c>
    </row>
    <row r="23" spans="1:19" ht="20.45" customHeight="1" thickBot="1" x14ac:dyDescent="0.5">
      <c r="B23" s="1614" t="s">
        <v>13</v>
      </c>
      <c r="C23" s="1615"/>
      <c r="D23" s="1615"/>
      <c r="E23" s="1615"/>
      <c r="F23" s="1616"/>
      <c r="G23" s="996"/>
      <c r="H23" s="1379"/>
      <c r="I23" s="1380"/>
      <c r="J23" s="1016"/>
      <c r="K23" s="1017"/>
      <c r="L23" s="1017"/>
      <c r="M23" s="1018"/>
      <c r="N23" s="911">
        <f>N24</f>
        <v>2.0295653106473162</v>
      </c>
      <c r="O23" s="912">
        <f>O24</f>
        <v>3.571428</v>
      </c>
      <c r="P23" s="913">
        <f>O23/3.571428</f>
        <v>1</v>
      </c>
      <c r="Q23" s="997"/>
      <c r="R23" s="687"/>
      <c r="S23" s="687"/>
    </row>
    <row r="24" spans="1:19" ht="36" customHeight="1" x14ac:dyDescent="0.45">
      <c r="A24" s="1617">
        <v>5</v>
      </c>
      <c r="B24" s="1618" t="s">
        <v>14</v>
      </c>
      <c r="C24" s="1678">
        <f>M5</f>
        <v>3.5714285714285716</v>
      </c>
      <c r="D24" s="999" t="s">
        <v>115</v>
      </c>
      <c r="E24" s="931">
        <f>$C$24/4</f>
        <v>0.8928571428571429</v>
      </c>
      <c r="F24" s="999" t="s">
        <v>280</v>
      </c>
      <c r="G24" s="931">
        <f>E24/1</f>
        <v>0.8928571428571429</v>
      </c>
      <c r="H24" s="308">
        <v>44.7</v>
      </c>
      <c r="I24" s="106">
        <v>19.899999999999999</v>
      </c>
      <c r="J24" s="1020">
        <f t="shared" si="3"/>
        <v>24.800000000000004</v>
      </c>
      <c r="K24" s="980">
        <f>(0.3*I24)*6/10</f>
        <v>3.5819999999999999</v>
      </c>
      <c r="L24" s="1002">
        <f>K24+I24</f>
        <v>23.481999999999999</v>
      </c>
      <c r="M24" s="935">
        <f t="shared" ref="M24:M31" si="5">IF(K24&lt;&gt;0,J24/K24,"0%")</f>
        <v>6.9235064209938599</v>
      </c>
      <c r="N24" s="1721">
        <f>(((G24/C24)*M24)+((G25/C24)*M25)+ ((G26/C24)*M26)+((G27/C24)*M27)+((G28/C24)*M28)+((G29/C24)*M29)+((G30/C24)*M30)+((G31/C24)*M31))</f>
        <v>2.0295653106473162</v>
      </c>
      <c r="O24" s="1723">
        <f>IF((((G24/C24)*M24)+((G25/C24)*M25)+ ((G26/C24)*M26)+((G27/C24)*M27)+((G28/C24)*M28)+((G29/C24)*M29)+((G30/C24)*M30)+((G31/C24)*M31))&gt;=1,3.571428,IF((((G24/C24)*M24)+((G25/C24)*M25)+ ((G26/C24)*M26)+((G27/C24)*M27)+((G28/C24)*M28)+((G29/C24)*M29)+((G30/C24)*M30)+((G31/C24)*M31))&lt;=0,0,((((G24/C24)*M24)+((G25/C24)*M25)+ ((G26/C24)*M26)+((G27/C24)*M27)+((G28/C24)*M28)+((G29/C24)*M29)+((G30/C24)*M30)+((G31/C24)*M31))*3.571428)))</f>
        <v>3.571428</v>
      </c>
      <c r="P24" s="1630">
        <f>O24/3.571428</f>
        <v>1</v>
      </c>
      <c r="Q24" s="1021" t="s">
        <v>166</v>
      </c>
      <c r="R24" s="759" t="s">
        <v>743</v>
      </c>
      <c r="S24" s="765" t="s">
        <v>744</v>
      </c>
    </row>
    <row r="25" spans="1:19" ht="19.8" customHeight="1" x14ac:dyDescent="0.45">
      <c r="A25" s="1617"/>
      <c r="B25" s="1619"/>
      <c r="C25" s="1685"/>
      <c r="D25" s="1625" t="s">
        <v>158</v>
      </c>
      <c r="E25" s="1688">
        <v>0.9</v>
      </c>
      <c r="F25" s="1004" t="s">
        <v>15</v>
      </c>
      <c r="G25" s="1005">
        <f>$E$25/3</f>
        <v>0.3</v>
      </c>
      <c r="H25" s="113">
        <v>160</v>
      </c>
      <c r="I25" s="107">
        <v>401</v>
      </c>
      <c r="J25" s="1022">
        <f t="shared" ref="J25:J30" si="6">I25-H25</f>
        <v>241</v>
      </c>
      <c r="K25" s="987">
        <f>(0.5*I25)*6/10</f>
        <v>120.3</v>
      </c>
      <c r="L25" s="1008">
        <f t="shared" ref="L25:L30" si="7">I25-K25</f>
        <v>280.7</v>
      </c>
      <c r="M25" s="989">
        <f t="shared" si="5"/>
        <v>2.00332502078138</v>
      </c>
      <c r="N25" s="1722"/>
      <c r="O25" s="1633"/>
      <c r="P25" s="1635"/>
      <c r="Q25" s="1023" t="s">
        <v>167</v>
      </c>
      <c r="R25" s="783" t="s">
        <v>743</v>
      </c>
      <c r="S25" s="261" t="s">
        <v>745</v>
      </c>
    </row>
    <row r="26" spans="1:19" ht="19.8" customHeight="1" x14ac:dyDescent="0.45">
      <c r="A26" s="1617"/>
      <c r="B26" s="1619"/>
      <c r="C26" s="1685"/>
      <c r="D26" s="1713"/>
      <c r="E26" s="1714"/>
      <c r="F26" s="1004" t="s">
        <v>16</v>
      </c>
      <c r="G26" s="1005">
        <f t="shared" ref="G26:G27" si="8">$E$25/3</f>
        <v>0.3</v>
      </c>
      <c r="H26" s="113">
        <v>27</v>
      </c>
      <c r="I26" s="107">
        <v>27</v>
      </c>
      <c r="J26" s="1022">
        <f t="shared" si="6"/>
        <v>0</v>
      </c>
      <c r="K26" s="987">
        <f>(0.8*I26)*6/10</f>
        <v>12.960000000000003</v>
      </c>
      <c r="L26" s="1008">
        <f t="shared" si="7"/>
        <v>14.039999999999997</v>
      </c>
      <c r="M26" s="989">
        <f t="shared" si="5"/>
        <v>0</v>
      </c>
      <c r="N26" s="1722"/>
      <c r="O26" s="1633"/>
      <c r="P26" s="1635"/>
      <c r="Q26" s="1023" t="s">
        <v>168</v>
      </c>
      <c r="R26" s="784" t="s">
        <v>743</v>
      </c>
      <c r="S26" s="261" t="s">
        <v>746</v>
      </c>
    </row>
    <row r="27" spans="1:19" ht="19.8" customHeight="1" x14ac:dyDescent="0.45">
      <c r="A27" s="1617"/>
      <c r="B27" s="1619"/>
      <c r="C27" s="1685"/>
      <c r="D27" s="1713"/>
      <c r="E27" s="1714"/>
      <c r="F27" s="1004" t="s">
        <v>17</v>
      </c>
      <c r="G27" s="1005">
        <f t="shared" si="8"/>
        <v>0.3</v>
      </c>
      <c r="H27" s="113">
        <v>71</v>
      </c>
      <c r="I27" s="107">
        <v>88</v>
      </c>
      <c r="J27" s="1022">
        <f t="shared" si="6"/>
        <v>17</v>
      </c>
      <c r="K27" s="987">
        <f>(0.5*I27)*(6/10)</f>
        <v>26.4</v>
      </c>
      <c r="L27" s="1008">
        <f t="shared" si="7"/>
        <v>61.6</v>
      </c>
      <c r="M27" s="989">
        <f t="shared" si="5"/>
        <v>0.64393939393939392</v>
      </c>
      <c r="N27" s="1722"/>
      <c r="O27" s="1633"/>
      <c r="P27" s="1635"/>
      <c r="Q27" s="1023" t="s">
        <v>169</v>
      </c>
      <c r="R27" s="784" t="s">
        <v>743</v>
      </c>
      <c r="S27" s="261" t="s">
        <v>747</v>
      </c>
    </row>
    <row r="28" spans="1:19" ht="30.6" customHeight="1" x14ac:dyDescent="0.45">
      <c r="A28" s="22"/>
      <c r="B28" s="1619"/>
      <c r="C28" s="1685"/>
      <c r="D28" s="1625" t="s">
        <v>116</v>
      </c>
      <c r="E28" s="1688">
        <f t="shared" ref="E28:E31" si="9">$C$24/4</f>
        <v>0.8928571428571429</v>
      </c>
      <c r="F28" s="1004" t="s">
        <v>148</v>
      </c>
      <c r="G28" s="1005">
        <f>$E$28/3</f>
        <v>0.29761904761904762</v>
      </c>
      <c r="H28" s="113">
        <v>0.68</v>
      </c>
      <c r="I28" s="107">
        <v>0.77</v>
      </c>
      <c r="J28" s="1022">
        <f t="shared" si="6"/>
        <v>8.9999999999999969E-2</v>
      </c>
      <c r="K28" s="987">
        <f>(0.5*I28)*(6/10)</f>
        <v>0.23099999999999998</v>
      </c>
      <c r="L28" s="1008">
        <f t="shared" si="7"/>
        <v>0.53900000000000003</v>
      </c>
      <c r="M28" s="989">
        <f t="shared" si="5"/>
        <v>0.38961038961038952</v>
      </c>
      <c r="N28" s="1658"/>
      <c r="O28" s="1633"/>
      <c r="P28" s="1635"/>
      <c r="Q28" s="1023" t="s">
        <v>170</v>
      </c>
      <c r="R28" s="783" t="s">
        <v>748</v>
      </c>
      <c r="S28" s="261" t="s">
        <v>749</v>
      </c>
    </row>
    <row r="29" spans="1:19" ht="20.45" customHeight="1" x14ac:dyDescent="0.45">
      <c r="A29" s="22"/>
      <c r="B29" s="1619"/>
      <c r="C29" s="1685"/>
      <c r="D29" s="1713"/>
      <c r="E29" s="1714"/>
      <c r="F29" s="1004" t="s">
        <v>149</v>
      </c>
      <c r="G29" s="1005">
        <f t="shared" ref="G29:G30" si="10">$E$28/3</f>
        <v>0.29761904761904762</v>
      </c>
      <c r="H29" s="113">
        <v>0.46</v>
      </c>
      <c r="I29" s="107">
        <v>0.73</v>
      </c>
      <c r="J29" s="1022">
        <f t="shared" si="6"/>
        <v>0.26999999999999996</v>
      </c>
      <c r="K29" s="987">
        <f>(0.5*I29)*(6/10)</f>
        <v>0.219</v>
      </c>
      <c r="L29" s="1008">
        <f t="shared" si="7"/>
        <v>0.51100000000000001</v>
      </c>
      <c r="M29" s="989">
        <f t="shared" si="5"/>
        <v>1.2328767123287669</v>
      </c>
      <c r="N29" s="1658"/>
      <c r="O29" s="1633"/>
      <c r="P29" s="1635"/>
      <c r="Q29" s="1023" t="s">
        <v>171</v>
      </c>
      <c r="R29" s="783" t="s">
        <v>750</v>
      </c>
      <c r="S29" s="261" t="s">
        <v>751</v>
      </c>
    </row>
    <row r="30" spans="1:19" ht="20.45" customHeight="1" x14ac:dyDescent="0.45">
      <c r="A30" s="22"/>
      <c r="B30" s="1718"/>
      <c r="C30" s="1714"/>
      <c r="D30" s="1713"/>
      <c r="E30" s="1714"/>
      <c r="F30" s="1004" t="s">
        <v>150</v>
      </c>
      <c r="G30" s="1005">
        <f t="shared" si="10"/>
        <v>0.29761904761904762</v>
      </c>
      <c r="H30" s="113">
        <v>233</v>
      </c>
      <c r="I30" s="107">
        <v>360</v>
      </c>
      <c r="J30" s="1022">
        <f t="shared" si="6"/>
        <v>127</v>
      </c>
      <c r="K30" s="987">
        <f>(0.5*I30)*(6/10)</f>
        <v>108</v>
      </c>
      <c r="L30" s="1008">
        <f t="shared" si="7"/>
        <v>252</v>
      </c>
      <c r="M30" s="989">
        <f t="shared" si="5"/>
        <v>1.1759259259259258</v>
      </c>
      <c r="N30" s="1658"/>
      <c r="O30" s="1633"/>
      <c r="P30" s="1635"/>
      <c r="Q30" s="1023" t="s">
        <v>172</v>
      </c>
      <c r="R30" s="783" t="s">
        <v>750</v>
      </c>
      <c r="S30" s="261" t="s">
        <v>752</v>
      </c>
    </row>
    <row r="31" spans="1:19" ht="34.9" customHeight="1" thickBot="1" x14ac:dyDescent="0.5">
      <c r="A31" s="22"/>
      <c r="B31" s="1719"/>
      <c r="C31" s="1720"/>
      <c r="D31" s="1024" t="s">
        <v>117</v>
      </c>
      <c r="E31" s="944">
        <f t="shared" si="9"/>
        <v>0.8928571428571429</v>
      </c>
      <c r="F31" s="1025" t="s">
        <v>223</v>
      </c>
      <c r="G31" s="944">
        <f>E31/1</f>
        <v>0.8928571428571429</v>
      </c>
      <c r="H31" s="115">
        <v>66</v>
      </c>
      <c r="I31" s="114">
        <v>75.3</v>
      </c>
      <c r="J31" s="1026">
        <f t="shared" ref="J31" si="11">H31-I31</f>
        <v>-9.2999999999999972</v>
      </c>
      <c r="K31" s="994">
        <f>(100-I31)*(6/10)</f>
        <v>14.82</v>
      </c>
      <c r="L31" s="1014">
        <f>K31+I31</f>
        <v>90.12</v>
      </c>
      <c r="M31" s="971">
        <f t="shared" si="5"/>
        <v>-0.62753036437246945</v>
      </c>
      <c r="N31" s="1659"/>
      <c r="O31" s="1634"/>
      <c r="P31" s="1631"/>
      <c r="Q31" s="1027" t="s">
        <v>95</v>
      </c>
      <c r="R31" s="785" t="s">
        <v>753</v>
      </c>
      <c r="S31" s="259" t="s">
        <v>754</v>
      </c>
    </row>
    <row r="32" spans="1:19" ht="20.45" customHeight="1" thickBot="1" x14ac:dyDescent="0.5">
      <c r="B32" s="1715" t="s">
        <v>18</v>
      </c>
      <c r="C32" s="1716"/>
      <c r="D32" s="1716"/>
      <c r="E32" s="1716"/>
      <c r="F32" s="1717"/>
      <c r="G32" s="996"/>
      <c r="H32" s="1381"/>
      <c r="I32" s="1382"/>
      <c r="J32" s="1028"/>
      <c r="K32" s="1029"/>
      <c r="L32" s="1030"/>
      <c r="M32" s="1031"/>
      <c r="N32" s="911">
        <f>(N33+N34+N35+N36)/4</f>
        <v>0.57238675958188145</v>
      </c>
      <c r="O32" s="912">
        <f>(O33+O34+O35+O36)</f>
        <v>6.7653879999999997</v>
      </c>
      <c r="P32" s="913">
        <f>O32/14.285712</f>
        <v>0.47357723577235772</v>
      </c>
      <c r="Q32" s="997"/>
      <c r="R32" s="778"/>
      <c r="S32" s="778"/>
    </row>
    <row r="33" spans="1:19" ht="33.6" customHeight="1" thickBot="1" x14ac:dyDescent="0.5">
      <c r="A33" s="22">
        <v>6</v>
      </c>
      <c r="B33" s="1032" t="s">
        <v>19</v>
      </c>
      <c r="C33" s="1033">
        <f>$M$5</f>
        <v>3.5714285714285716</v>
      </c>
      <c r="D33" s="1034" t="s">
        <v>287</v>
      </c>
      <c r="E33" s="1035">
        <f>C33/1</f>
        <v>3.5714285714285716</v>
      </c>
      <c r="F33" s="1032" t="s">
        <v>288</v>
      </c>
      <c r="G33" s="1033">
        <f>E33/1</f>
        <v>3.5714285714285716</v>
      </c>
      <c r="H33" s="213">
        <v>5.0999999999999996</v>
      </c>
      <c r="I33" s="722">
        <v>6.1</v>
      </c>
      <c r="J33" s="1383">
        <f>IF(H33&lt;7,(H33-7),(H33-I33))</f>
        <v>-1.9000000000000004</v>
      </c>
      <c r="K33" s="1037">
        <f>IF((7-H33&gt;=0),(7-H33),0)</f>
        <v>1.9000000000000004</v>
      </c>
      <c r="L33" s="1038">
        <f>IF((I33&lt;7),7,I33)</f>
        <v>7</v>
      </c>
      <c r="M33" s="1039">
        <f>IF(K33&lt;&gt;0,J33/7,(1+((H33-I33)/I33)))</f>
        <v>-0.27142857142857146</v>
      </c>
      <c r="N33" s="1040">
        <f>((G33/C33)*M33)</f>
        <v>-0.27142857142857146</v>
      </c>
      <c r="O33" s="1041">
        <f>IF(((G33/C33)*M33)&gt;=1,3.571428,IF(((G33/C33)*M33)&lt;=0,0,((G33/C33)*M33)*3.571428))</f>
        <v>0</v>
      </c>
      <c r="P33" s="913">
        <f>O33/3.571428</f>
        <v>0</v>
      </c>
      <c r="Q33" s="1042" t="s">
        <v>97</v>
      </c>
      <c r="R33" s="787" t="s">
        <v>755</v>
      </c>
      <c r="S33" s="1384" t="s">
        <v>756</v>
      </c>
    </row>
    <row r="34" spans="1:19" ht="51" customHeight="1" thickBot="1" x14ac:dyDescent="0.5">
      <c r="A34" s="22">
        <v>7</v>
      </c>
      <c r="B34" s="1032" t="s">
        <v>20</v>
      </c>
      <c r="C34" s="1033">
        <f t="shared" ref="C34:C36" si="12">$M$5</f>
        <v>3.5714285714285716</v>
      </c>
      <c r="D34" s="1032" t="s">
        <v>118</v>
      </c>
      <c r="E34" s="1035">
        <f t="shared" ref="E34:E36" si="13">C34/1</f>
        <v>3.5714285714285716</v>
      </c>
      <c r="F34" s="1032" t="s">
        <v>21</v>
      </c>
      <c r="G34" s="1033">
        <f>E34/1</f>
        <v>3.5714285714285716</v>
      </c>
      <c r="H34" s="1296">
        <v>15.6</v>
      </c>
      <c r="I34" s="1293">
        <v>12.3</v>
      </c>
      <c r="J34" s="1385">
        <f>H34-I34</f>
        <v>3.2999999999999989</v>
      </c>
      <c r="K34" s="1045">
        <f>(0.5*I34)*(6/10)</f>
        <v>3.69</v>
      </c>
      <c r="L34" s="1046">
        <f>K34+I34</f>
        <v>15.99</v>
      </c>
      <c r="M34" s="1039">
        <f>IF(K34&lt;&gt;0,J34/K34,"0%")</f>
        <v>0.89430894308943065</v>
      </c>
      <c r="N34" s="1040">
        <f>((G34/C34)*M34)</f>
        <v>0.89430894308943065</v>
      </c>
      <c r="O34" s="1041">
        <f>IF(((G34/C34)*M34)&gt;=1,3.571428,IF(((G34/C34)*M34)&lt;=0,0,((G34/C34)*M34)*3.571428))</f>
        <v>3.1939599999999992</v>
      </c>
      <c r="P34" s="913">
        <f t="shared" ref="P34:P36" si="14">O34/3.571428</f>
        <v>0.89430894308943065</v>
      </c>
      <c r="Q34" s="1042" t="s">
        <v>173</v>
      </c>
      <c r="R34" s="788" t="s">
        <v>757</v>
      </c>
      <c r="S34" s="1386"/>
    </row>
    <row r="35" spans="1:19" ht="40.799999999999997" customHeight="1" thickBot="1" x14ac:dyDescent="0.5">
      <c r="A35" s="22">
        <v>8</v>
      </c>
      <c r="B35" s="1032" t="s">
        <v>22</v>
      </c>
      <c r="C35" s="1033">
        <f t="shared" si="12"/>
        <v>3.5714285714285716</v>
      </c>
      <c r="D35" s="1032" t="s">
        <v>119</v>
      </c>
      <c r="E35" s="1035">
        <f t="shared" si="13"/>
        <v>3.5714285714285716</v>
      </c>
      <c r="F35" s="1032" t="s">
        <v>23</v>
      </c>
      <c r="G35" s="1033">
        <f>E35/1</f>
        <v>3.5714285714285716</v>
      </c>
      <c r="H35" s="1387"/>
      <c r="I35" s="1388"/>
      <c r="J35" s="1389">
        <f>H35-I35</f>
        <v>0</v>
      </c>
      <c r="K35" s="1048">
        <f>IF((I35&gt;=1),0,((1-I35)*0.6))</f>
        <v>0.6</v>
      </c>
      <c r="L35" s="1038">
        <f>I35+K35</f>
        <v>0.6</v>
      </c>
      <c r="M35" s="1039">
        <f>IF(K35&lt;&gt;0,J35/K35,"0%")</f>
        <v>0</v>
      </c>
      <c r="N35" s="1040">
        <f>((G35/C35)*M35)</f>
        <v>0</v>
      </c>
      <c r="O35" s="1041">
        <f>IF(((G35/C35)*M35)&gt;=1,3.571428,IF(((G35/C35)*M35)&lt;=0,0,((G35/C35)*M35)*3.571428))</f>
        <v>0</v>
      </c>
      <c r="P35" s="913">
        <f t="shared" si="14"/>
        <v>0</v>
      </c>
      <c r="Q35" s="1042" t="s">
        <v>174</v>
      </c>
      <c r="R35" s="788"/>
      <c r="S35" s="781" t="s">
        <v>615</v>
      </c>
    </row>
    <row r="36" spans="1:19" ht="43.5" customHeight="1" thickBot="1" x14ac:dyDescent="0.5">
      <c r="A36" s="22">
        <v>9</v>
      </c>
      <c r="B36" s="1032" t="s">
        <v>24</v>
      </c>
      <c r="C36" s="1033">
        <f t="shared" si="12"/>
        <v>3.5714285714285716</v>
      </c>
      <c r="D36" s="1032" t="s">
        <v>275</v>
      </c>
      <c r="E36" s="1035">
        <f t="shared" si="13"/>
        <v>3.5714285714285716</v>
      </c>
      <c r="F36" s="1049" t="s">
        <v>25</v>
      </c>
      <c r="G36" s="1033">
        <f>E36/1</f>
        <v>3.5714285714285716</v>
      </c>
      <c r="H36" s="1390">
        <v>4</v>
      </c>
      <c r="I36" s="1391">
        <v>2</v>
      </c>
      <c r="J36" s="1392">
        <f>H36-I36</f>
        <v>2</v>
      </c>
      <c r="K36" s="1051">
        <f>(1*I36)*(6/10)</f>
        <v>1.2</v>
      </c>
      <c r="L36" s="1052">
        <f>I36+K36</f>
        <v>3.2</v>
      </c>
      <c r="M36" s="1039">
        <f>IF(K36&lt;&gt;0,J36/K36,"0%")</f>
        <v>1.6666666666666667</v>
      </c>
      <c r="N36" s="1040">
        <f>((G36/C36)*M36)</f>
        <v>1.6666666666666667</v>
      </c>
      <c r="O36" s="1041">
        <f>IF(((G36/C36)*M36)&gt;=1,3.571428,IF(((G36/C36)*M36)&lt;=0,0,((G36/C36)*M36)*3.571428))</f>
        <v>3.571428</v>
      </c>
      <c r="P36" s="913">
        <f t="shared" si="14"/>
        <v>1</v>
      </c>
      <c r="Q36" s="1053" t="s">
        <v>175</v>
      </c>
      <c r="R36" s="1393" t="s">
        <v>817</v>
      </c>
      <c r="S36" s="1394" t="s">
        <v>818</v>
      </c>
    </row>
    <row r="37" spans="1:19" ht="30.6" customHeight="1" thickBot="1" x14ac:dyDescent="0.5">
      <c r="B37" s="1710" t="s">
        <v>26</v>
      </c>
      <c r="C37" s="1711"/>
      <c r="D37" s="1711"/>
      <c r="E37" s="1711"/>
      <c r="F37" s="1712"/>
      <c r="G37" s="1054"/>
      <c r="H37" s="1379"/>
      <c r="I37" s="1380"/>
      <c r="J37" s="1055"/>
      <c r="K37" s="1056"/>
      <c r="L37" s="1056"/>
      <c r="M37" s="1057"/>
      <c r="N37" s="911">
        <f>N38</f>
        <v>0.16890083649231463</v>
      </c>
      <c r="O37" s="912">
        <f>O38</f>
        <v>0.60321717667207431</v>
      </c>
      <c r="P37" s="913">
        <f>O37/3.571428</f>
        <v>0.16890083649231463</v>
      </c>
      <c r="Q37" s="1058"/>
      <c r="R37" s="777"/>
      <c r="S37" s="778"/>
    </row>
    <row r="38" spans="1:19" ht="25.8" customHeight="1" thickBot="1" x14ac:dyDescent="0.5">
      <c r="A38" s="1617">
        <v>10</v>
      </c>
      <c r="B38" s="1618" t="s">
        <v>27</v>
      </c>
      <c r="C38" s="1678">
        <f>M5</f>
        <v>3.5714285714285716</v>
      </c>
      <c r="D38" s="977" t="s">
        <v>120</v>
      </c>
      <c r="E38" s="931">
        <f>$C$38/2</f>
        <v>1.7857142857142858</v>
      </c>
      <c r="F38" s="1059" t="s">
        <v>224</v>
      </c>
      <c r="G38" s="978">
        <f>E38/1</f>
        <v>1.7857142857142858</v>
      </c>
      <c r="H38" s="316">
        <v>2264432199.3238902</v>
      </c>
      <c r="I38" s="1395">
        <v>1882820292.4853201</v>
      </c>
      <c r="J38" s="1396">
        <f>H38-I38</f>
        <v>381611906.83857012</v>
      </c>
      <c r="K38" s="1061">
        <f>(1*I38)*(6/10)</f>
        <v>1129692175.4911921</v>
      </c>
      <c r="L38" s="1062">
        <f>I38+K38</f>
        <v>3012512467.976512</v>
      </c>
      <c r="M38" s="935">
        <f>IF(K38&lt;&gt;0,J38/K38,"0%")</f>
        <v>0.33780167298462926</v>
      </c>
      <c r="N38" s="1702">
        <f>(((G38/C38)*M38)+((G39/C38)*M39))</f>
        <v>0.16890083649231463</v>
      </c>
      <c r="O38" s="1646">
        <f>IF((((G38/C38)*M38)+((G39/C38)*M39))&gt;=1,3.57148,IF((((G38/C38)*M38)+((G39/C38)*M39))&lt;=0,0, (((G38/C38)*M38)+((G39/C38)*M39))*3.571428))</f>
        <v>0.60321717667207431</v>
      </c>
      <c r="P38" s="1630">
        <f>O38/3.571428</f>
        <v>0.16890083649231463</v>
      </c>
      <c r="Q38" s="1063" t="s">
        <v>176</v>
      </c>
      <c r="R38" s="684" t="s">
        <v>758</v>
      </c>
      <c r="S38" s="258" t="s">
        <v>759</v>
      </c>
    </row>
    <row r="39" spans="1:19" ht="35.25" thickBot="1" x14ac:dyDescent="0.5">
      <c r="A39" s="1617"/>
      <c r="B39" s="1619"/>
      <c r="C39" s="1685"/>
      <c r="D39" s="982" t="s">
        <v>157</v>
      </c>
      <c r="E39" s="944">
        <f>$C$38/2</f>
        <v>1.7857142857142858</v>
      </c>
      <c r="F39" s="1064" t="s">
        <v>225</v>
      </c>
      <c r="G39" s="983">
        <f>E39/1</f>
        <v>1.7857142857142858</v>
      </c>
      <c r="H39" s="115"/>
      <c r="I39" s="114"/>
      <c r="J39" s="1397">
        <f>H39-I39</f>
        <v>0</v>
      </c>
      <c r="K39" s="1066">
        <f>IF(AND(I39&gt;=10,H39&gt;=I39),0,((10-H39)*(6/10)))</f>
        <v>6</v>
      </c>
      <c r="L39" s="1067">
        <f>I39+K39</f>
        <v>6</v>
      </c>
      <c r="M39" s="950">
        <f>IF(K39&lt;&gt;0,J39/K39,"0%")</f>
        <v>0</v>
      </c>
      <c r="N39" s="1657"/>
      <c r="O39" s="1647"/>
      <c r="P39" s="1631"/>
      <c r="Q39" s="1068" t="s">
        <v>95</v>
      </c>
      <c r="R39" s="240"/>
      <c r="S39" s="781" t="s">
        <v>615</v>
      </c>
    </row>
    <row r="40" spans="1:19" ht="20.45" customHeight="1" thickBot="1" x14ac:dyDescent="0.5">
      <c r="B40" s="1679" t="s">
        <v>28</v>
      </c>
      <c r="C40" s="1680"/>
      <c r="D40" s="1680"/>
      <c r="E40" s="1704"/>
      <c r="F40" s="1681"/>
      <c r="G40" s="1054"/>
      <c r="H40" s="1398"/>
      <c r="I40" s="1399"/>
      <c r="J40" s="1069"/>
      <c r="K40" s="1070"/>
      <c r="L40" s="1070"/>
      <c r="M40" s="1071"/>
      <c r="N40" s="911">
        <f>N41</f>
        <v>1.8518518518518514</v>
      </c>
      <c r="O40" s="912">
        <f>O41</f>
        <v>3.5714800000000002</v>
      </c>
      <c r="P40" s="913">
        <f>O40/3.571428</f>
        <v>1.0000145600023296</v>
      </c>
      <c r="Q40" s="1072"/>
      <c r="R40" s="686"/>
      <c r="S40" s="687"/>
    </row>
    <row r="41" spans="1:19" ht="35.25" thickBot="1" x14ac:dyDescent="0.5">
      <c r="A41" s="1617">
        <v>11</v>
      </c>
      <c r="B41" s="1705" t="s">
        <v>29</v>
      </c>
      <c r="C41" s="1707">
        <f>M5</f>
        <v>3.5714285714285716</v>
      </c>
      <c r="D41" s="1073" t="s">
        <v>121</v>
      </c>
      <c r="E41" s="1074">
        <f>$C$41/2</f>
        <v>1.7857142857142858</v>
      </c>
      <c r="F41" s="956" t="s">
        <v>30</v>
      </c>
      <c r="G41" s="1075">
        <f>E41/1</f>
        <v>1.7857142857142858</v>
      </c>
      <c r="H41" s="319">
        <v>1.9</v>
      </c>
      <c r="I41" s="320">
        <v>0.9</v>
      </c>
      <c r="J41" s="1076">
        <f>H41-I41</f>
        <v>0.99999999999999989</v>
      </c>
      <c r="K41" s="1077">
        <f>(0.5*I41)*(6/10)</f>
        <v>0.27</v>
      </c>
      <c r="L41" s="1078">
        <f>I41+K41</f>
        <v>1.17</v>
      </c>
      <c r="M41" s="935">
        <f>IF(K41&lt;&gt;0,J41/K41,"0%")</f>
        <v>3.7037037037037028</v>
      </c>
      <c r="N41" s="1709">
        <f>(((G41/C41)*M41)+(G42/C41)*M42)</f>
        <v>1.8518518518518514</v>
      </c>
      <c r="O41" s="1646">
        <f>IF((((G41/C41)*M41)+((G42/C41)*M42))&gt;=1,3.57148,IF((((G41/C41)*M41)+((G42/C41)*M42))&lt;=0,0, (((G41/C41)*M41)+((G42/C41)*M42))*3.571428))</f>
        <v>3.5714800000000002</v>
      </c>
      <c r="P41" s="1630">
        <f>O41/3.571428</f>
        <v>1.0000145600023296</v>
      </c>
      <c r="Q41" s="1079" t="s">
        <v>177</v>
      </c>
      <c r="R41" s="759" t="s">
        <v>724</v>
      </c>
      <c r="S41" s="765"/>
    </row>
    <row r="42" spans="1:19" ht="23.65" thickBot="1" x14ac:dyDescent="0.5">
      <c r="A42" s="1617"/>
      <c r="B42" s="1706"/>
      <c r="C42" s="1708"/>
      <c r="D42" s="1080" t="s">
        <v>122</v>
      </c>
      <c r="E42" s="1010">
        <f>$C$41/2</f>
        <v>1.7857142857142858</v>
      </c>
      <c r="F42" s="966" t="s">
        <v>31</v>
      </c>
      <c r="G42" s="1081">
        <f>E42/1</f>
        <v>1.7857142857142858</v>
      </c>
      <c r="H42" s="1400"/>
      <c r="I42" s="1401"/>
      <c r="J42" s="1082">
        <f>H42-I42</f>
        <v>0</v>
      </c>
      <c r="K42" s="969">
        <f>(0.5*I42)*(6/10)</f>
        <v>0</v>
      </c>
      <c r="L42" s="1083">
        <f>I42+K42</f>
        <v>0</v>
      </c>
      <c r="M42" s="950" t="str">
        <f>IF(K42&lt;&gt;0,J42/K42,"0%")</f>
        <v>0%</v>
      </c>
      <c r="N42" s="1709"/>
      <c r="O42" s="1647"/>
      <c r="P42" s="1631"/>
      <c r="Q42" s="1079" t="s">
        <v>95</v>
      </c>
      <c r="R42" s="789"/>
      <c r="S42" s="781" t="s">
        <v>615</v>
      </c>
    </row>
    <row r="43" spans="1:19" ht="30.6" customHeight="1" thickBot="1" x14ac:dyDescent="0.5">
      <c r="B43" s="1670" t="s">
        <v>32</v>
      </c>
      <c r="C43" s="1671"/>
      <c r="D43" s="1671"/>
      <c r="E43" s="1671"/>
      <c r="F43" s="1672"/>
      <c r="G43" s="996"/>
      <c r="H43" s="1402"/>
      <c r="I43" s="1403"/>
      <c r="J43" s="1084"/>
      <c r="K43" s="1085"/>
      <c r="L43" s="1085"/>
      <c r="M43" s="996"/>
      <c r="N43" s="911">
        <f>N44</f>
        <v>0.21764705882352942</v>
      </c>
      <c r="O43" s="912">
        <f>O44</f>
        <v>0.77731080000000008</v>
      </c>
      <c r="P43" s="913">
        <f>O43/3.571428</f>
        <v>0.21764705882352944</v>
      </c>
      <c r="Q43" s="1086"/>
      <c r="R43" s="687"/>
      <c r="S43" s="687"/>
    </row>
    <row r="44" spans="1:19" ht="37.799999999999997" customHeight="1" thickBot="1" x14ac:dyDescent="0.5">
      <c r="A44" s="1617">
        <v>12</v>
      </c>
      <c r="B44" s="1624" t="s">
        <v>33</v>
      </c>
      <c r="C44" s="1678">
        <f>M5</f>
        <v>3.5714285714285716</v>
      </c>
      <c r="D44" s="999" t="s">
        <v>123</v>
      </c>
      <c r="E44" s="1087">
        <f>C44/2</f>
        <v>1.7857142857142858</v>
      </c>
      <c r="F44" s="999" t="s">
        <v>34</v>
      </c>
      <c r="G44" s="978">
        <f>$E$44/1</f>
        <v>1.7857142857142858</v>
      </c>
      <c r="H44" s="97"/>
      <c r="I44" s="786"/>
      <c r="J44" s="1088">
        <f>IF(I44=H44,(H44-30),H44-I44)</f>
        <v>-30</v>
      </c>
      <c r="K44" s="980">
        <f>IF(I44&gt;=30,0,((30-I44)*(6/10)))</f>
        <v>18</v>
      </c>
      <c r="L44" s="1089">
        <f>I44+K44</f>
        <v>18</v>
      </c>
      <c r="M44" s="950" t="str">
        <f>IF(H44=0,"0%",J44/K44)</f>
        <v>0%</v>
      </c>
      <c r="N44" s="1702">
        <f>(((G44/C44)*M44)+((G45/C44)*M45))</f>
        <v>0.21764705882352942</v>
      </c>
      <c r="O44" s="1646">
        <f>IF((((G44/C44)*M44)+((G45/C44)*M45))&gt;=1,3.57148,IF((((G44/C44)*M44)+((G45/C44)*M45))&lt;=0,0, (((G44/C44)*M44)+((G45/C44)*M45))*3.571428))</f>
        <v>0.77731080000000008</v>
      </c>
      <c r="P44" s="1630">
        <f>O44/3.571428</f>
        <v>0.21764705882352944</v>
      </c>
      <c r="Q44" s="981" t="s">
        <v>178</v>
      </c>
      <c r="R44" s="689" t="s">
        <v>760</v>
      </c>
      <c r="S44" s="781" t="s">
        <v>615</v>
      </c>
    </row>
    <row r="45" spans="1:19" ht="35.25" thickBot="1" x14ac:dyDescent="0.5">
      <c r="A45" s="1617"/>
      <c r="B45" s="1626"/>
      <c r="C45" s="1686"/>
      <c r="D45" s="1024" t="s">
        <v>124</v>
      </c>
      <c r="E45" s="1090">
        <f>(C44/2)</f>
        <v>1.7857142857142858</v>
      </c>
      <c r="F45" s="1024" t="s">
        <v>35</v>
      </c>
      <c r="G45" s="992">
        <f>$E$45/1</f>
        <v>1.7857142857142858</v>
      </c>
      <c r="H45" s="99">
        <v>7.4</v>
      </c>
      <c r="I45" s="100">
        <v>7</v>
      </c>
      <c r="J45" s="1091">
        <f>IF(I45=H45,(H45-17),H45-I45)</f>
        <v>0.40000000000000036</v>
      </c>
      <c r="K45" s="1092">
        <f>IF(I45&gt;=17,0,((17-I45)*(6/10)))</f>
        <v>6</v>
      </c>
      <c r="L45" s="1093">
        <f>I45+K45</f>
        <v>13</v>
      </c>
      <c r="M45" s="1094">
        <f>IF(I45&gt;=17,(1+(H45-17)/17),(H45/17))</f>
        <v>0.43529411764705883</v>
      </c>
      <c r="N45" s="1703"/>
      <c r="O45" s="1647"/>
      <c r="P45" s="1631"/>
      <c r="Q45" s="995" t="s">
        <v>179</v>
      </c>
      <c r="R45" s="690"/>
      <c r="S45" s="781" t="s">
        <v>615</v>
      </c>
    </row>
    <row r="46" spans="1:19" ht="30.6" customHeight="1" thickBot="1" x14ac:dyDescent="0.5">
      <c r="B46" s="1694" t="s">
        <v>36</v>
      </c>
      <c r="C46" s="1695"/>
      <c r="D46" s="1695"/>
      <c r="E46" s="1695"/>
      <c r="F46" s="1696"/>
      <c r="G46" s="1095"/>
      <c r="H46" s="1404"/>
      <c r="I46" s="1405"/>
      <c r="J46" s="1096"/>
      <c r="K46" s="1097"/>
      <c r="L46" s="1097"/>
      <c r="M46" s="1098"/>
      <c r="N46" s="911">
        <f>(N47+N50+N52)/3</f>
        <v>0.61131756453942165</v>
      </c>
      <c r="O46" s="912">
        <f>(O47+O50+O52)</f>
        <v>4.1688780006636925</v>
      </c>
      <c r="P46" s="913">
        <f>O46/10.714284</f>
        <v>0.38909534231719944</v>
      </c>
      <c r="Q46" s="1099"/>
      <c r="R46" s="691"/>
      <c r="S46" s="691"/>
    </row>
    <row r="47" spans="1:19" ht="20.45" customHeight="1" thickBot="1" x14ac:dyDescent="0.5">
      <c r="B47" s="1614" t="s">
        <v>37</v>
      </c>
      <c r="C47" s="1615"/>
      <c r="D47" s="1615"/>
      <c r="E47" s="1615"/>
      <c r="F47" s="1616"/>
      <c r="G47" s="1100"/>
      <c r="H47" s="1406"/>
      <c r="I47" s="1407"/>
      <c r="J47" s="1101"/>
      <c r="K47" s="1102"/>
      <c r="L47" s="1102"/>
      <c r="M47" s="996"/>
      <c r="N47" s="911">
        <f>N48</f>
        <v>2.1401047292305107E-2</v>
      </c>
      <c r="O47" s="912">
        <f>O48</f>
        <v>7.643229952906265E-2</v>
      </c>
      <c r="P47" s="913">
        <f>O47/3.571428</f>
        <v>2.140104729230511E-2</v>
      </c>
      <c r="Q47" s="1086"/>
      <c r="R47" s="687"/>
      <c r="S47" s="687"/>
    </row>
    <row r="48" spans="1:19" ht="37.799999999999997" customHeight="1" thickBot="1" x14ac:dyDescent="0.5">
      <c r="A48" s="1617">
        <v>13</v>
      </c>
      <c r="B48" s="1624" t="s">
        <v>38</v>
      </c>
      <c r="C48" s="1678">
        <f>M5</f>
        <v>3.5714285714285716</v>
      </c>
      <c r="D48" s="999" t="s">
        <v>125</v>
      </c>
      <c r="E48" s="931">
        <f>$C$48/2</f>
        <v>1.7857142857142858</v>
      </c>
      <c r="F48" s="1103" t="s">
        <v>289</v>
      </c>
      <c r="G48" s="931">
        <f>E48/1</f>
        <v>1.7857142857142858</v>
      </c>
      <c r="H48" s="790"/>
      <c r="I48" s="791"/>
      <c r="J48" s="1104">
        <f>H48-I48</f>
        <v>0</v>
      </c>
      <c r="K48" s="1105">
        <f>(0.5*I48)* (6/10)</f>
        <v>0</v>
      </c>
      <c r="L48" s="1106">
        <f>I48-K48</f>
        <v>0</v>
      </c>
      <c r="M48" s="962" t="str">
        <f>IF(K48&lt;&gt;0,J48/K48,"0%")</f>
        <v>0%</v>
      </c>
      <c r="N48" s="1700">
        <f>(((G48/C48)*M48)+((G49/C48)*M49))</f>
        <v>2.1401047292305107E-2</v>
      </c>
      <c r="O48" s="1646">
        <f>IF((((G48/C48)*M48)+((G49/C48)*M49))&gt;=1,3.57148,IF((((G48/C48)*M48)+((G49/C48)*M49))&lt;=0,0, (((G48/C48)*M48)+((G49/C48)*M49))*3.571428))</f>
        <v>7.643229952906265E-2</v>
      </c>
      <c r="P48" s="1630">
        <f>O48/3.571428</f>
        <v>2.140104729230511E-2</v>
      </c>
      <c r="Q48" s="1021" t="s">
        <v>95</v>
      </c>
      <c r="R48" s="684"/>
      <c r="S48" s="781" t="s">
        <v>615</v>
      </c>
    </row>
    <row r="49" spans="1:19" ht="30.6" customHeight="1" thickBot="1" x14ac:dyDescent="0.5">
      <c r="A49" s="1617"/>
      <c r="B49" s="1626"/>
      <c r="C49" s="1686"/>
      <c r="D49" s="1024" t="s">
        <v>126</v>
      </c>
      <c r="E49" s="944">
        <f>$C$48/2</f>
        <v>1.7857142857142858</v>
      </c>
      <c r="F49" s="1024" t="s">
        <v>290</v>
      </c>
      <c r="G49" s="944">
        <f>E49/1</f>
        <v>1.7857142857142858</v>
      </c>
      <c r="H49" s="792">
        <v>245457394.83291399</v>
      </c>
      <c r="I49" s="793">
        <v>233465994.53639001</v>
      </c>
      <c r="J49" s="1026">
        <f>H49-I49</f>
        <v>11991400.296523988</v>
      </c>
      <c r="K49" s="1107">
        <f>(2*I49)*(6/10)</f>
        <v>280159193.44366801</v>
      </c>
      <c r="L49" s="1108">
        <f>I49+K49</f>
        <v>513625187.98005801</v>
      </c>
      <c r="M49" s="950">
        <f>IF(K49&lt;&gt;0,J49/K49,"0%")</f>
        <v>4.2802094584610213E-2</v>
      </c>
      <c r="N49" s="1701"/>
      <c r="O49" s="1647"/>
      <c r="P49" s="1631"/>
      <c r="Q49" s="1027" t="s">
        <v>95</v>
      </c>
      <c r="R49" s="688" t="s">
        <v>758</v>
      </c>
      <c r="S49" s="266" t="s">
        <v>761</v>
      </c>
    </row>
    <row r="50" spans="1:19" ht="15" customHeight="1" thickBot="1" x14ac:dyDescent="0.5">
      <c r="B50" s="1670" t="s">
        <v>39</v>
      </c>
      <c r="C50" s="1671"/>
      <c r="D50" s="1671"/>
      <c r="E50" s="1671"/>
      <c r="F50" s="1672"/>
      <c r="G50" s="1109"/>
      <c r="H50" s="1408"/>
      <c r="I50" s="1409"/>
      <c r="J50" s="1110"/>
      <c r="K50" s="1110"/>
      <c r="L50" s="1110"/>
      <c r="M50" s="1111"/>
      <c r="N50" s="911">
        <f>N51</f>
        <v>1.6666666666666667</v>
      </c>
      <c r="O50" s="912">
        <f>O51</f>
        <v>3.571428</v>
      </c>
      <c r="P50" s="913">
        <f>O50/3.571428</f>
        <v>1</v>
      </c>
      <c r="Q50" s="1112"/>
      <c r="R50" s="794"/>
      <c r="S50" s="794"/>
    </row>
    <row r="51" spans="1:19" ht="30.6" customHeight="1" thickBot="1" x14ac:dyDescent="0.5">
      <c r="A51" s="21">
        <v>14</v>
      </c>
      <c r="B51" s="1113" t="s">
        <v>226</v>
      </c>
      <c r="C51" s="1114">
        <f>M5</f>
        <v>3.5714285714285716</v>
      </c>
      <c r="D51" s="1115" t="s">
        <v>272</v>
      </c>
      <c r="E51" s="1116">
        <f>C51</f>
        <v>3.5714285714285716</v>
      </c>
      <c r="F51" s="1117" t="s">
        <v>266</v>
      </c>
      <c r="G51" s="1118">
        <f>E51/1</f>
        <v>3.5714285714285716</v>
      </c>
      <c r="H51" s="96">
        <v>100</v>
      </c>
      <c r="I51" s="103">
        <v>0</v>
      </c>
      <c r="J51" s="1119">
        <f>H51-I51</f>
        <v>100</v>
      </c>
      <c r="K51" s="1120">
        <f>(100-I51)*(6/10)</f>
        <v>60</v>
      </c>
      <c r="L51" s="1121">
        <f>I51+K51</f>
        <v>60</v>
      </c>
      <c r="M51" s="971">
        <f>IF(K51&lt;&gt;0,J51/K51,"100%")</f>
        <v>1.6666666666666667</v>
      </c>
      <c r="N51" s="1040">
        <f>((G51/C51)*M51)</f>
        <v>1.6666666666666667</v>
      </c>
      <c r="O51" s="1041">
        <f>IF(((G51/C51)*M51)&gt;=1,3.571428,IF(((G51/C51)*M51)&lt;=0,0,((G51/C51)*M51)*3.571428))</f>
        <v>3.571428</v>
      </c>
      <c r="P51" s="913">
        <f>O51/3.571428</f>
        <v>1</v>
      </c>
      <c r="Q51" s="1122" t="s">
        <v>95</v>
      </c>
      <c r="R51" s="464"/>
      <c r="S51" s="464" t="s">
        <v>762</v>
      </c>
    </row>
    <row r="52" spans="1:19" ht="20.45" customHeight="1" thickBot="1" x14ac:dyDescent="0.5">
      <c r="B52" s="1670" t="s">
        <v>40</v>
      </c>
      <c r="C52" s="1671"/>
      <c r="D52" s="1671"/>
      <c r="E52" s="1671"/>
      <c r="F52" s="1672"/>
      <c r="G52" s="1100"/>
      <c r="H52" s="1402"/>
      <c r="I52" s="1403"/>
      <c r="J52" s="1101"/>
      <c r="K52" s="1102"/>
      <c r="L52" s="1102"/>
      <c r="M52" s="1018"/>
      <c r="N52" s="911">
        <f>N53</f>
        <v>0.14588497965929317</v>
      </c>
      <c r="O52" s="912">
        <f>O53</f>
        <v>0.52101770113463008</v>
      </c>
      <c r="P52" s="913">
        <f>O52/3.571428</f>
        <v>0.14588497965929317</v>
      </c>
      <c r="Q52" s="1123"/>
      <c r="R52" s="794"/>
      <c r="S52" s="794"/>
    </row>
    <row r="53" spans="1:19" ht="43.8" customHeight="1" thickBot="1" x14ac:dyDescent="0.5">
      <c r="A53" s="1617">
        <v>15</v>
      </c>
      <c r="B53" s="1618" t="s">
        <v>108</v>
      </c>
      <c r="C53" s="1678">
        <f>M5</f>
        <v>3.5714285714285716</v>
      </c>
      <c r="D53" s="1124" t="s">
        <v>127</v>
      </c>
      <c r="E53" s="1125">
        <f>$C$53/5</f>
        <v>0.7142857142857143</v>
      </c>
      <c r="F53" s="1126" t="s">
        <v>41</v>
      </c>
      <c r="G53" s="978">
        <f>E53/1</f>
        <v>0.7142857142857143</v>
      </c>
      <c r="H53" s="748"/>
      <c r="I53" s="741"/>
      <c r="J53" s="1001">
        <f>H53-I53</f>
        <v>0</v>
      </c>
      <c r="K53" s="1105">
        <f>(100-I53)*(6/10)</f>
        <v>60</v>
      </c>
      <c r="L53" s="1062">
        <f t="shared" ref="L53:L58" si="15">I53+K53</f>
        <v>60</v>
      </c>
      <c r="M53" s="935" t="str">
        <f>IF(H53=0,"0%",J53/K53)</f>
        <v>0%</v>
      </c>
      <c r="N53" s="1697">
        <f>(((G53/C53)*M53)+((G54/C53)*M54)+((G55/C53)*M55)+((G56/C53)*M56)+((G57/C53)*M57)+((G58/C53)*M58))</f>
        <v>0.14588497965929317</v>
      </c>
      <c r="O53" s="1687">
        <f>IF((((G53/C53)*M53)+((G54/C53)*M54)+((G55/C53)*M55)+((G56/C53)*M56)+((G57/C53)*M57)+((G58/C53)*M58))&gt;=1,3.571428,IF((((G53/C53)*M53)+((G54/C53)*M54)+((G55/C53)*M55)+((G56/C53)*M56)+((G57/C53)*M57)+((G58/C53)*M58))&lt;=0,0,((((G53/C53)*M53)+((G54/C53)*M54)+((G55/C53)*M55)+((G56/C53)*M56)+((G57/C53)*M57)+((G58/C53)*M58))*3.571428)))</f>
        <v>0.52101770113463008</v>
      </c>
      <c r="P53" s="1630">
        <f>O53/3.571428</f>
        <v>0.14588497965929317</v>
      </c>
      <c r="Q53" s="1127" t="s">
        <v>95</v>
      </c>
      <c r="R53" s="298"/>
      <c r="S53" s="781" t="s">
        <v>615</v>
      </c>
    </row>
    <row r="54" spans="1:19" ht="35.450000000000003" customHeight="1" thickBot="1" x14ac:dyDescent="0.5">
      <c r="A54" s="1617"/>
      <c r="B54" s="1619"/>
      <c r="C54" s="1685"/>
      <c r="D54" s="1128" t="s">
        <v>128</v>
      </c>
      <c r="E54" s="1129">
        <f t="shared" ref="E54:E57" si="16">$C$53/5</f>
        <v>0.7142857142857143</v>
      </c>
      <c r="F54" s="1130" t="s">
        <v>42</v>
      </c>
      <c r="G54" s="983">
        <f>E54/1</f>
        <v>0.7142857142857143</v>
      </c>
      <c r="H54" s="1410"/>
      <c r="I54" s="313"/>
      <c r="J54" s="1007">
        <f>H54-I54</f>
        <v>0</v>
      </c>
      <c r="K54" s="1066">
        <f>(100-I54)*(6/6)</f>
        <v>100</v>
      </c>
      <c r="L54" s="1067">
        <f>I54+K54</f>
        <v>100</v>
      </c>
      <c r="M54" s="989">
        <f t="shared" ref="M54:M55" si="17">IF(K54&lt;&gt;0,J54/K54,"0%")</f>
        <v>0</v>
      </c>
      <c r="N54" s="1698"/>
      <c r="O54" s="1633"/>
      <c r="P54" s="1635"/>
      <c r="Q54" s="1131" t="s">
        <v>95</v>
      </c>
      <c r="R54" s="468"/>
      <c r="S54" s="781" t="s">
        <v>615</v>
      </c>
    </row>
    <row r="55" spans="1:19" ht="34.25" customHeight="1" thickBot="1" x14ac:dyDescent="0.5">
      <c r="A55" s="1617"/>
      <c r="B55" s="1619"/>
      <c r="C55" s="1685"/>
      <c r="D55" s="1128" t="s">
        <v>129</v>
      </c>
      <c r="E55" s="1129">
        <f t="shared" si="16"/>
        <v>0.7142857142857143</v>
      </c>
      <c r="F55" s="1130" t="s">
        <v>43</v>
      </c>
      <c r="G55" s="983">
        <f>E55/1</f>
        <v>0.7142857142857143</v>
      </c>
      <c r="H55" s="1411"/>
      <c r="I55" s="313"/>
      <c r="J55" s="1007">
        <f>H55-I55</f>
        <v>0</v>
      </c>
      <c r="K55" s="1066">
        <f>(10-I55)*(6/10)</f>
        <v>6</v>
      </c>
      <c r="L55" s="1067">
        <f t="shared" si="15"/>
        <v>6</v>
      </c>
      <c r="M55" s="989">
        <f t="shared" si="17"/>
        <v>0</v>
      </c>
      <c r="N55" s="1698"/>
      <c r="O55" s="1633"/>
      <c r="P55" s="1635"/>
      <c r="Q55" s="1131" t="s">
        <v>95</v>
      </c>
      <c r="R55" s="468"/>
      <c r="S55" s="781" t="s">
        <v>615</v>
      </c>
    </row>
    <row r="56" spans="1:19" ht="37.25" customHeight="1" thickBot="1" x14ac:dyDescent="0.5">
      <c r="A56" s="1617"/>
      <c r="B56" s="1619"/>
      <c r="C56" s="1685"/>
      <c r="D56" s="1128" t="s">
        <v>130</v>
      </c>
      <c r="E56" s="1129">
        <f t="shared" si="16"/>
        <v>0.7142857142857143</v>
      </c>
      <c r="F56" s="1130" t="s">
        <v>44</v>
      </c>
      <c r="G56" s="983">
        <f>E56/1</f>
        <v>0.7142857142857143</v>
      </c>
      <c r="H56" s="1412"/>
      <c r="I56" s="1413"/>
      <c r="J56" s="1007">
        <f>H56-I56</f>
        <v>0</v>
      </c>
      <c r="K56" s="1132">
        <f>(0.5*I56)*(6/7)</f>
        <v>0</v>
      </c>
      <c r="L56" s="1067">
        <f t="shared" si="15"/>
        <v>0</v>
      </c>
      <c r="M56" s="989" t="str">
        <f>IF(K56&lt;&gt;0,J56/K56,"0%")</f>
        <v>0%</v>
      </c>
      <c r="N56" s="1698"/>
      <c r="O56" s="1633"/>
      <c r="P56" s="1635"/>
      <c r="Q56" s="1131" t="s">
        <v>101</v>
      </c>
      <c r="R56" s="468"/>
      <c r="S56" s="781" t="s">
        <v>615</v>
      </c>
    </row>
    <row r="57" spans="1:19" ht="22.8" customHeight="1" x14ac:dyDescent="0.45">
      <c r="A57" s="1617"/>
      <c r="B57" s="1619"/>
      <c r="C57" s="1685"/>
      <c r="D57" s="1690" t="s">
        <v>131</v>
      </c>
      <c r="E57" s="1692">
        <f t="shared" si="16"/>
        <v>0.7142857142857143</v>
      </c>
      <c r="F57" s="1130" t="s">
        <v>45</v>
      </c>
      <c r="G57" s="983">
        <f>$E$57/2</f>
        <v>0.35714285714285715</v>
      </c>
      <c r="H57" s="1346">
        <v>82.5</v>
      </c>
      <c r="I57" s="1347">
        <v>73.599999999999994</v>
      </c>
      <c r="J57" s="1007">
        <f t="shared" ref="J57:J58" si="18">H57-I57</f>
        <v>8.9000000000000057</v>
      </c>
      <c r="K57" s="1133">
        <f>(1*I57)*(6/10)</f>
        <v>44.16</v>
      </c>
      <c r="L57" s="1067">
        <f t="shared" si="15"/>
        <v>117.75999999999999</v>
      </c>
      <c r="M57" s="989">
        <f>IF(K57&lt;&gt;0,J57/K57,"0%")</f>
        <v>0.20153985507246391</v>
      </c>
      <c r="N57" s="1698"/>
      <c r="O57" s="1633"/>
      <c r="P57" s="1635"/>
      <c r="Q57" s="1131" t="s">
        <v>180</v>
      </c>
      <c r="R57" s="468" t="s">
        <v>763</v>
      </c>
      <c r="S57" s="468" t="s">
        <v>752</v>
      </c>
    </row>
    <row r="58" spans="1:19" ht="15" customHeight="1" thickBot="1" x14ac:dyDescent="0.5">
      <c r="A58" s="1617"/>
      <c r="B58" s="1620"/>
      <c r="C58" s="1686"/>
      <c r="D58" s="1691"/>
      <c r="E58" s="1693"/>
      <c r="F58" s="943" t="s">
        <v>46</v>
      </c>
      <c r="G58" s="992">
        <f>$E$57/2</f>
        <v>0.35714285714285715</v>
      </c>
      <c r="H58" s="1372">
        <v>10</v>
      </c>
      <c r="I58" s="1373">
        <v>5.7</v>
      </c>
      <c r="J58" s="1013">
        <f t="shared" si="18"/>
        <v>4.3</v>
      </c>
      <c r="K58" s="1107">
        <f>(1*I58)*(6/10)</f>
        <v>3.42</v>
      </c>
      <c r="L58" s="1134">
        <f t="shared" si="15"/>
        <v>9.120000000000001</v>
      </c>
      <c r="M58" s="950">
        <f>IF(K58&lt;&gt;0,J58/K58,"0%")</f>
        <v>1.2573099415204678</v>
      </c>
      <c r="N58" s="1699"/>
      <c r="O58" s="1634"/>
      <c r="P58" s="1631"/>
      <c r="Q58" s="1135" t="s">
        <v>95</v>
      </c>
      <c r="R58" s="469" t="s">
        <v>724</v>
      </c>
      <c r="S58" s="469"/>
    </row>
    <row r="59" spans="1:19" ht="23.45" customHeight="1" thickBot="1" x14ac:dyDescent="0.5">
      <c r="B59" s="1694" t="s">
        <v>47</v>
      </c>
      <c r="C59" s="1695"/>
      <c r="D59" s="1695"/>
      <c r="E59" s="1695"/>
      <c r="F59" s="1696"/>
      <c r="G59" s="1136"/>
      <c r="H59" s="1404"/>
      <c r="I59" s="1405"/>
      <c r="J59" s="1137"/>
      <c r="K59" s="1137"/>
      <c r="L59" s="1137"/>
      <c r="M59" s="1098"/>
      <c r="N59" s="911">
        <f>(N60+N67)/2</f>
        <v>8.3333333333333329E-2</v>
      </c>
      <c r="O59" s="912">
        <f>(O60+O67)</f>
        <v>0.59523799999999993</v>
      </c>
      <c r="P59" s="913">
        <f>O59/7.142856</f>
        <v>8.3333333333333329E-2</v>
      </c>
      <c r="Q59" s="1138"/>
      <c r="R59" s="795"/>
      <c r="S59" s="796"/>
    </row>
    <row r="60" spans="1:19" ht="22.25" customHeight="1" thickBot="1" x14ac:dyDescent="0.5">
      <c r="B60" s="1670" t="s">
        <v>48</v>
      </c>
      <c r="C60" s="1671"/>
      <c r="D60" s="1671"/>
      <c r="E60" s="1671"/>
      <c r="F60" s="1672"/>
      <c r="G60" s="996"/>
      <c r="H60" s="1402"/>
      <c r="I60" s="1403"/>
      <c r="J60" s="1016"/>
      <c r="K60" s="1017"/>
      <c r="L60" s="1017"/>
      <c r="M60" s="1018"/>
      <c r="N60" s="911">
        <f>N61</f>
        <v>0.16666666666666666</v>
      </c>
      <c r="O60" s="912">
        <f>O61</f>
        <v>0.59523799999999993</v>
      </c>
      <c r="P60" s="913">
        <f>O60/3.571428</f>
        <v>0.16666666666666666</v>
      </c>
      <c r="Q60" s="997"/>
      <c r="R60" s="687"/>
      <c r="S60" s="687"/>
    </row>
    <row r="61" spans="1:19" ht="39" customHeight="1" x14ac:dyDescent="0.45">
      <c r="A61" s="1617">
        <v>16</v>
      </c>
      <c r="B61" s="1618" t="s">
        <v>49</v>
      </c>
      <c r="C61" s="1678">
        <f>M5</f>
        <v>3.5714285714285716</v>
      </c>
      <c r="D61" s="999" t="s">
        <v>133</v>
      </c>
      <c r="E61" s="931">
        <f>$C$61/4</f>
        <v>0.8928571428571429</v>
      </c>
      <c r="F61" s="999" t="s">
        <v>50</v>
      </c>
      <c r="G61" s="978">
        <f>E61/1</f>
        <v>0.8928571428571429</v>
      </c>
      <c r="H61" s="308"/>
      <c r="I61" s="309"/>
      <c r="J61" s="1088">
        <f>IF(I61=H61,(H61-70),H61-I61)</f>
        <v>-70</v>
      </c>
      <c r="K61" s="980">
        <f>IF(I61&gt;=70,0,((70-I61)*(6/10)))</f>
        <v>42</v>
      </c>
      <c r="L61" s="1140">
        <f t="shared" ref="L61:L66" si="19">I61+K61</f>
        <v>42</v>
      </c>
      <c r="M61" s="935" t="str">
        <f>IF(H61=0,"0%",J61/K61)</f>
        <v>0%</v>
      </c>
      <c r="N61" s="1627">
        <f>(((G61/C61)*M61)+((G62/C61)*M62)+((G63/C61)*M63)+((G64/C61)*M64)+((G65/C61)*M65)+((G66/C61)*M66))</f>
        <v>0.16666666666666666</v>
      </c>
      <c r="O61" s="1687">
        <f>IF((((G61/C61)*M61)+((G62/C61)*M62)+((G63/C61)*M63)+((G64/C61)*M64)+((G65/C61)*M65)+((G66/C61)*M66))&gt;=1,3.571428,IF((((G61/C61)*M61)+((G62/C61)*M62)+((G63/C61)*M63)+((G64/C61)*M64)+((G65/C61)*M65)+((G66/C61)*M66))&lt;=0,0,((((G61/C61)*M61)+((G62/C61)*M62)+((G63/C61)*M63)+((G64/C61)*M64)+((G65/C61)*M65)+((G66/C61)*M66))*3.571428)))</f>
        <v>0.59523799999999993</v>
      </c>
      <c r="P61" s="1630">
        <f>O61/3.571428</f>
        <v>0.16666666666666666</v>
      </c>
      <c r="Q61" s="1414" t="s">
        <v>181</v>
      </c>
      <c r="R61" s="684"/>
      <c r="S61" s="797" t="s">
        <v>615</v>
      </c>
    </row>
    <row r="62" spans="1:19" ht="58.25" customHeight="1" x14ac:dyDescent="0.45">
      <c r="A62" s="1617"/>
      <c r="B62" s="1619"/>
      <c r="C62" s="1685"/>
      <c r="D62" s="1004" t="s">
        <v>134</v>
      </c>
      <c r="E62" s="1005">
        <f t="shared" ref="E62:E63" si="20">$C$61/4</f>
        <v>0.8928571428571429</v>
      </c>
      <c r="F62" s="1128" t="s">
        <v>276</v>
      </c>
      <c r="G62" s="983">
        <f>$E$62/1</f>
        <v>0.8928571428571429</v>
      </c>
      <c r="H62" s="113"/>
      <c r="I62" s="107"/>
      <c r="J62" s="1141">
        <f>IF(I62=H62,(H62-70),H62-I62)</f>
        <v>-70</v>
      </c>
      <c r="K62" s="987">
        <f t="shared" ref="K62:K63" si="21">IF(I62&gt;=70,0,((70-I62)*(6/10)))</f>
        <v>42</v>
      </c>
      <c r="L62" s="1142">
        <f t="shared" si="19"/>
        <v>42</v>
      </c>
      <c r="M62" s="989" t="str">
        <f>IF(H62=0,"0%",J62/K62)</f>
        <v>0%</v>
      </c>
      <c r="N62" s="1628"/>
      <c r="O62" s="1633"/>
      <c r="P62" s="1635"/>
      <c r="Q62" s="1415" t="s">
        <v>182</v>
      </c>
      <c r="R62" s="240"/>
      <c r="S62" s="798" t="s">
        <v>615</v>
      </c>
    </row>
    <row r="63" spans="1:19" ht="26.45" customHeight="1" x14ac:dyDescent="0.45">
      <c r="A63" s="1617"/>
      <c r="B63" s="1619"/>
      <c r="C63" s="1685"/>
      <c r="D63" s="1004" t="s">
        <v>135</v>
      </c>
      <c r="E63" s="1005">
        <f t="shared" si="20"/>
        <v>0.8928571428571429</v>
      </c>
      <c r="F63" s="1004" t="s">
        <v>51</v>
      </c>
      <c r="G63" s="983">
        <f>E63/1</f>
        <v>0.8928571428571429</v>
      </c>
      <c r="H63" s="118"/>
      <c r="I63" s="121"/>
      <c r="J63" s="1141">
        <f>IF(I63=H63,(H63-70),H63-I63)</f>
        <v>-70</v>
      </c>
      <c r="K63" s="987">
        <f t="shared" si="21"/>
        <v>42</v>
      </c>
      <c r="L63" s="1142">
        <f t="shared" si="19"/>
        <v>42</v>
      </c>
      <c r="M63" s="989" t="str">
        <f>IF(H63=0,"0%",J63/K63)</f>
        <v>0%</v>
      </c>
      <c r="N63" s="1628"/>
      <c r="O63" s="1633"/>
      <c r="P63" s="1635"/>
      <c r="Q63" s="1415" t="s">
        <v>95</v>
      </c>
      <c r="R63" s="240"/>
      <c r="S63" s="798" t="s">
        <v>615</v>
      </c>
    </row>
    <row r="64" spans="1:19" ht="15" customHeight="1" x14ac:dyDescent="0.45">
      <c r="A64" s="1617"/>
      <c r="B64" s="1619"/>
      <c r="C64" s="1685"/>
      <c r="D64" s="1625" t="s">
        <v>136</v>
      </c>
      <c r="E64" s="1688">
        <f>$C$61/4</f>
        <v>0.8928571428571429</v>
      </c>
      <c r="F64" s="1143" t="s">
        <v>52</v>
      </c>
      <c r="G64" s="1144">
        <f>$E$64/3</f>
        <v>0.29761904761904762</v>
      </c>
      <c r="H64" s="299">
        <v>100</v>
      </c>
      <c r="I64" s="300">
        <v>100</v>
      </c>
      <c r="J64" s="1145">
        <f t="shared" ref="J64:J66" si="22">H64-I64</f>
        <v>0</v>
      </c>
      <c r="K64" s="1146">
        <f>(100-I64)*(6/10)</f>
        <v>0</v>
      </c>
      <c r="L64" s="1142">
        <f t="shared" si="19"/>
        <v>100</v>
      </c>
      <c r="M64" s="989" t="str">
        <f t="shared" ref="M64:M66" si="23">IF(K64&lt;&gt;0,J64/K64,"100%")</f>
        <v>100%</v>
      </c>
      <c r="N64" s="1628"/>
      <c r="O64" s="1633"/>
      <c r="P64" s="1635"/>
      <c r="Q64" s="1415" t="s">
        <v>95</v>
      </c>
      <c r="R64" s="212"/>
      <c r="S64" s="524" t="s">
        <v>764</v>
      </c>
    </row>
    <row r="65" spans="1:19" x14ac:dyDescent="0.45">
      <c r="A65" s="1617"/>
      <c r="B65" s="1619"/>
      <c r="C65" s="1685"/>
      <c r="D65" s="1625"/>
      <c r="E65" s="1688"/>
      <c r="F65" s="1143" t="s">
        <v>53</v>
      </c>
      <c r="G65" s="1144">
        <f t="shared" ref="G65:G66" si="24">$E$64/3</f>
        <v>0.29761904761904762</v>
      </c>
      <c r="H65" s="299">
        <v>100</v>
      </c>
      <c r="I65" s="300">
        <v>100</v>
      </c>
      <c r="J65" s="1145">
        <f t="shared" si="22"/>
        <v>0</v>
      </c>
      <c r="K65" s="1146">
        <f>(100-I65)*(6/10)</f>
        <v>0</v>
      </c>
      <c r="L65" s="1142">
        <f t="shared" si="19"/>
        <v>100</v>
      </c>
      <c r="M65" s="989" t="str">
        <f t="shared" si="23"/>
        <v>100%</v>
      </c>
      <c r="N65" s="1628"/>
      <c r="O65" s="1633"/>
      <c r="P65" s="1635"/>
      <c r="Q65" s="1415" t="s">
        <v>95</v>
      </c>
      <c r="R65" s="240"/>
      <c r="S65" s="524" t="s">
        <v>764</v>
      </c>
    </row>
    <row r="66" spans="1:19" ht="27.6" customHeight="1" thickBot="1" x14ac:dyDescent="0.5">
      <c r="A66" s="1617"/>
      <c r="B66" s="1620"/>
      <c r="C66" s="1686"/>
      <c r="D66" s="1626"/>
      <c r="E66" s="1689"/>
      <c r="F66" s="1147" t="s">
        <v>54</v>
      </c>
      <c r="G66" s="1148">
        <f t="shared" si="24"/>
        <v>0.29761904761904762</v>
      </c>
      <c r="H66" s="99">
        <v>0</v>
      </c>
      <c r="I66" s="100">
        <v>0</v>
      </c>
      <c r="J66" s="1149">
        <f t="shared" si="22"/>
        <v>0</v>
      </c>
      <c r="K66" s="1150">
        <f>(100-I66)*(6/10)</f>
        <v>60</v>
      </c>
      <c r="L66" s="1151">
        <f t="shared" si="19"/>
        <v>60</v>
      </c>
      <c r="M66" s="950">
        <f t="shared" si="23"/>
        <v>0</v>
      </c>
      <c r="N66" s="1629"/>
      <c r="O66" s="1634"/>
      <c r="P66" s="1631"/>
      <c r="Q66" s="1416" t="s">
        <v>95</v>
      </c>
      <c r="R66" s="688"/>
      <c r="S66" s="799" t="s">
        <v>615</v>
      </c>
    </row>
    <row r="67" spans="1:19" ht="27" customHeight="1" thickBot="1" x14ac:dyDescent="0.5">
      <c r="B67" s="1614" t="s">
        <v>55</v>
      </c>
      <c r="C67" s="1615"/>
      <c r="D67" s="1615"/>
      <c r="E67" s="1615"/>
      <c r="F67" s="1616"/>
      <c r="G67" s="1084"/>
      <c r="H67" s="1398"/>
      <c r="I67" s="1399"/>
      <c r="J67" s="1084"/>
      <c r="K67" s="1085"/>
      <c r="L67" s="1085"/>
      <c r="M67" s="1162"/>
      <c r="N67" s="911">
        <f>N68</f>
        <v>0</v>
      </c>
      <c r="O67" s="912">
        <f>O68</f>
        <v>0</v>
      </c>
      <c r="P67" s="913">
        <f>O67/3.571428</f>
        <v>0</v>
      </c>
      <c r="Q67" s="1153"/>
      <c r="R67" s="1417"/>
      <c r="S67" s="1418"/>
    </row>
    <row r="68" spans="1:19" ht="58.5" thickBot="1" x14ac:dyDescent="0.5">
      <c r="A68" s="22">
        <v>17</v>
      </c>
      <c r="B68" s="1154" t="s">
        <v>56</v>
      </c>
      <c r="C68" s="1155">
        <f>M5</f>
        <v>3.5714285714285716</v>
      </c>
      <c r="D68" s="1154" t="s">
        <v>137</v>
      </c>
      <c r="E68" s="1155">
        <f>C68</f>
        <v>3.5714285714285716</v>
      </c>
      <c r="F68" s="1154" t="s">
        <v>57</v>
      </c>
      <c r="G68" s="1156">
        <f>E68/1</f>
        <v>3.5714285714285716</v>
      </c>
      <c r="H68" s="324"/>
      <c r="I68" s="325"/>
      <c r="J68" s="1157">
        <f>IF(I68=H68,(H68-70),I68-H68)</f>
        <v>-70</v>
      </c>
      <c r="K68" s="1051">
        <f t="shared" ref="K68" si="25">IF(I68&gt;=70,0,((70-I68)*(6/10)))</f>
        <v>42</v>
      </c>
      <c r="L68" s="1158">
        <f>I68-K68</f>
        <v>-42</v>
      </c>
      <c r="M68" s="935" t="str">
        <f>IF(H68=0,"0%",J68/K68)</f>
        <v>0%</v>
      </c>
      <c r="N68" s="1159">
        <f>((G68/C68)*M68)</f>
        <v>0</v>
      </c>
      <c r="O68" s="1041">
        <f>IF(((G68/C68)*M68)&gt;=1,3.571428,IF(((G68/C68)*M68)&lt;=0,0,((G68/C68)*M68)*3.571428))</f>
        <v>0</v>
      </c>
      <c r="P68" s="913">
        <f>O68/3.571428</f>
        <v>0</v>
      </c>
      <c r="Q68" s="1160" t="s">
        <v>132</v>
      </c>
      <c r="R68" s="110" t="s">
        <v>765</v>
      </c>
      <c r="S68" s="797" t="s">
        <v>615</v>
      </c>
    </row>
    <row r="69" spans="1:19" ht="22.25" customHeight="1" thickBot="1" x14ac:dyDescent="0.5">
      <c r="B69" s="1563" t="s">
        <v>58</v>
      </c>
      <c r="C69" s="1564"/>
      <c r="D69" s="1564"/>
      <c r="E69" s="1564"/>
      <c r="F69" s="1565"/>
      <c r="G69" s="223"/>
      <c r="H69" s="800"/>
      <c r="I69" s="801"/>
      <c r="J69" s="224"/>
      <c r="K69" s="92"/>
      <c r="L69" s="92"/>
      <c r="M69" s="1161"/>
      <c r="N69" s="911">
        <f>(N70+N72+N74)/3</f>
        <v>0.66666666666666663</v>
      </c>
      <c r="O69" s="912">
        <f>(O70+O72+O74)</f>
        <v>7.1428560000000001</v>
      </c>
      <c r="P69" s="913">
        <f>O69/10.714284</f>
        <v>0.66666666666666674</v>
      </c>
      <c r="Q69" s="886"/>
      <c r="R69" s="802"/>
      <c r="S69" s="803"/>
    </row>
    <row r="70" spans="1:19" ht="20.45" customHeight="1" thickBot="1" x14ac:dyDescent="0.5">
      <c r="B70" s="1670" t="s">
        <v>59</v>
      </c>
      <c r="C70" s="1671"/>
      <c r="D70" s="1671"/>
      <c r="E70" s="1671"/>
      <c r="F70" s="1672"/>
      <c r="G70" s="996"/>
      <c r="H70" s="1406"/>
      <c r="I70" s="1407"/>
      <c r="J70" s="997"/>
      <c r="K70" s="997"/>
      <c r="L70" s="997"/>
      <c r="M70" s="1162"/>
      <c r="N70" s="911">
        <f>N71</f>
        <v>0</v>
      </c>
      <c r="O70" s="912">
        <f>O71</f>
        <v>0</v>
      </c>
      <c r="P70" s="913">
        <f t="shared" ref="P70:P78" si="26">O70/3.571428</f>
        <v>0</v>
      </c>
      <c r="Q70" s="1123"/>
      <c r="R70" s="1419"/>
      <c r="S70" s="1419"/>
    </row>
    <row r="71" spans="1:19" ht="52.25" customHeight="1" thickBot="1" x14ac:dyDescent="0.5">
      <c r="A71" s="22">
        <v>18</v>
      </c>
      <c r="B71" s="1163" t="s">
        <v>60</v>
      </c>
      <c r="C71" s="1164">
        <f>M5</f>
        <v>3.5714285714285716</v>
      </c>
      <c r="D71" s="1165" t="s">
        <v>138</v>
      </c>
      <c r="E71" s="1166">
        <f>C71</f>
        <v>3.5714285714285716</v>
      </c>
      <c r="F71" s="1167" t="s">
        <v>61</v>
      </c>
      <c r="G71" s="1168">
        <f>E71/1</f>
        <v>3.5714285714285716</v>
      </c>
      <c r="H71" s="271"/>
      <c r="I71" s="272"/>
      <c r="J71" s="1169">
        <f>I71-H71</f>
        <v>0</v>
      </c>
      <c r="K71" s="1048">
        <f>(0.5*I71)*0.6</f>
        <v>0</v>
      </c>
      <c r="L71" s="1158">
        <f>I71-K71</f>
        <v>0</v>
      </c>
      <c r="M71" s="989" t="str">
        <f>IF(H71=0,"0%",J71/K71)</f>
        <v>0%</v>
      </c>
      <c r="N71" s="1159">
        <f>((G71/C71)*M71)</f>
        <v>0</v>
      </c>
      <c r="O71" s="1041">
        <f>IF(((G71/C71)*M71)&gt;=1,3.571428,IF(((G71/C71)*M71)&lt;=0,0,((G71/C71)*M71)*3.571428))</f>
        <v>0</v>
      </c>
      <c r="P71" s="913">
        <f t="shared" si="26"/>
        <v>0</v>
      </c>
      <c r="Q71" s="1170" t="s">
        <v>183</v>
      </c>
      <c r="R71" s="804"/>
      <c r="S71" s="799" t="s">
        <v>615</v>
      </c>
    </row>
    <row r="72" spans="1:19" ht="20.45" customHeight="1" thickBot="1" x14ac:dyDescent="0.5">
      <c r="B72" s="1679" t="s">
        <v>277</v>
      </c>
      <c r="C72" s="1680"/>
      <c r="D72" s="1680"/>
      <c r="E72" s="1680"/>
      <c r="F72" s="1681"/>
      <c r="G72" s="1054"/>
      <c r="H72" s="1406"/>
      <c r="I72" s="1407"/>
      <c r="J72" s="1055"/>
      <c r="K72" s="1056"/>
      <c r="L72" s="1056"/>
      <c r="M72" s="1057"/>
      <c r="N72" s="911">
        <f>N73</f>
        <v>1</v>
      </c>
      <c r="O72" s="912">
        <f>O73</f>
        <v>3.571428</v>
      </c>
      <c r="P72" s="913">
        <f t="shared" si="26"/>
        <v>1</v>
      </c>
      <c r="Q72" s="1171"/>
      <c r="R72" s="1419"/>
      <c r="S72" s="1419"/>
    </row>
    <row r="73" spans="1:19" ht="45" customHeight="1" thickBot="1" x14ac:dyDescent="0.5">
      <c r="A73" s="22">
        <v>19</v>
      </c>
      <c r="B73" s="1172" t="s">
        <v>62</v>
      </c>
      <c r="C73" s="1173">
        <f>M5</f>
        <v>3.5714285714285716</v>
      </c>
      <c r="D73" s="1174" t="s">
        <v>139</v>
      </c>
      <c r="E73" s="1173">
        <f>C73</f>
        <v>3.5714285714285716</v>
      </c>
      <c r="F73" s="1175" t="s">
        <v>63</v>
      </c>
      <c r="G73" s="1176">
        <f>E73/1</f>
        <v>3.5714285714285716</v>
      </c>
      <c r="H73" s="96">
        <v>0</v>
      </c>
      <c r="I73" s="103">
        <v>0</v>
      </c>
      <c r="J73" s="1177">
        <f>I73-H73</f>
        <v>0</v>
      </c>
      <c r="K73" s="1178">
        <f>IF(H73&gt;0,(H73),I73)</f>
        <v>0</v>
      </c>
      <c r="L73" s="1179">
        <f>I73-K73</f>
        <v>0</v>
      </c>
      <c r="M73" s="989" t="str">
        <f t="shared" ref="M73" si="27">IF(K73&lt;&gt;0,J73/K73,"100%")</f>
        <v>100%</v>
      </c>
      <c r="N73" s="1159">
        <f>((G73/C73)*M73)</f>
        <v>1</v>
      </c>
      <c r="O73" s="1041">
        <f>IF(((G73/C73)*M73)&gt;=1,3.571428,IF(((G73/C73)*M73)&lt;=0,0,((G73/C73)*M73)*3.571428))</f>
        <v>3.571428</v>
      </c>
      <c r="P73" s="913">
        <f t="shared" si="26"/>
        <v>1</v>
      </c>
      <c r="Q73" s="1180" t="s">
        <v>95</v>
      </c>
      <c r="R73" s="110" t="s">
        <v>766</v>
      </c>
      <c r="S73" s="804"/>
    </row>
    <row r="74" spans="1:19" ht="30.6" customHeight="1" thickBot="1" x14ac:dyDescent="0.5">
      <c r="B74" s="1670" t="s">
        <v>64</v>
      </c>
      <c r="C74" s="1671"/>
      <c r="D74" s="1671"/>
      <c r="E74" s="1671"/>
      <c r="F74" s="1672"/>
      <c r="G74" s="997"/>
      <c r="H74" s="1406"/>
      <c r="I74" s="1407"/>
      <c r="J74" s="997"/>
      <c r="K74" s="997"/>
      <c r="L74" s="997"/>
      <c r="M74" s="996"/>
      <c r="N74" s="911">
        <f>N75</f>
        <v>1</v>
      </c>
      <c r="O74" s="912">
        <f>O75</f>
        <v>3.571428</v>
      </c>
      <c r="P74" s="913">
        <f t="shared" si="26"/>
        <v>1</v>
      </c>
      <c r="Q74" s="1123"/>
      <c r="R74" s="794"/>
      <c r="S74" s="794"/>
    </row>
    <row r="75" spans="1:19" ht="29.45" customHeight="1" thickBot="1" x14ac:dyDescent="0.5">
      <c r="A75" s="22">
        <v>20</v>
      </c>
      <c r="B75" s="1172" t="s">
        <v>65</v>
      </c>
      <c r="C75" s="1035">
        <f>M5</f>
        <v>3.5714285714285716</v>
      </c>
      <c r="D75" s="1165" t="s">
        <v>140</v>
      </c>
      <c r="E75" s="1181">
        <f>C75</f>
        <v>3.5714285714285716</v>
      </c>
      <c r="F75" s="1174" t="s">
        <v>66</v>
      </c>
      <c r="G75" s="1168">
        <f>E75/1</f>
        <v>3.5714285714285716</v>
      </c>
      <c r="H75" s="96">
        <v>1</v>
      </c>
      <c r="I75" s="805">
        <v>1</v>
      </c>
      <c r="J75" s="1119">
        <f>H75-I75</f>
        <v>0</v>
      </c>
      <c r="K75" s="1120">
        <f>IF(AND(H75=0,I75=1)," 1",(H75-I75))</f>
        <v>0</v>
      </c>
      <c r="L75" s="1182">
        <f>I75+K75</f>
        <v>1</v>
      </c>
      <c r="M75" s="1183">
        <f>(IF(I75=1,1,(J75/K75)))</f>
        <v>1</v>
      </c>
      <c r="N75" s="1159">
        <f>((G75/C75)*M75)</f>
        <v>1</v>
      </c>
      <c r="O75" s="1041">
        <f>IF(((G75/C75)*M75)&gt;=1,3.571428,IF(((G75/C75)*M75)&lt;=0,0,((G75/C75)*M75)*3.571428))</f>
        <v>3.571428</v>
      </c>
      <c r="P75" s="913">
        <f t="shared" si="26"/>
        <v>1</v>
      </c>
      <c r="Q75" s="1184" t="s">
        <v>95</v>
      </c>
      <c r="R75" s="297"/>
      <c r="S75" s="110"/>
    </row>
    <row r="76" spans="1:19" ht="20.45" customHeight="1" thickBot="1" x14ac:dyDescent="0.5">
      <c r="B76" s="1682" t="s">
        <v>67</v>
      </c>
      <c r="C76" s="1683"/>
      <c r="D76" s="1683"/>
      <c r="E76" s="1683"/>
      <c r="F76" s="1684"/>
      <c r="G76" s="1185"/>
      <c r="H76" s="1420"/>
      <c r="I76" s="1421"/>
      <c r="J76" s="1186"/>
      <c r="K76" s="885"/>
      <c r="L76" s="885"/>
      <c r="M76" s="1185"/>
      <c r="N76" s="911">
        <f t="shared" ref="N76:O77" si="28">N77</f>
        <v>0</v>
      </c>
      <c r="O76" s="912">
        <f t="shared" si="28"/>
        <v>0</v>
      </c>
      <c r="P76" s="913">
        <f t="shared" si="26"/>
        <v>0</v>
      </c>
      <c r="Q76" s="1187"/>
      <c r="R76" s="685"/>
      <c r="S76" s="685"/>
    </row>
    <row r="77" spans="1:19" ht="20.45" customHeight="1" thickBot="1" x14ac:dyDescent="0.5">
      <c r="B77" s="1670" t="s">
        <v>68</v>
      </c>
      <c r="C77" s="1671"/>
      <c r="D77" s="1671"/>
      <c r="E77" s="1671"/>
      <c r="F77" s="1672"/>
      <c r="G77" s="996"/>
      <c r="H77" s="1406"/>
      <c r="I77" s="1407"/>
      <c r="J77" s="1016"/>
      <c r="K77" s="1017"/>
      <c r="L77" s="1017"/>
      <c r="M77" s="998"/>
      <c r="N77" s="911">
        <f t="shared" si="28"/>
        <v>0</v>
      </c>
      <c r="O77" s="912">
        <f t="shared" si="28"/>
        <v>0</v>
      </c>
      <c r="P77" s="913">
        <f t="shared" si="26"/>
        <v>0</v>
      </c>
      <c r="Q77" s="1123"/>
      <c r="R77" s="794"/>
      <c r="S77" s="794"/>
    </row>
    <row r="78" spans="1:19" ht="35.25" thickBot="1" x14ac:dyDescent="0.5">
      <c r="A78" s="22">
        <v>21</v>
      </c>
      <c r="B78" s="1172" t="s">
        <v>69</v>
      </c>
      <c r="C78" s="1181">
        <f>M5</f>
        <v>3.5714285714285716</v>
      </c>
      <c r="D78" s="1188" t="s">
        <v>141</v>
      </c>
      <c r="E78" s="1181">
        <f>C78</f>
        <v>3.5714285714285716</v>
      </c>
      <c r="F78" s="1188" t="s">
        <v>70</v>
      </c>
      <c r="G78" s="1155">
        <f>E78/1</f>
        <v>3.5714285714285716</v>
      </c>
      <c r="H78" s="96"/>
      <c r="I78" s="805"/>
      <c r="J78" s="1157">
        <f>IF(I78=H78,(H78-60),H78-I78)</f>
        <v>-60</v>
      </c>
      <c r="K78" s="1051">
        <f>IF(I78&gt;=60,0,((60-I78)*(6/10)))</f>
        <v>36</v>
      </c>
      <c r="L78" s="1158">
        <f t="shared" ref="L78" si="29">K78+I78</f>
        <v>36</v>
      </c>
      <c r="M78" s="1039">
        <f>IF(I78&gt;=60,(1+(H78-60)/60),(H78/L78))</f>
        <v>0</v>
      </c>
      <c r="N78" s="1159">
        <f>((G78/C78)*M78)</f>
        <v>0</v>
      </c>
      <c r="O78" s="1041">
        <f>IF(((G78/C78)*M78)&gt;=1,3.571428,IF(((G78/C78)*M78)&lt;=0,0,((G78/C78)*M78)*3.571428))</f>
        <v>0</v>
      </c>
      <c r="P78" s="913">
        <f t="shared" si="26"/>
        <v>0</v>
      </c>
      <c r="Q78" s="1189" t="s">
        <v>95</v>
      </c>
      <c r="R78" s="110"/>
      <c r="S78" s="799" t="s">
        <v>615</v>
      </c>
    </row>
    <row r="79" spans="1:19" ht="21.6" customHeight="1" thickBot="1" x14ac:dyDescent="0.5">
      <c r="B79" s="1673" t="s">
        <v>71</v>
      </c>
      <c r="C79" s="1674"/>
      <c r="D79" s="1674"/>
      <c r="E79" s="1674"/>
      <c r="F79" s="1675"/>
      <c r="G79" s="1185"/>
      <c r="H79" s="1420"/>
      <c r="I79" s="1421"/>
      <c r="J79" s="1190"/>
      <c r="K79" s="1191"/>
      <c r="L79" s="1191"/>
      <c r="M79" s="1185"/>
      <c r="N79" s="911">
        <f>(N80+N86)/2</f>
        <v>0.70902063434769347</v>
      </c>
      <c r="O79" s="912">
        <f>(O80+O86)</f>
        <v>7.1298606479728015</v>
      </c>
      <c r="P79" s="913">
        <f>O79/10.714284</f>
        <v>0.6654537669500642</v>
      </c>
      <c r="Q79" s="1187"/>
      <c r="R79" s="685"/>
      <c r="S79" s="685"/>
    </row>
    <row r="80" spans="1:19" ht="20.45" customHeight="1" thickBot="1" x14ac:dyDescent="0.5">
      <c r="B80" s="1614" t="s">
        <v>72</v>
      </c>
      <c r="C80" s="1615"/>
      <c r="D80" s="1615"/>
      <c r="E80" s="1615"/>
      <c r="F80" s="1616"/>
      <c r="G80" s="1018"/>
      <c r="H80" s="1406"/>
      <c r="I80" s="1407"/>
      <c r="J80" s="997"/>
      <c r="K80" s="997"/>
      <c r="L80" s="997"/>
      <c r="M80" s="1018"/>
      <c r="N80" s="911">
        <f>(N81+N83)/2</f>
        <v>0.80012405212396287</v>
      </c>
      <c r="O80" s="912">
        <f>(O81+O83)</f>
        <v>4.9230137990275527</v>
      </c>
      <c r="P80" s="913">
        <f>O80/7.142856</f>
        <v>0.68922204213938409</v>
      </c>
      <c r="Q80" s="1192"/>
      <c r="R80" s="687"/>
      <c r="S80" s="687"/>
    </row>
    <row r="81" spans="1:19" ht="46.9" thickBot="1" x14ac:dyDescent="0.5">
      <c r="A81" s="22"/>
      <c r="B81" s="1676" t="s">
        <v>73</v>
      </c>
      <c r="C81" s="1678">
        <f>M5</f>
        <v>3.5714285714285716</v>
      </c>
      <c r="D81" s="999" t="s">
        <v>267</v>
      </c>
      <c r="E81" s="931">
        <f>$C$81/2</f>
        <v>1.7857142857142858</v>
      </c>
      <c r="F81" s="1124" t="s">
        <v>278</v>
      </c>
      <c r="G81" s="978">
        <f>E81/1</f>
        <v>1.7857142857142858</v>
      </c>
      <c r="H81" s="101"/>
      <c r="I81" s="106">
        <v>10</v>
      </c>
      <c r="J81" s="1088">
        <f>IF(I81=H81,(H81-50),H81-I81)</f>
        <v>-10</v>
      </c>
      <c r="K81" s="980">
        <f>IF(I81&gt;=50,0,((50-I81)*(6/10)))</f>
        <v>24</v>
      </c>
      <c r="L81" s="1193">
        <f>I81+K81</f>
        <v>34</v>
      </c>
      <c r="M81" s="989" t="str">
        <f>IF(H81=0,"0%",J81/K81)</f>
        <v>0%</v>
      </c>
      <c r="N81" s="1627">
        <f>(((G81/C81)*M81)+((G82/C81)*M82))</f>
        <v>0.37844408427876824</v>
      </c>
      <c r="O81" s="1646">
        <f>IF((((G81/C81)*M81)+((G82/C81)*M82))&gt;=1,3.57148,IF((((G81/C81)*M81)+((G82/C81)*M82))&lt;=0,0, (((G81/C81)*M81)+((G82/C81)*M82))*3.571428))</f>
        <v>1.3515857990275528</v>
      </c>
      <c r="P81" s="1630">
        <f>O81/3.571428</f>
        <v>0.37844408427876824</v>
      </c>
      <c r="Q81" s="1194" t="s">
        <v>279</v>
      </c>
      <c r="R81" s="806" t="s">
        <v>767</v>
      </c>
      <c r="S81" s="799" t="s">
        <v>768</v>
      </c>
    </row>
    <row r="82" spans="1:19" ht="39.6" customHeight="1" thickBot="1" x14ac:dyDescent="0.5">
      <c r="A82" s="22"/>
      <c r="B82" s="1677"/>
      <c r="C82" s="1575"/>
      <c r="D82" s="1024" t="s">
        <v>268</v>
      </c>
      <c r="E82" s="944">
        <f>$C$81/2</f>
        <v>1.7857142857142858</v>
      </c>
      <c r="F82" s="1025" t="s">
        <v>74</v>
      </c>
      <c r="G82" s="992">
        <f>E82/1</f>
        <v>1.7857142857142858</v>
      </c>
      <c r="H82" s="115">
        <v>18.68</v>
      </c>
      <c r="I82" s="114">
        <v>16.7</v>
      </c>
      <c r="J82" s="1195">
        <f>IF(I82=H82,(H82-30),H82-I82)</f>
        <v>1.9800000000000004</v>
      </c>
      <c r="K82" s="994">
        <f>IF(I82&gt;=30,0,((30-I82)*(6/10)))</f>
        <v>7.98</v>
      </c>
      <c r="L82" s="1196">
        <f t="shared" ref="L82" si="30">K82+I82</f>
        <v>24.68</v>
      </c>
      <c r="M82" s="950">
        <f>IF(I82&gt;=30,(1+(H82-30)/30),(H82/L82))</f>
        <v>0.75688816855753649</v>
      </c>
      <c r="N82" s="1629"/>
      <c r="O82" s="1647"/>
      <c r="P82" s="1631"/>
      <c r="Q82" s="1197" t="s">
        <v>282</v>
      </c>
      <c r="R82" s="807" t="s">
        <v>730</v>
      </c>
      <c r="S82" s="259" t="s">
        <v>769</v>
      </c>
    </row>
    <row r="83" spans="1:19" ht="60" customHeight="1" x14ac:dyDescent="0.45">
      <c r="A83" s="22"/>
      <c r="B83" s="1660" t="s">
        <v>142</v>
      </c>
      <c r="C83" s="1662">
        <f>M5</f>
        <v>3.5714285714285716</v>
      </c>
      <c r="D83" s="1198" t="s">
        <v>145</v>
      </c>
      <c r="E83" s="931">
        <f>$C$81/3</f>
        <v>1.1904761904761905</v>
      </c>
      <c r="F83" s="999" t="s">
        <v>143</v>
      </c>
      <c r="G83" s="931">
        <f>E83/1</f>
        <v>1.1904761904761905</v>
      </c>
      <c r="H83" s="101">
        <v>14</v>
      </c>
      <c r="I83" s="106">
        <v>21.8</v>
      </c>
      <c r="J83" s="1199">
        <f>I83-H83</f>
        <v>7.8000000000000007</v>
      </c>
      <c r="K83" s="1077">
        <f>(0.2*I83)*(6/10)</f>
        <v>2.6160000000000001</v>
      </c>
      <c r="L83" s="1200">
        <f>I83-K83</f>
        <v>19.184000000000001</v>
      </c>
      <c r="M83" s="935">
        <f>IF(K83&lt;&gt;0,J83/K83,"0%")</f>
        <v>2.9816513761467891</v>
      </c>
      <c r="N83" s="1665">
        <f>(((G83/C83)*M83)+((G84/C83)*M84)+((G85/C83)*M85))</f>
        <v>1.2218040199691576</v>
      </c>
      <c r="O83" s="1632">
        <f>IF((((G83/C83)*M83)+((G84/C83)*M84)+((G85/C83)*M85))&gt;=1,3.571428,IF((((G83/C83)*M83)+((G84/C83)*M84)+((G85/C83)*M85))&lt;=0,0,(((G83/C83)*M83)+((G84/C83)*M84)+((G85/C83)*M85))*3.571428))</f>
        <v>3.571428</v>
      </c>
      <c r="P83" s="1630">
        <f>O83/3.571428</f>
        <v>1</v>
      </c>
      <c r="Q83" s="1201" t="s">
        <v>184</v>
      </c>
      <c r="R83" s="808" t="s">
        <v>770</v>
      </c>
      <c r="S83" s="262" t="s">
        <v>771</v>
      </c>
    </row>
    <row r="84" spans="1:19" ht="45" customHeight="1" x14ac:dyDescent="0.45">
      <c r="A84" s="22"/>
      <c r="B84" s="1660"/>
      <c r="C84" s="1663"/>
      <c r="D84" s="1202" t="s">
        <v>146</v>
      </c>
      <c r="E84" s="1005">
        <f t="shared" ref="E84:E85" si="31">$C$81/3</f>
        <v>1.1904761904761905</v>
      </c>
      <c r="F84" s="1128" t="s">
        <v>283</v>
      </c>
      <c r="G84" s="1005">
        <f>E84/1</f>
        <v>1.1904761904761905</v>
      </c>
      <c r="H84" s="299">
        <v>3.1</v>
      </c>
      <c r="I84" s="300">
        <v>3.9</v>
      </c>
      <c r="J84" s="1203">
        <f>I84-H84</f>
        <v>0.79999999999999982</v>
      </c>
      <c r="K84" s="1077">
        <f>(0.5*I84)*(6/10)</f>
        <v>1.17</v>
      </c>
      <c r="L84" s="1204">
        <f>I84-K84</f>
        <v>2.73</v>
      </c>
      <c r="M84" s="971">
        <f>IF(H84&lt;=0,100%, IF(K84&lt;&gt;0,J84/K84,"0%"))</f>
        <v>0.68376068376068366</v>
      </c>
      <c r="N84" s="1666"/>
      <c r="O84" s="1633"/>
      <c r="P84" s="1635"/>
      <c r="Q84" s="1205" t="s">
        <v>185</v>
      </c>
      <c r="R84" s="809" t="s">
        <v>772</v>
      </c>
      <c r="S84" s="810" t="s">
        <v>773</v>
      </c>
    </row>
    <row r="85" spans="1:19" ht="38.450000000000003" customHeight="1" thickBot="1" x14ac:dyDescent="0.5">
      <c r="A85" s="22"/>
      <c r="B85" s="1661"/>
      <c r="C85" s="1664"/>
      <c r="D85" s="1206" t="s">
        <v>147</v>
      </c>
      <c r="E85" s="944">
        <f t="shared" si="31"/>
        <v>1.1904761904761905</v>
      </c>
      <c r="F85" s="1025" t="s">
        <v>144</v>
      </c>
      <c r="G85" s="944">
        <f>E85/1</f>
        <v>1.1904761904761905</v>
      </c>
      <c r="H85" s="115"/>
      <c r="I85" s="114"/>
      <c r="J85" s="1207">
        <f>H85-I85</f>
        <v>0</v>
      </c>
      <c r="K85" s="1208">
        <f>(100-I85)*(6/10)</f>
        <v>60</v>
      </c>
      <c r="L85" s="1209">
        <f>I85+K85</f>
        <v>60</v>
      </c>
      <c r="M85" s="971">
        <f>IF(H85&gt;=100,167%, IF(K85&lt;&gt;0,J85/K85,"0%"))</f>
        <v>0</v>
      </c>
      <c r="N85" s="1667"/>
      <c r="O85" s="1634"/>
      <c r="P85" s="1631"/>
      <c r="Q85" s="1210" t="s">
        <v>284</v>
      </c>
      <c r="R85" s="811"/>
      <c r="S85" s="799" t="s">
        <v>615</v>
      </c>
    </row>
    <row r="86" spans="1:19" ht="20.45" customHeight="1" thickBot="1" x14ac:dyDescent="0.5">
      <c r="B86" s="1648" t="s">
        <v>75</v>
      </c>
      <c r="C86" s="1649"/>
      <c r="D86" s="1649"/>
      <c r="E86" s="1649"/>
      <c r="F86" s="1650"/>
      <c r="G86" s="1162"/>
      <c r="H86" s="1398"/>
      <c r="I86" s="1399"/>
      <c r="J86" s="1211"/>
      <c r="K86" s="1212"/>
      <c r="L86" s="1212"/>
      <c r="M86" s="1018"/>
      <c r="N86" s="911">
        <f>N87</f>
        <v>0.61791721657142418</v>
      </c>
      <c r="O86" s="912">
        <f>O87</f>
        <v>2.2068468489452484</v>
      </c>
      <c r="P86" s="913">
        <f>O86/3.571428</f>
        <v>0.61791721657142418</v>
      </c>
      <c r="Q86" s="1085"/>
      <c r="R86" s="794"/>
      <c r="S86" s="794"/>
    </row>
    <row r="87" spans="1:19" ht="27.6" customHeight="1" x14ac:dyDescent="0.45">
      <c r="A87" s="1651">
        <v>24</v>
      </c>
      <c r="B87" s="1652" t="s">
        <v>76</v>
      </c>
      <c r="C87" s="1654">
        <f>M5</f>
        <v>3.5714285714285716</v>
      </c>
      <c r="D87" s="1073" t="s">
        <v>159</v>
      </c>
      <c r="E87" s="1074">
        <f>($C$87/3)</f>
        <v>1.1904761904761905</v>
      </c>
      <c r="F87" s="1213" t="s">
        <v>285</v>
      </c>
      <c r="G87" s="1214">
        <f>E87/1</f>
        <v>1.1904761904761905</v>
      </c>
      <c r="H87" s="322">
        <v>6.8</v>
      </c>
      <c r="I87" s="323">
        <v>8.1</v>
      </c>
      <c r="J87" s="1215">
        <f>I87-H87</f>
        <v>1.2999999999999998</v>
      </c>
      <c r="K87" s="1216">
        <f>(0.25*I87)*(6/10)</f>
        <v>1.2149999999999999</v>
      </c>
      <c r="L87" s="1217">
        <f>I87-K87</f>
        <v>6.8849999999999998</v>
      </c>
      <c r="M87" s="935">
        <f>IF(K87&lt;&gt;0,J87/K87,"0%")</f>
        <v>1.0699588477366255</v>
      </c>
      <c r="N87" s="1657">
        <f>(((G87/C87)*M87)+((G88/C87)*M88)+((G89/C87)*M89)+((G90/C87)*M90)+((G91/C87)*M91))</f>
        <v>0.61791721657142418</v>
      </c>
      <c r="O87" s="1632">
        <f>IF((((G87/C87)*M87)+((G88/C87)*M88)+((G89/C87)*M89)+((G90/C87)*M90)+((G91/C87)*M91))&gt;=1,3.571428,IF((((G87/C87)*M87)+((G88/C87)*M88)+((G89/C87)*M89)+((G90/C87)*M90)+((G91/C87)*M91))&lt;=0,0,((((G87/C87)*M87)+((G88/C87)*M88)+((G89/C87)*M89)+((G90/C87)*M90)+((G91/C87)*M91))*3.571428)))</f>
        <v>2.2068468489452484</v>
      </c>
      <c r="P87" s="1630">
        <f>O87/3.571428</f>
        <v>0.61791721657142418</v>
      </c>
      <c r="Q87" s="1218" t="s">
        <v>186</v>
      </c>
      <c r="R87" s="812" t="s">
        <v>726</v>
      </c>
      <c r="S87" s="813" t="s">
        <v>774</v>
      </c>
    </row>
    <row r="88" spans="1:19" ht="25.8" customHeight="1" x14ac:dyDescent="0.45">
      <c r="A88" s="1651"/>
      <c r="B88" s="1652"/>
      <c r="C88" s="1655"/>
      <c r="D88" s="1668" t="s">
        <v>160</v>
      </c>
      <c r="E88" s="1669">
        <f>C87/3</f>
        <v>1.1904761904761905</v>
      </c>
      <c r="F88" s="1006" t="s">
        <v>77</v>
      </c>
      <c r="G88" s="1219">
        <f>$E$88/3</f>
        <v>0.3968253968253968</v>
      </c>
      <c r="H88" s="118">
        <v>45.6</v>
      </c>
      <c r="I88" s="121">
        <v>46.6</v>
      </c>
      <c r="J88" s="1220">
        <f>I88-H88</f>
        <v>1</v>
      </c>
      <c r="K88" s="1221">
        <f>I88*(6/10)</f>
        <v>27.96</v>
      </c>
      <c r="L88" s="1222">
        <f>I88-K88</f>
        <v>18.64</v>
      </c>
      <c r="M88" s="989">
        <f>IF(K88&lt;&gt;0,J88/K88,"0%")</f>
        <v>3.5765379113018594E-2</v>
      </c>
      <c r="N88" s="1658"/>
      <c r="O88" s="1633"/>
      <c r="P88" s="1635"/>
      <c r="Q88" s="1223" t="s">
        <v>187</v>
      </c>
      <c r="R88" s="814" t="s">
        <v>775</v>
      </c>
      <c r="S88" s="261" t="s">
        <v>752</v>
      </c>
    </row>
    <row r="89" spans="1:19" ht="59.65" customHeight="1" x14ac:dyDescent="0.45">
      <c r="A89" s="1651"/>
      <c r="B89" s="1652"/>
      <c r="C89" s="1655"/>
      <c r="D89" s="1668"/>
      <c r="E89" s="1669"/>
      <c r="F89" s="1006" t="s">
        <v>78</v>
      </c>
      <c r="G89" s="1219">
        <f>$E$88/3</f>
        <v>0.3968253968253968</v>
      </c>
      <c r="H89" s="118">
        <v>6.4</v>
      </c>
      <c r="I89" s="121">
        <v>8.6999999999999993</v>
      </c>
      <c r="J89" s="1220">
        <f>I89-H89</f>
        <v>2.2999999999999989</v>
      </c>
      <c r="K89" s="1221">
        <f>I89*(6/10)</f>
        <v>5.22</v>
      </c>
      <c r="L89" s="1222">
        <f>I89-K89</f>
        <v>3.4799999999999995</v>
      </c>
      <c r="M89" s="989">
        <f>IF(K89&lt;&gt;0,J89/K89,"0%")</f>
        <v>0.4406130268199232</v>
      </c>
      <c r="N89" s="1658"/>
      <c r="O89" s="1633"/>
      <c r="P89" s="1635"/>
      <c r="Q89" s="1223" t="s">
        <v>188</v>
      </c>
      <c r="R89" s="814" t="s">
        <v>775</v>
      </c>
      <c r="S89" s="261" t="s">
        <v>776</v>
      </c>
    </row>
    <row r="90" spans="1:19" ht="26.45" customHeight="1" x14ac:dyDescent="0.45">
      <c r="A90" s="1651"/>
      <c r="B90" s="1652"/>
      <c r="C90" s="1655"/>
      <c r="D90" s="1668"/>
      <c r="E90" s="1669"/>
      <c r="F90" s="1006" t="s">
        <v>79</v>
      </c>
      <c r="G90" s="1219">
        <f>$E$88/3</f>
        <v>0.3968253968253968</v>
      </c>
      <c r="H90" s="122"/>
      <c r="I90" s="123"/>
      <c r="J90" s="1220">
        <f>I90-H90</f>
        <v>0</v>
      </c>
      <c r="K90" s="1224">
        <f>(I90)*(6/10)</f>
        <v>0</v>
      </c>
      <c r="L90" s="1225">
        <f>I90-K90</f>
        <v>0</v>
      </c>
      <c r="M90" s="989" t="str">
        <f>IF(H90=0,"0%",J90/K90)</f>
        <v>0%</v>
      </c>
      <c r="N90" s="1658"/>
      <c r="O90" s="1633"/>
      <c r="P90" s="1635"/>
      <c r="Q90" s="1226" t="s">
        <v>189</v>
      </c>
      <c r="R90" s="178"/>
      <c r="S90" s="277"/>
    </row>
    <row r="91" spans="1:19" ht="40.799999999999997" customHeight="1" thickBot="1" x14ac:dyDescent="0.5">
      <c r="A91" s="1651"/>
      <c r="B91" s="1653"/>
      <c r="C91" s="1656"/>
      <c r="D91" s="991" t="s">
        <v>161</v>
      </c>
      <c r="E91" s="944">
        <f>$C$87/3</f>
        <v>1.1904761904761905</v>
      </c>
      <c r="F91" s="1227" t="s">
        <v>80</v>
      </c>
      <c r="G91" s="1228">
        <f>E91/1</f>
        <v>1.1904761904761905</v>
      </c>
      <c r="H91" s="117">
        <v>50</v>
      </c>
      <c r="I91" s="124">
        <v>50</v>
      </c>
      <c r="J91" s="1229">
        <f>H91-I91</f>
        <v>0</v>
      </c>
      <c r="K91" s="1208">
        <f>(100-I91)*(6/10)</f>
        <v>30</v>
      </c>
      <c r="L91" s="1230">
        <f>I91+K91</f>
        <v>80</v>
      </c>
      <c r="M91" s="950">
        <f>IF(I91&gt;=60,(1+(H91-60)/60),(H91/L91))</f>
        <v>0.625</v>
      </c>
      <c r="N91" s="1659"/>
      <c r="O91" s="1634"/>
      <c r="P91" s="1631"/>
      <c r="Q91" s="1231" t="s">
        <v>95</v>
      </c>
      <c r="R91" s="179"/>
      <c r="S91" s="266"/>
    </row>
    <row r="92" spans="1:19" ht="14.65" thickBot="1" x14ac:dyDescent="0.5">
      <c r="B92" s="1586" t="s">
        <v>81</v>
      </c>
      <c r="C92" s="1587"/>
      <c r="D92" s="1587"/>
      <c r="E92" s="1587"/>
      <c r="F92" s="1588"/>
      <c r="G92" s="11"/>
      <c r="H92" s="815"/>
      <c r="I92" s="816"/>
      <c r="J92" s="225"/>
      <c r="K92" s="11"/>
      <c r="L92" s="11"/>
      <c r="M92" s="223"/>
      <c r="N92" s="911">
        <f>(N93+N97)/2</f>
        <v>0.52342025313642482</v>
      </c>
      <c r="O92" s="912">
        <f>(O93+O97)</f>
        <v>6.1756630862376909</v>
      </c>
      <c r="P92" s="913">
        <f>O92/14.285712</f>
        <v>0.43229648520407599</v>
      </c>
      <c r="Q92" s="1099"/>
      <c r="R92" s="691"/>
      <c r="S92" s="685"/>
    </row>
    <row r="93" spans="1:19" ht="20.45" customHeight="1" thickBot="1" x14ac:dyDescent="0.5">
      <c r="B93" s="1614" t="s">
        <v>82</v>
      </c>
      <c r="C93" s="1615"/>
      <c r="D93" s="1615"/>
      <c r="E93" s="1615"/>
      <c r="F93" s="1616"/>
      <c r="G93" s="996"/>
      <c r="H93" s="1402"/>
      <c r="I93" s="1403"/>
      <c r="J93" s="1017"/>
      <c r="K93" s="1017"/>
      <c r="L93" s="1017"/>
      <c r="M93" s="1018"/>
      <c r="N93" s="911">
        <f>N94</f>
        <v>0.70566778900112237</v>
      </c>
      <c r="O93" s="912">
        <f>O94</f>
        <v>2.5202417003367006</v>
      </c>
      <c r="P93" s="913">
        <f>O93/3.571428</f>
        <v>0.70566778900112237</v>
      </c>
      <c r="Q93" s="1086"/>
      <c r="R93" s="687"/>
      <c r="S93" s="794"/>
    </row>
    <row r="94" spans="1:19" ht="34.799999999999997" customHeight="1" x14ac:dyDescent="0.45">
      <c r="A94" s="1617">
        <v>25</v>
      </c>
      <c r="B94" s="1618" t="s">
        <v>83</v>
      </c>
      <c r="C94" s="1621">
        <f>M5</f>
        <v>3.5714285714285716</v>
      </c>
      <c r="D94" s="1624" t="s">
        <v>214</v>
      </c>
      <c r="E94" s="1087">
        <f>$C$94/3</f>
        <v>1.1904761904761905</v>
      </c>
      <c r="F94" s="999" t="s">
        <v>269</v>
      </c>
      <c r="G94" s="1232">
        <f>E94/1</f>
        <v>1.1904761904761905</v>
      </c>
      <c r="H94" s="308">
        <v>25</v>
      </c>
      <c r="I94" s="1280">
        <v>0</v>
      </c>
      <c r="J94" s="1233">
        <f>H94-I94</f>
        <v>25</v>
      </c>
      <c r="K94" s="1234">
        <f>(100-I94)*(6/10)</f>
        <v>60</v>
      </c>
      <c r="L94" s="1235">
        <f>I94+K94</f>
        <v>60</v>
      </c>
      <c r="M94" s="935">
        <f>IF(K94&lt;&gt;0,J94/K94,"100%")</f>
        <v>0.41666666666666669</v>
      </c>
      <c r="N94" s="1627">
        <f>(((G94/C94)*M94)+((G95/C94)*M95)+((G96/C94)*M96))</f>
        <v>0.70566778900112237</v>
      </c>
      <c r="O94" s="1632">
        <f>IF((((G94/C94)*M94)+((G95/C94)*M95)+((G96/C94)*M96))&gt;=1,3.571428,IF((((G94/C94)*M94)+((G95/C94)*M95)+((G96/C94)*M96))&lt;=0,0,(((G94/C94)*M94)+((G95/C94)*M95)+((G96/C94)*M96))*3.571428))</f>
        <v>2.5202417003367006</v>
      </c>
      <c r="P94" s="1630">
        <f>O94/3.571428</f>
        <v>0.70566778900112237</v>
      </c>
      <c r="Q94" s="1236" t="s">
        <v>190</v>
      </c>
      <c r="R94" s="258" t="s">
        <v>777</v>
      </c>
      <c r="S94" s="258" t="s">
        <v>778</v>
      </c>
    </row>
    <row r="95" spans="1:19" ht="39.6" customHeight="1" x14ac:dyDescent="0.45">
      <c r="A95" s="1617"/>
      <c r="B95" s="1619"/>
      <c r="C95" s="1622"/>
      <c r="D95" s="1625"/>
      <c r="E95" s="1237">
        <f t="shared" ref="E95:E96" si="32">$C$94/3</f>
        <v>1.1904761904761905</v>
      </c>
      <c r="F95" s="1128" t="s">
        <v>270</v>
      </c>
      <c r="G95" s="1219">
        <f>E95/1</f>
        <v>1.1904761904761905</v>
      </c>
      <c r="H95" s="113">
        <v>0.03</v>
      </c>
      <c r="I95" s="1344">
        <v>0.01</v>
      </c>
      <c r="J95" s="1220">
        <f>IF(AND(I95&gt;1,(H95-I95=0)),(H95-1),(H95-I95))</f>
        <v>1.9999999999999997E-2</v>
      </c>
      <c r="K95" s="1066">
        <f>IF(AND(I95&gt;=1,H95&gt;=1),"0",((1-I95)*(6/10)))</f>
        <v>0.59399999999999997</v>
      </c>
      <c r="L95" s="1238">
        <f t="shared" ref="L95:L96" si="33">I95+K95</f>
        <v>0.60399999999999998</v>
      </c>
      <c r="M95" s="989">
        <f>IF(I95&gt;=1,(1+(H95-1)/1),(J95/K95))</f>
        <v>3.3670033670033669E-2</v>
      </c>
      <c r="N95" s="1628"/>
      <c r="O95" s="1633"/>
      <c r="P95" s="1635"/>
      <c r="Q95" s="1239" t="s">
        <v>191</v>
      </c>
      <c r="R95" s="277" t="s">
        <v>779</v>
      </c>
      <c r="S95" s="277" t="s">
        <v>780</v>
      </c>
    </row>
    <row r="96" spans="1:19" ht="41.45" customHeight="1" thickBot="1" x14ac:dyDescent="0.5">
      <c r="A96" s="1617"/>
      <c r="B96" s="1620"/>
      <c r="C96" s="1623"/>
      <c r="D96" s="1626"/>
      <c r="E96" s="1090">
        <f t="shared" si="32"/>
        <v>1.1904761904761905</v>
      </c>
      <c r="F96" s="1024" t="s">
        <v>84</v>
      </c>
      <c r="G96" s="1228">
        <f>E96/1</f>
        <v>1.1904761904761905</v>
      </c>
      <c r="H96" s="115">
        <v>100</v>
      </c>
      <c r="I96" s="1281">
        <v>25</v>
      </c>
      <c r="J96" s="1229">
        <f>H96-I96</f>
        <v>75</v>
      </c>
      <c r="K96" s="1208">
        <f>(100-I96)*(6/10)</f>
        <v>45</v>
      </c>
      <c r="L96" s="1230">
        <f t="shared" si="33"/>
        <v>70</v>
      </c>
      <c r="M96" s="950">
        <f>IF(K96&lt;&gt;0,J96/K96,"100%")</f>
        <v>1.6666666666666667</v>
      </c>
      <c r="N96" s="1629"/>
      <c r="O96" s="1634"/>
      <c r="P96" s="1631"/>
      <c r="Q96" s="1240" t="s">
        <v>95</v>
      </c>
      <c r="R96" s="266" t="s">
        <v>777</v>
      </c>
      <c r="S96" s="266" t="s">
        <v>781</v>
      </c>
    </row>
    <row r="97" spans="1:19" ht="18" customHeight="1" thickBot="1" x14ac:dyDescent="0.5">
      <c r="B97" s="1636" t="s">
        <v>85</v>
      </c>
      <c r="C97" s="1637"/>
      <c r="D97" s="1637"/>
      <c r="E97" s="1637"/>
      <c r="F97" s="1638"/>
      <c r="G97" s="1241"/>
      <c r="H97" s="1422"/>
      <c r="I97" s="1423"/>
      <c r="J97" s="1241"/>
      <c r="K97" s="1242"/>
      <c r="L97" s="1242"/>
      <c r="M97" s="1243"/>
      <c r="N97" s="1244">
        <f>(N98+N99+N100)/3</f>
        <v>0.34117271727172721</v>
      </c>
      <c r="O97" s="1245">
        <f>(O98+O99+O100)</f>
        <v>3.6554213859009907</v>
      </c>
      <c r="P97" s="913">
        <f>O97/10.714284</f>
        <v>0.34117271727172727</v>
      </c>
      <c r="Q97" s="1246"/>
      <c r="R97" s="817"/>
      <c r="S97" s="817"/>
    </row>
    <row r="98" spans="1:19" ht="29.45" customHeight="1" thickBot="1" x14ac:dyDescent="0.5">
      <c r="A98" s="22">
        <v>26</v>
      </c>
      <c r="B98" s="1032" t="s">
        <v>86</v>
      </c>
      <c r="C98" s="1033">
        <f>$M$5</f>
        <v>3.5714285714285716</v>
      </c>
      <c r="D98" s="1032" t="s">
        <v>215</v>
      </c>
      <c r="E98" s="1033">
        <f>C98/1</f>
        <v>3.5714285714285716</v>
      </c>
      <c r="F98" s="1163" t="s">
        <v>291</v>
      </c>
      <c r="G98" s="1033">
        <f>E98/1</f>
        <v>3.5714285714285716</v>
      </c>
      <c r="H98" s="1424"/>
      <c r="I98" s="1425"/>
      <c r="J98" s="1248">
        <f>IF(I98=H98,(H98-10),H98-I98)</f>
        <v>-10</v>
      </c>
      <c r="K98" s="1051">
        <f>IF(I98&gt;=10,0,((10-I98)*(6/10)))</f>
        <v>6</v>
      </c>
      <c r="L98" s="1158">
        <f>I98+K98</f>
        <v>6</v>
      </c>
      <c r="M98" s="989" t="str">
        <f>IF(H98=0,"0%",J98/K98)</f>
        <v>0%</v>
      </c>
      <c r="N98" s="1159">
        <f>((G98/C98)*M98)</f>
        <v>0</v>
      </c>
      <c r="O98" s="1041">
        <f>IF(((G98/C98)*M98)&gt;=1,3.571428,IF(((G98/C98)*M98)&lt;=0,0,((G98/C98)*M98)*3.571428))</f>
        <v>0</v>
      </c>
      <c r="P98" s="913">
        <f>O98/3.571428</f>
        <v>0</v>
      </c>
      <c r="Q98" s="1249" t="s">
        <v>95</v>
      </c>
      <c r="R98" s="818"/>
      <c r="S98" s="685"/>
    </row>
    <row r="99" spans="1:19" ht="35.25" thickBot="1" x14ac:dyDescent="0.5">
      <c r="A99" s="22">
        <v>27</v>
      </c>
      <c r="B99" s="1032" t="s">
        <v>87</v>
      </c>
      <c r="C99" s="1033">
        <f>$M$5</f>
        <v>3.5714285714285716</v>
      </c>
      <c r="D99" s="1032" t="s">
        <v>216</v>
      </c>
      <c r="E99" s="1033">
        <f>C99/1</f>
        <v>3.5714285714285716</v>
      </c>
      <c r="F99" s="1163" t="s">
        <v>271</v>
      </c>
      <c r="G99" s="1033">
        <f>E99/1</f>
        <v>3.5714285714285716</v>
      </c>
      <c r="H99" s="1349">
        <v>21</v>
      </c>
      <c r="I99" s="325">
        <v>14.4</v>
      </c>
      <c r="J99" s="1248">
        <f>IF(I99=H99,(H99-75),H99-I99)</f>
        <v>6.6</v>
      </c>
      <c r="K99" s="1051">
        <f>IF(I99&gt;=75,0,((75-I99)*(6/10)))</f>
        <v>36.36</v>
      </c>
      <c r="L99" s="1182">
        <f>I99+K99</f>
        <v>50.76</v>
      </c>
      <c r="M99" s="989">
        <f>IF(H99=0,"0%",J99/K99)</f>
        <v>0.18151815181518152</v>
      </c>
      <c r="N99" s="1159">
        <f>((G99/C99)*M99)</f>
        <v>0.18151815181518152</v>
      </c>
      <c r="O99" s="1041">
        <f>IF(((G99/C99)*M99)&gt;=1,3.571428,IF(((G99/C99)*M99)&lt;=0,0,((G99/C99)*M99)*3.571428))</f>
        <v>0.64827900990099008</v>
      </c>
      <c r="P99" s="913">
        <f>O99/3.571428</f>
        <v>0.18151815181518152</v>
      </c>
      <c r="Q99" s="1249" t="s">
        <v>192</v>
      </c>
      <c r="R99" s="229" t="s">
        <v>782</v>
      </c>
      <c r="S99" s="685"/>
    </row>
    <row r="100" spans="1:19" ht="30.75" thickBot="1" x14ac:dyDescent="0.5">
      <c r="A100" s="1617">
        <v>28</v>
      </c>
      <c r="B100" s="1639" t="s">
        <v>88</v>
      </c>
      <c r="C100" s="1641">
        <f>M5</f>
        <v>3.5714285714285716</v>
      </c>
      <c r="D100" s="1639" t="s">
        <v>217</v>
      </c>
      <c r="E100" s="1641">
        <f>C100/1</f>
        <v>3.5714285714285716</v>
      </c>
      <c r="F100" s="1124" t="s">
        <v>89</v>
      </c>
      <c r="G100" s="931">
        <f>$E$100/2</f>
        <v>1.7857142857142858</v>
      </c>
      <c r="H100" s="101">
        <v>7.9</v>
      </c>
      <c r="I100" s="106">
        <v>9.1999999999999993</v>
      </c>
      <c r="J100" s="1252">
        <f>IF(I100=H100,(25-H100),I100-H100)</f>
        <v>1.2999999999999989</v>
      </c>
      <c r="K100" s="1105">
        <f>IF(I100&lt;=25,0,((0.25*I100)*(6/10)))</f>
        <v>0</v>
      </c>
      <c r="L100" s="1253">
        <f>I100-K100</f>
        <v>9.1999999999999993</v>
      </c>
      <c r="M100" s="935">
        <f>IF(I100&lt;=25,(1+(25-H100)/25),(J100/K100))</f>
        <v>1.6840000000000002</v>
      </c>
      <c r="N100" s="1644">
        <f>((G100/$C$100)*M100)+((G101/$C$100)*M101)</f>
        <v>0.84200000000000008</v>
      </c>
      <c r="O100" s="1646">
        <f>IF((((G100/C100)*M100)+((G101/C100)*M101))&gt;=1,3.57148,IF((((G100/C100)*M100)+((G101/C100)*M101))&lt;=0,0, (((G100/C100)*M100)+((G101/C100)*M101))*3.571428))</f>
        <v>3.0071423760000004</v>
      </c>
      <c r="P100" s="1630">
        <f>O100/3.571428</f>
        <v>0.84200000000000008</v>
      </c>
      <c r="Q100" s="1254" t="s">
        <v>193</v>
      </c>
      <c r="R100" s="609"/>
      <c r="S100" s="533"/>
    </row>
    <row r="101" spans="1:19" ht="38.450000000000003" customHeight="1" thickBot="1" x14ac:dyDescent="0.5">
      <c r="A101" s="1617"/>
      <c r="B101" s="1640"/>
      <c r="C101" s="1642"/>
      <c r="D101" s="1640"/>
      <c r="E101" s="1643"/>
      <c r="F101" s="1024" t="s">
        <v>90</v>
      </c>
      <c r="G101" s="944">
        <f>$E$100/2</f>
        <v>1.7857142857142858</v>
      </c>
      <c r="H101" s="1426"/>
      <c r="I101" s="1427"/>
      <c r="J101" s="1255">
        <f>IF(I101=H101,(H101-25),H101-I101)</f>
        <v>-25</v>
      </c>
      <c r="K101" s="994">
        <f>IF(I101&gt;=25,0,((25-I101)*(6/10)))</f>
        <v>15</v>
      </c>
      <c r="L101" s="1256">
        <f t="shared" ref="L101" si="34">K101+I101</f>
        <v>15</v>
      </c>
      <c r="M101" s="989" t="str">
        <f>IF(H101=0,"0%",J101/K101)</f>
        <v>0%</v>
      </c>
      <c r="N101" s="1645"/>
      <c r="O101" s="1647"/>
      <c r="P101" s="1631"/>
      <c r="Q101" s="1257" t="s">
        <v>95</v>
      </c>
      <c r="R101" s="181"/>
      <c r="S101" s="193" t="s">
        <v>783</v>
      </c>
    </row>
    <row r="102" spans="1:19" ht="34.25" customHeight="1" thickBot="1" x14ac:dyDescent="0.5">
      <c r="B102" s="1258" t="s">
        <v>194</v>
      </c>
      <c r="C102" s="1259">
        <f>C11+C13+C15+C19+C24+C33+C34+C35+C36+C38+C41+C44+C48+C51+C53+C61+C68+C71+C73+C75+C78+C81+C83+C87+C94+C98+C99+C100</f>
        <v>99.999999999999972</v>
      </c>
      <c r="D102" s="1260"/>
      <c r="E102" s="1259">
        <f>E11+E12+E13+E14+E15+E19+E20+E21+E22+E24+E25+E28+E31+E33+E34+E35+E36+E38+E39+E41+E42+E44+E45+E48+E49++E51+E53+E54+E55+E56+E57+E61+E62+E63+E64+E68+E71+E73+E75+E78+E81++E82+E83+E84+E85+E87+E88+E91+E94+E95+E96+E98+E99+E100</f>
        <v>100.00714285714285</v>
      </c>
      <c r="F102" s="1261"/>
      <c r="G102" s="1259">
        <f>G11+G12+G13+G14+G15+G16+G17+G19+G20+G21+G22+G24+G25+G26+G27+G28+G29+G30+G31+G33+G34+G35+G36+G38+G39+G41+G42+G44+G45+G48+G49+G51+G53+G54+G55+G56+G57+G58+G61+G62+G63+G64+G65+G66+G68+G71+G73+G75+G78+G81+G82+G83+G84+G85+G87+G88+G89+G90+G91+G94+G95+G96+G98+G99+G100+G101</f>
        <v>100.00714285714285</v>
      </c>
      <c r="H102" s="1262"/>
      <c r="I102" s="1263"/>
      <c r="J102" s="1262"/>
      <c r="K102" s="1264"/>
      <c r="L102" s="1261"/>
      <c r="M102" s="1265"/>
      <c r="N102" s="1266"/>
      <c r="O102" s="1267"/>
      <c r="P102" s="1267"/>
      <c r="Q102" s="1268"/>
      <c r="R102" s="26"/>
      <c r="S102" s="27"/>
    </row>
    <row r="104" spans="1:19" ht="15.75" x14ac:dyDescent="0.5">
      <c r="B104" s="28"/>
    </row>
    <row r="107" spans="1:19" ht="15.75" x14ac:dyDescent="0.5">
      <c r="B107" s="28"/>
    </row>
    <row r="108" spans="1:19" x14ac:dyDescent="0.45">
      <c r="B108" s="29"/>
    </row>
    <row r="109" spans="1:19" x14ac:dyDescent="0.45">
      <c r="B109" s="29"/>
    </row>
    <row r="111" spans="1:19" x14ac:dyDescent="0.45">
      <c r="E111"/>
      <c r="F111" s="1269" t="s">
        <v>196</v>
      </c>
    </row>
    <row r="112" spans="1:19" x14ac:dyDescent="0.45">
      <c r="E112" s="1270">
        <v>1</v>
      </c>
      <c r="F112" s="1270" t="s">
        <v>197</v>
      </c>
    </row>
    <row r="113" spans="5:6" x14ac:dyDescent="0.45">
      <c r="E113" s="1270">
        <v>2</v>
      </c>
      <c r="F113" s="1270" t="s">
        <v>227</v>
      </c>
    </row>
    <row r="114" spans="5:6" x14ac:dyDescent="0.45">
      <c r="E114" s="1270">
        <v>3</v>
      </c>
      <c r="F114" s="1270" t="s">
        <v>228</v>
      </c>
    </row>
    <row r="115" spans="5:6" x14ac:dyDescent="0.45">
      <c r="E115" s="1270">
        <v>4</v>
      </c>
      <c r="F115" s="1270" t="s">
        <v>229</v>
      </c>
    </row>
    <row r="116" spans="5:6" x14ac:dyDescent="0.45">
      <c r="E116" s="1270">
        <v>5</v>
      </c>
      <c r="F116" s="1270" t="s">
        <v>198</v>
      </c>
    </row>
    <row r="117" spans="5:6" x14ac:dyDescent="0.45">
      <c r="E117" s="1270">
        <v>6</v>
      </c>
      <c r="F117" s="1270" t="s">
        <v>230</v>
      </c>
    </row>
    <row r="118" spans="5:6" x14ac:dyDescent="0.45">
      <c r="E118" s="1270">
        <v>7</v>
      </c>
      <c r="F118" s="1270" t="s">
        <v>231</v>
      </c>
    </row>
    <row r="119" spans="5:6" x14ac:dyDescent="0.45">
      <c r="E119" s="1270">
        <v>8</v>
      </c>
      <c r="F119" s="1270" t="s">
        <v>199</v>
      </c>
    </row>
    <row r="120" spans="5:6" x14ac:dyDescent="0.45">
      <c r="E120" s="1270">
        <v>9</v>
      </c>
      <c r="F120" s="1270" t="s">
        <v>200</v>
      </c>
    </row>
    <row r="121" spans="5:6" x14ac:dyDescent="0.45">
      <c r="E121" s="1270">
        <v>10</v>
      </c>
      <c r="F121" s="1270" t="s">
        <v>201</v>
      </c>
    </row>
    <row r="122" spans="5:6" x14ac:dyDescent="0.45">
      <c r="E122" s="1270">
        <v>11</v>
      </c>
      <c r="F122" s="1270" t="s">
        <v>232</v>
      </c>
    </row>
    <row r="123" spans="5:6" x14ac:dyDescent="0.45">
      <c r="E123" s="1270">
        <v>12</v>
      </c>
      <c r="F123" s="1270" t="s">
        <v>202</v>
      </c>
    </row>
    <row r="124" spans="5:6" x14ac:dyDescent="0.45">
      <c r="E124" s="1270">
        <f t="shared" ref="E124:E145" si="35">E123+1</f>
        <v>13</v>
      </c>
      <c r="F124" s="1270" t="s">
        <v>203</v>
      </c>
    </row>
    <row r="125" spans="5:6" x14ac:dyDescent="0.45">
      <c r="E125" s="1270">
        <v>14</v>
      </c>
      <c r="F125" s="1270" t="s">
        <v>233</v>
      </c>
    </row>
    <row r="126" spans="5:6" x14ac:dyDescent="0.45">
      <c r="E126" s="1270">
        <v>15</v>
      </c>
      <c r="F126" s="1270" t="s">
        <v>234</v>
      </c>
    </row>
    <row r="127" spans="5:6" x14ac:dyDescent="0.45">
      <c r="E127" s="1270">
        <v>16</v>
      </c>
      <c r="F127" s="1270" t="s">
        <v>213</v>
      </c>
    </row>
    <row r="128" spans="5:6" x14ac:dyDescent="0.45">
      <c r="E128" s="1270">
        <v>17</v>
      </c>
      <c r="F128" s="1270" t="s">
        <v>235</v>
      </c>
    </row>
    <row r="129" spans="5:6" x14ac:dyDescent="0.45">
      <c r="E129" s="1270">
        <v>18</v>
      </c>
      <c r="F129" s="1270" t="s">
        <v>263</v>
      </c>
    </row>
    <row r="130" spans="5:6" x14ac:dyDescent="0.45">
      <c r="E130" s="1270">
        <v>19</v>
      </c>
      <c r="F130" s="1270" t="s">
        <v>204</v>
      </c>
    </row>
    <row r="131" spans="5:6" x14ac:dyDescent="0.45">
      <c r="E131" s="1270">
        <v>20</v>
      </c>
      <c r="F131" s="1270" t="s">
        <v>236</v>
      </c>
    </row>
    <row r="132" spans="5:6" x14ac:dyDescent="0.45">
      <c r="E132" s="1270">
        <v>21</v>
      </c>
      <c r="F132" s="1270" t="s">
        <v>237</v>
      </c>
    </row>
    <row r="133" spans="5:6" x14ac:dyDescent="0.45">
      <c r="E133" s="1270">
        <v>22</v>
      </c>
      <c r="F133" s="1270" t="s">
        <v>238</v>
      </c>
    </row>
    <row r="134" spans="5:6" x14ac:dyDescent="0.45">
      <c r="E134" s="1270">
        <v>23</v>
      </c>
      <c r="F134" s="1270" t="s">
        <v>205</v>
      </c>
    </row>
    <row r="135" spans="5:6" x14ac:dyDescent="0.45">
      <c r="E135" s="1270">
        <v>24</v>
      </c>
      <c r="F135" s="1270" t="s">
        <v>239</v>
      </c>
    </row>
    <row r="136" spans="5:6" x14ac:dyDescent="0.45">
      <c r="E136" s="1270">
        <v>25</v>
      </c>
      <c r="F136" s="1270" t="s">
        <v>240</v>
      </c>
    </row>
    <row r="137" spans="5:6" x14ac:dyDescent="0.45">
      <c r="E137" s="1270">
        <v>26</v>
      </c>
      <c r="F137" s="1270" t="s">
        <v>241</v>
      </c>
    </row>
    <row r="138" spans="5:6" x14ac:dyDescent="0.45">
      <c r="E138" s="1270">
        <v>27</v>
      </c>
      <c r="F138" s="1270" t="s">
        <v>206</v>
      </c>
    </row>
    <row r="139" spans="5:6" x14ac:dyDescent="0.45">
      <c r="E139" s="1270">
        <v>28</v>
      </c>
      <c r="F139" s="1270" t="s">
        <v>242</v>
      </c>
    </row>
    <row r="140" spans="5:6" x14ac:dyDescent="0.45">
      <c r="E140" s="1270">
        <v>29</v>
      </c>
      <c r="F140" s="1270" t="s">
        <v>243</v>
      </c>
    </row>
    <row r="141" spans="5:6" x14ac:dyDescent="0.45">
      <c r="E141" s="1270">
        <v>30</v>
      </c>
      <c r="F141" s="1270" t="s">
        <v>244</v>
      </c>
    </row>
    <row r="142" spans="5:6" x14ac:dyDescent="0.45">
      <c r="E142" s="1270">
        <v>31</v>
      </c>
      <c r="F142" s="1270" t="s">
        <v>245</v>
      </c>
    </row>
    <row r="143" spans="5:6" x14ac:dyDescent="0.45">
      <c r="E143" s="1270">
        <v>32</v>
      </c>
      <c r="F143" s="1270" t="s">
        <v>246</v>
      </c>
    </row>
    <row r="144" spans="5:6" x14ac:dyDescent="0.45">
      <c r="E144" s="1270">
        <v>33</v>
      </c>
      <c r="F144" s="1270" t="s">
        <v>207</v>
      </c>
    </row>
    <row r="145" spans="5:6" x14ac:dyDescent="0.45">
      <c r="E145" s="1270">
        <f t="shared" si="35"/>
        <v>34</v>
      </c>
      <c r="F145" s="1270" t="s">
        <v>208</v>
      </c>
    </row>
    <row r="146" spans="5:6" x14ac:dyDescent="0.45">
      <c r="E146" s="1270">
        <v>35</v>
      </c>
      <c r="F146" s="1270" t="s">
        <v>247</v>
      </c>
    </row>
    <row r="147" spans="5:6" x14ac:dyDescent="0.45">
      <c r="E147" s="1270">
        <v>36</v>
      </c>
      <c r="F147" s="1270" t="s">
        <v>248</v>
      </c>
    </row>
    <row r="148" spans="5:6" x14ac:dyDescent="0.45">
      <c r="E148" s="1270">
        <v>36</v>
      </c>
      <c r="F148" s="1270" t="s">
        <v>249</v>
      </c>
    </row>
    <row r="149" spans="5:6" x14ac:dyDescent="0.45">
      <c r="E149" s="1270">
        <v>38</v>
      </c>
      <c r="F149" s="1270" t="s">
        <v>250</v>
      </c>
    </row>
    <row r="150" spans="5:6" x14ac:dyDescent="0.45">
      <c r="E150" s="1270">
        <v>39</v>
      </c>
      <c r="F150" s="1270" t="s">
        <v>251</v>
      </c>
    </row>
    <row r="151" spans="5:6" x14ac:dyDescent="0.45">
      <c r="E151" s="1270">
        <v>40</v>
      </c>
      <c r="F151" s="1270" t="s">
        <v>209</v>
      </c>
    </row>
    <row r="152" spans="5:6" x14ac:dyDescent="0.45">
      <c r="E152" s="1270">
        <v>41</v>
      </c>
      <c r="F152" s="1270" t="s">
        <v>264</v>
      </c>
    </row>
    <row r="153" spans="5:6" x14ac:dyDescent="0.45">
      <c r="E153" s="1270">
        <v>42</v>
      </c>
      <c r="F153" s="1270" t="s">
        <v>252</v>
      </c>
    </row>
    <row r="154" spans="5:6" x14ac:dyDescent="0.45">
      <c r="E154" s="1270">
        <v>43</v>
      </c>
      <c r="F154" s="1270" t="s">
        <v>253</v>
      </c>
    </row>
    <row r="155" spans="5:6" x14ac:dyDescent="0.45">
      <c r="E155" s="1270">
        <v>44</v>
      </c>
      <c r="F155" s="1270" t="s">
        <v>254</v>
      </c>
    </row>
    <row r="156" spans="5:6" x14ac:dyDescent="0.45">
      <c r="E156" s="1270">
        <v>45</v>
      </c>
      <c r="F156" s="1270" t="s">
        <v>210</v>
      </c>
    </row>
    <row r="157" spans="5:6" x14ac:dyDescent="0.45">
      <c r="E157" s="1270">
        <v>46</v>
      </c>
      <c r="F157" s="1270" t="s">
        <v>255</v>
      </c>
    </row>
    <row r="158" spans="5:6" x14ac:dyDescent="0.45">
      <c r="E158" s="1270">
        <v>47</v>
      </c>
      <c r="F158" s="1270" t="s">
        <v>211</v>
      </c>
    </row>
    <row r="159" spans="5:6" x14ac:dyDescent="0.45">
      <c r="E159" s="1270">
        <v>48</v>
      </c>
      <c r="F159" s="1270" t="s">
        <v>256</v>
      </c>
    </row>
    <row r="160" spans="5:6" x14ac:dyDescent="0.45">
      <c r="E160" s="1270">
        <v>49</v>
      </c>
      <c r="F160" s="1270" t="s">
        <v>257</v>
      </c>
    </row>
    <row r="161" spans="5:6" x14ac:dyDescent="0.45">
      <c r="E161" s="1270">
        <v>50</v>
      </c>
      <c r="F161" s="1270" t="s">
        <v>260</v>
      </c>
    </row>
    <row r="162" spans="5:6" x14ac:dyDescent="0.45">
      <c r="E162" s="1270">
        <v>51</v>
      </c>
      <c r="F162" s="1270" t="s">
        <v>258</v>
      </c>
    </row>
    <row r="163" spans="5:6" x14ac:dyDescent="0.45">
      <c r="E163" s="1270">
        <v>52</v>
      </c>
      <c r="F163" s="1270" t="s">
        <v>212</v>
      </c>
    </row>
    <row r="164" spans="5:6" x14ac:dyDescent="0.45">
      <c r="E164" s="1270">
        <v>53</v>
      </c>
      <c r="F164" s="1270" t="s">
        <v>259</v>
      </c>
    </row>
    <row r="165" spans="5:6" x14ac:dyDescent="0.45">
      <c r="E165" s="1270">
        <v>54</v>
      </c>
      <c r="F165" s="1270" t="s">
        <v>261</v>
      </c>
    </row>
    <row r="166" spans="5:6" x14ac:dyDescent="0.45">
      <c r="E166" s="1270">
        <v>55</v>
      </c>
      <c r="F166" s="1270" t="s">
        <v>262</v>
      </c>
    </row>
    <row r="167" spans="5:6" x14ac:dyDescent="0.45">
      <c r="E167"/>
      <c r="F167"/>
    </row>
    <row r="168" spans="5:6" x14ac:dyDescent="0.45">
      <c r="E168"/>
      <c r="F168"/>
    </row>
  </sheetData>
  <sheetProtection algorithmName="SHA-512" hashValue="k+kpeVQQAU+NRnINad4CJsToQMT/Gskxn1kHPGilLfAAYxfwZms77FIjfcAEKAgYtea1AecP7idW44SjcPJlCQ==" saltValue="cjJhCM4TMRM5cs0YvidcQw==" spinCount="100000" sheet="1" objects="1" scenarios="1"/>
  <mergeCells count="140">
    <mergeCell ref="K4:M4"/>
    <mergeCell ref="B5:K5"/>
    <mergeCell ref="B6:F6"/>
    <mergeCell ref="B7:F7"/>
    <mergeCell ref="B9:F9"/>
    <mergeCell ref="B10:F10"/>
    <mergeCell ref="A13:A14"/>
    <mergeCell ref="B13:B14"/>
    <mergeCell ref="C13:C14"/>
    <mergeCell ref="N13:N14"/>
    <mergeCell ref="O13:O14"/>
    <mergeCell ref="P13:P14"/>
    <mergeCell ref="A11:A12"/>
    <mergeCell ref="B11:B12"/>
    <mergeCell ref="C11:C12"/>
    <mergeCell ref="N11:N12"/>
    <mergeCell ref="O11:O12"/>
    <mergeCell ref="P11:P1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B37:F37"/>
    <mergeCell ref="A38:A39"/>
    <mergeCell ref="B38:B39"/>
    <mergeCell ref="C38:C39"/>
    <mergeCell ref="N38:N39"/>
    <mergeCell ref="O38:O39"/>
    <mergeCell ref="P24:P31"/>
    <mergeCell ref="D25:D27"/>
    <mergeCell ref="E25:E27"/>
    <mergeCell ref="D28:D30"/>
    <mergeCell ref="E28:E30"/>
    <mergeCell ref="B32:F32"/>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77:F77"/>
    <mergeCell ref="B79:F79"/>
    <mergeCell ref="B80:F80"/>
    <mergeCell ref="B81:B82"/>
    <mergeCell ref="C81:C82"/>
    <mergeCell ref="N81:N82"/>
    <mergeCell ref="B67:F67"/>
    <mergeCell ref="B69:F69"/>
    <mergeCell ref="B70:F70"/>
    <mergeCell ref="B72:F72"/>
    <mergeCell ref="B74:F74"/>
    <mergeCell ref="B76:F76"/>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69 O10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80 O59">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5FF3DF58-2101-4A7C-A7F7-45628360AEBB}">
      <formula1>$F$112:$F$166</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B86F7-7C18-4022-B9DD-65541698AC2D}">
  <dimension ref="A1:AA168"/>
  <sheetViews>
    <sheetView topLeftCell="E1" zoomScale="60" zoomScaleNormal="60" workbookViewId="0">
      <selection activeCell="I12" sqref="I12 K12"/>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4" width="15.33203125" style="5" customWidth="1"/>
    <col min="15" max="16" width="15.3320312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871"/>
      <c r="P1" s="871"/>
      <c r="Q1" s="871"/>
      <c r="R1" s="3"/>
      <c r="S1" s="4"/>
      <c r="U1" s="872"/>
      <c r="V1" s="872"/>
      <c r="W1" s="872"/>
      <c r="X1" s="872"/>
      <c r="Y1" s="872"/>
      <c r="Z1" s="872"/>
      <c r="AA1" s="872"/>
    </row>
    <row r="2" spans="1:27" ht="30" x14ac:dyDescent="1.1000000000000001">
      <c r="B2" s="873"/>
      <c r="C2" s="874"/>
      <c r="D2" s="875" t="s">
        <v>286</v>
      </c>
      <c r="E2" s="874"/>
      <c r="F2" s="876"/>
      <c r="G2" s="876"/>
      <c r="H2" s="876"/>
      <c r="I2" s="876"/>
      <c r="J2" s="876"/>
      <c r="K2" s="876"/>
      <c r="L2" s="876"/>
      <c r="M2" s="876"/>
      <c r="N2" s="876"/>
      <c r="O2" s="874"/>
      <c r="P2" s="874"/>
      <c r="Q2" s="874"/>
      <c r="R2" s="876"/>
      <c r="S2" s="6"/>
    </row>
    <row r="3" spans="1:27" ht="14.65" thickBot="1" x14ac:dyDescent="0.5">
      <c r="B3" s="877"/>
      <c r="C3" s="878"/>
      <c r="D3" s="878"/>
      <c r="E3" s="878"/>
      <c r="F3" s="879"/>
      <c r="G3" s="879"/>
      <c r="H3" s="879"/>
      <c r="I3" s="879"/>
      <c r="J3" s="879"/>
      <c r="K3" s="879"/>
      <c r="L3" s="879"/>
      <c r="M3" s="879"/>
      <c r="N3" s="879"/>
      <c r="O3" s="878"/>
      <c r="P3" s="878"/>
      <c r="Q3" s="878"/>
      <c r="R3" s="879"/>
      <c r="S3" s="7"/>
    </row>
    <row r="4" spans="1:27" ht="26.45" customHeight="1" thickBot="1" x14ac:dyDescent="0.5">
      <c r="B4" s="877"/>
      <c r="C4" s="878"/>
      <c r="D4" s="880" t="s">
        <v>195</v>
      </c>
      <c r="E4" s="878"/>
      <c r="F4" s="8" t="s">
        <v>251</v>
      </c>
      <c r="G4" s="879"/>
      <c r="H4" s="879"/>
      <c r="I4" s="879"/>
      <c r="J4" s="879"/>
      <c r="K4" s="1737" t="s">
        <v>723</v>
      </c>
      <c r="L4" s="1738"/>
      <c r="M4" s="1739"/>
      <c r="N4" s="881">
        <f>(N9+N46+N59+N69+N76+N79+N92)/7</f>
        <v>-3.4104879956142323E-2</v>
      </c>
      <c r="O4" s="882">
        <f>(O9+O46+O59+O69+O76+O79+O92)</f>
        <v>12.836757268452967</v>
      </c>
      <c r="P4" s="881">
        <f>O4/100</f>
        <v>0.12836757268452967</v>
      </c>
      <c r="Q4" s="878"/>
      <c r="R4" s="879"/>
      <c r="S4" s="7"/>
    </row>
    <row r="5" spans="1:27" ht="18.399999999999999" thickBot="1" x14ac:dyDescent="0.6">
      <c r="B5" s="1740"/>
      <c r="C5" s="1741"/>
      <c r="D5" s="1741"/>
      <c r="E5" s="1741"/>
      <c r="F5" s="1741"/>
      <c r="G5" s="1741"/>
      <c r="H5" s="1741"/>
      <c r="I5" s="1741"/>
      <c r="J5" s="1741"/>
      <c r="K5" s="1741"/>
      <c r="L5" s="68"/>
      <c r="M5" s="883">
        <f>100/28</f>
        <v>3.5714285714285716</v>
      </c>
      <c r="N5" s="9"/>
      <c r="O5" s="1378"/>
      <c r="P5" s="1378"/>
      <c r="Q5" s="884"/>
      <c r="R5" s="9"/>
      <c r="S5" s="10"/>
    </row>
    <row r="6" spans="1:27" ht="33.6" customHeight="1" thickBot="1" x14ac:dyDescent="0.5">
      <c r="B6" s="1742"/>
      <c r="C6" s="1743"/>
      <c r="D6" s="1743"/>
      <c r="E6" s="1743"/>
      <c r="F6" s="1744"/>
      <c r="G6" s="885"/>
      <c r="H6" s="885"/>
      <c r="I6" s="885"/>
      <c r="J6" s="885"/>
      <c r="K6" s="885"/>
      <c r="L6" s="885"/>
      <c r="M6" s="885"/>
      <c r="N6" s="886"/>
      <c r="O6" s="887"/>
      <c r="P6" s="887"/>
      <c r="Q6" s="886"/>
      <c r="R6" s="12"/>
      <c r="S6" s="13"/>
    </row>
    <row r="7" spans="1:27" ht="55.8" customHeight="1" thickBot="1" x14ac:dyDescent="0.5">
      <c r="B7" s="1745"/>
      <c r="C7" s="1746"/>
      <c r="D7" s="1746"/>
      <c r="E7" s="1746"/>
      <c r="F7" s="1747"/>
      <c r="G7" s="888"/>
      <c r="H7" s="889" t="s">
        <v>218</v>
      </c>
      <c r="I7" s="890" t="s">
        <v>219</v>
      </c>
      <c r="J7" s="891" t="s">
        <v>91</v>
      </c>
      <c r="K7" s="892" t="s">
        <v>107</v>
      </c>
      <c r="L7" s="892" t="s">
        <v>104</v>
      </c>
      <c r="M7" s="892" t="s">
        <v>105</v>
      </c>
      <c r="N7" s="890" t="s">
        <v>106</v>
      </c>
      <c r="O7" s="890" t="s">
        <v>646</v>
      </c>
      <c r="P7" s="893" t="s">
        <v>647</v>
      </c>
      <c r="Q7" s="894" t="s">
        <v>93</v>
      </c>
      <c r="R7" s="895" t="s">
        <v>110</v>
      </c>
      <c r="S7" s="896" t="s">
        <v>103</v>
      </c>
    </row>
    <row r="8" spans="1:27" ht="25.25" customHeight="1" thickBot="1" x14ac:dyDescent="0.5">
      <c r="B8" s="897" t="s">
        <v>2</v>
      </c>
      <c r="C8" s="897" t="s">
        <v>92</v>
      </c>
      <c r="D8" s="897" t="s">
        <v>3</v>
      </c>
      <c r="E8" s="897" t="s">
        <v>94</v>
      </c>
      <c r="F8" s="897" t="s">
        <v>102</v>
      </c>
      <c r="G8" s="897" t="s">
        <v>96</v>
      </c>
      <c r="H8" s="898"/>
      <c r="I8" s="899"/>
      <c r="J8" s="898"/>
      <c r="K8" s="900"/>
      <c r="L8" s="900"/>
      <c r="M8" s="897"/>
      <c r="N8" s="901"/>
      <c r="O8" s="902"/>
      <c r="P8" s="903"/>
      <c r="Q8" s="899"/>
      <c r="R8" s="901"/>
      <c r="S8" s="901"/>
      <c r="V8" s="904" t="s">
        <v>151</v>
      </c>
      <c r="W8" s="905"/>
      <c r="X8" s="905"/>
      <c r="Y8" s="905"/>
      <c r="Z8" s="906"/>
    </row>
    <row r="9" spans="1:27" s="207" customFormat="1" ht="25.25" customHeight="1" thickBot="1" x14ac:dyDescent="0.5">
      <c r="B9" s="1748" t="s">
        <v>0</v>
      </c>
      <c r="C9" s="1749"/>
      <c r="D9" s="1749"/>
      <c r="E9" s="1749"/>
      <c r="F9" s="1750"/>
      <c r="G9" s="907"/>
      <c r="H9" s="908"/>
      <c r="I9" s="909"/>
      <c r="J9" s="910"/>
      <c r="K9" s="910"/>
      <c r="L9" s="910"/>
      <c r="M9" s="907"/>
      <c r="N9" s="911">
        <f>(N10+N18+N23+N32+N37+N40+N43)/7</f>
        <v>-0.34984527080410732</v>
      </c>
      <c r="O9" s="912">
        <f>(O10+O18+O23+O32+O37+O40+O43)</f>
        <v>6.6859646017863001</v>
      </c>
      <c r="P9" s="913">
        <f>O9/42.857136</f>
        <v>0.15600586566928551</v>
      </c>
      <c r="Q9" s="910"/>
      <c r="R9" s="914"/>
      <c r="S9" s="914"/>
      <c r="U9" s="915"/>
      <c r="V9" s="916"/>
      <c r="W9" s="917"/>
      <c r="X9" s="917"/>
      <c r="Y9" s="917"/>
      <c r="Z9" s="918"/>
      <c r="AA9" s="915"/>
    </row>
    <row r="10" spans="1:27" s="109" customFormat="1" ht="25.25" customHeight="1" thickBot="1" x14ac:dyDescent="0.5">
      <c r="B10" s="1751" t="s">
        <v>1</v>
      </c>
      <c r="C10" s="1752"/>
      <c r="D10" s="1752"/>
      <c r="E10" s="1752"/>
      <c r="F10" s="1753"/>
      <c r="G10" s="919"/>
      <c r="H10" s="920"/>
      <c r="I10" s="921"/>
      <c r="J10" s="922"/>
      <c r="K10" s="922"/>
      <c r="L10" s="922"/>
      <c r="M10" s="919"/>
      <c r="N10" s="911">
        <f>(N11+N13+N15)/3</f>
        <v>-2.3813936100308939</v>
      </c>
      <c r="O10" s="912">
        <f>(O11+O13+O15)</f>
        <v>6.2778845646224859</v>
      </c>
      <c r="P10" s="913">
        <f>O10/10.714284</f>
        <v>0.5859359864478566</v>
      </c>
      <c r="Q10" s="922"/>
      <c r="R10" s="923"/>
      <c r="S10" s="923"/>
      <c r="U10" s="924"/>
      <c r="V10" s="925"/>
      <c r="W10" s="926"/>
      <c r="X10" s="926"/>
      <c r="Y10" s="926"/>
      <c r="Z10" s="927"/>
      <c r="AA10" s="924"/>
    </row>
    <row r="11" spans="1:27" ht="27.6" customHeight="1" thickBot="1" x14ac:dyDescent="0.5">
      <c r="A11" s="1617">
        <v>1</v>
      </c>
      <c r="B11" s="1733" t="s">
        <v>4</v>
      </c>
      <c r="C11" s="1735">
        <f>M5</f>
        <v>3.5714285714285716</v>
      </c>
      <c r="D11" s="928" t="s">
        <v>111</v>
      </c>
      <c r="E11" s="929">
        <f>$C$11/2</f>
        <v>1.7857142857142858</v>
      </c>
      <c r="F11" s="930" t="s">
        <v>5</v>
      </c>
      <c r="G11" s="931">
        <f>E11/1</f>
        <v>1.7857142857142858</v>
      </c>
      <c r="H11" s="302">
        <v>-1.61</v>
      </c>
      <c r="I11" s="303">
        <v>2.13</v>
      </c>
      <c r="J11" s="932">
        <f>(H11-I11)</f>
        <v>-3.74</v>
      </c>
      <c r="K11" s="933">
        <f>(0.3*I11)*6/10</f>
        <v>0.38339999999999996</v>
      </c>
      <c r="L11" s="934">
        <f>I11+K11</f>
        <v>2.5133999999999999</v>
      </c>
      <c r="M11" s="935">
        <f>IF(K11&lt;&gt;0,J11/K11,"0%")</f>
        <v>-9.7548252477829962</v>
      </c>
      <c r="N11" s="1731">
        <f>(((G11/C11)*M11)+((G12/C11)*M12))</f>
        <v>-9.2440792905581652</v>
      </c>
      <c r="O11" s="1646">
        <f>IF((((G11/C11)*M11)+((G12/C11)*M12))&gt;=1,3.57148,IF((((G11/C11)*M11)+((G12/C11)*M12))&lt;=0,0, (((G11/C11)*M11)+((G12/C11)*M12))*3.571428))</f>
        <v>0</v>
      </c>
      <c r="P11" s="1630">
        <f>O11/3.571428</f>
        <v>0</v>
      </c>
      <c r="Q11" s="936" t="s">
        <v>97</v>
      </c>
      <c r="R11" s="764" t="s">
        <v>784</v>
      </c>
      <c r="S11" s="1428" t="s">
        <v>785</v>
      </c>
      <c r="V11" s="937" t="s">
        <v>109</v>
      </c>
      <c r="W11" s="938" t="e">
        <f>#REF!</f>
        <v>#REF!</v>
      </c>
      <c r="X11" s="939"/>
      <c r="Y11" s="939"/>
      <c r="Z11" s="940"/>
    </row>
    <row r="12" spans="1:27" ht="27" customHeight="1" thickBot="1" x14ac:dyDescent="0.5">
      <c r="A12" s="1617"/>
      <c r="B12" s="1734"/>
      <c r="C12" s="1736"/>
      <c r="D12" s="941" t="s">
        <v>112</v>
      </c>
      <c r="E12" s="942">
        <f>$C$11/2</f>
        <v>1.7857142857142858</v>
      </c>
      <c r="F12" s="943" t="s">
        <v>281</v>
      </c>
      <c r="G12" s="944">
        <f>E12/1</f>
        <v>1.7857142857142858</v>
      </c>
      <c r="H12" s="1322">
        <v>23.1</v>
      </c>
      <c r="I12" s="1323">
        <v>10</v>
      </c>
      <c r="J12" s="947">
        <f>I12-H12</f>
        <v>-13.100000000000001</v>
      </c>
      <c r="K12" s="948">
        <f>(0.25*I12)*(6/10)</f>
        <v>1.5</v>
      </c>
      <c r="L12" s="949">
        <f>I12-K12</f>
        <v>8.5</v>
      </c>
      <c r="M12" s="950">
        <f>IF(K12&lt;&gt;0,J12/K12,"0%")</f>
        <v>-8.7333333333333343</v>
      </c>
      <c r="N12" s="1732"/>
      <c r="O12" s="1647"/>
      <c r="P12" s="1631"/>
      <c r="Q12" s="951" t="s">
        <v>98</v>
      </c>
      <c r="R12" s="766" t="s">
        <v>784</v>
      </c>
      <c r="S12" s="1428" t="s">
        <v>786</v>
      </c>
      <c r="V12" s="952">
        <v>0.02</v>
      </c>
      <c r="W12" s="953" t="e">
        <f>(W11-(W11*V12))</f>
        <v>#REF!</v>
      </c>
      <c r="X12" s="953" t="e">
        <f>W11-(V12*W11)</f>
        <v>#REF!</v>
      </c>
      <c r="Y12" s="939"/>
      <c r="Z12" s="940"/>
    </row>
    <row r="13" spans="1:27" ht="32.450000000000003" customHeight="1" x14ac:dyDescent="0.45">
      <c r="A13" s="1617">
        <v>2</v>
      </c>
      <c r="B13" s="1754" t="s">
        <v>6</v>
      </c>
      <c r="C13" s="1756">
        <f>M5</f>
        <v>3.5714285714285716</v>
      </c>
      <c r="D13" s="954" t="s">
        <v>273</v>
      </c>
      <c r="E13" s="955">
        <f>$C$13/2</f>
        <v>1.7857142857142858</v>
      </c>
      <c r="F13" s="956" t="s">
        <v>7</v>
      </c>
      <c r="G13" s="957">
        <f>E13/1</f>
        <v>1.7857142857142858</v>
      </c>
      <c r="H13" s="819">
        <v>11.1</v>
      </c>
      <c r="I13" s="820">
        <v>28.7</v>
      </c>
      <c r="J13" s="959">
        <f>IF(I13=H13,(5-H13),I13-H13)</f>
        <v>17.600000000000001</v>
      </c>
      <c r="K13" s="960">
        <f>IF(I13&lt;=5,0,((I13-5)*(6/10)))</f>
        <v>14.219999999999999</v>
      </c>
      <c r="L13" s="961">
        <f>I13-K13</f>
        <v>14.48</v>
      </c>
      <c r="M13" s="962">
        <f>IF(I13&lt;=5,(1+(5-H13)/5),(J13/K13))</f>
        <v>1.237693389592124</v>
      </c>
      <c r="N13" s="1731">
        <f>(((G13/C13)*M13)+((G14/C13)*M14))</f>
        <v>0.75780795934356937</v>
      </c>
      <c r="O13" s="1646">
        <f>IF((((G13/C13)*M13)+((G14/C13)*M14))&gt;=1,3.57148,IF((((G13/C13)*M13)+((G14/C13)*M14))&lt;=0,0, (((G13/C13)*M13)+((G14/C13)*M14))*3.571428))</f>
        <v>2.7064565646224854</v>
      </c>
      <c r="P13" s="1630">
        <f>O13/3.571428</f>
        <v>0.75780795934356937</v>
      </c>
      <c r="Q13" s="963" t="s">
        <v>99</v>
      </c>
      <c r="R13" s="767" t="s">
        <v>784</v>
      </c>
      <c r="S13" s="768" t="s">
        <v>787</v>
      </c>
      <c r="V13" s="952">
        <v>0.02</v>
      </c>
      <c r="W13" s="953" t="e">
        <f>(#REF!-(#REF!*V13))</f>
        <v>#REF!</v>
      </c>
      <c r="X13" s="953" t="e">
        <f>(W11-(V12*W11))-((W11-(V12*W11))*0.02)-(((W11-(V12*W11))-((W11-(V12*W11))*0.02))*0.02)-(((W11-(V12*W11))-((W11-(V12*W11))*0.02)-(((W11-(V12*W11))-((W11-(V12*W11))*0.02))*0.02))*0.02)</f>
        <v>#REF!</v>
      </c>
      <c r="Y13" s="964" t="e">
        <f>(W11-W14)/W11</f>
        <v>#REF!</v>
      </c>
      <c r="Z13" s="940"/>
    </row>
    <row r="14" spans="1:27" ht="33" customHeight="1" thickBot="1" x14ac:dyDescent="0.5">
      <c r="A14" s="1617"/>
      <c r="B14" s="1755"/>
      <c r="C14" s="1757"/>
      <c r="D14" s="941" t="s">
        <v>274</v>
      </c>
      <c r="E14" s="965">
        <f>$C$13/2</f>
        <v>1.7857142857142858</v>
      </c>
      <c r="F14" s="966" t="s">
        <v>8</v>
      </c>
      <c r="G14" s="967">
        <f>E14/1</f>
        <v>1.7857142857142858</v>
      </c>
      <c r="H14" s="821">
        <v>66</v>
      </c>
      <c r="I14" s="946">
        <v>59.6</v>
      </c>
      <c r="J14" s="968">
        <f>H14-I14</f>
        <v>6.3999999999999986</v>
      </c>
      <c r="K14" s="969">
        <f>(0.95*(100-I14))*6/10</f>
        <v>23.027999999999999</v>
      </c>
      <c r="L14" s="970">
        <f>K14+I14</f>
        <v>82.628</v>
      </c>
      <c r="M14" s="971">
        <f>IF(K14&lt;&gt;0,J14/K14,"1%")</f>
        <v>0.27792252909501469</v>
      </c>
      <c r="N14" s="1732"/>
      <c r="O14" s="1647"/>
      <c r="P14" s="1631"/>
      <c r="Q14" s="972" t="s">
        <v>100</v>
      </c>
      <c r="R14" s="769" t="s">
        <v>784</v>
      </c>
      <c r="S14" s="770" t="s">
        <v>788</v>
      </c>
      <c r="V14" s="973">
        <v>0.02</v>
      </c>
      <c r="W14" s="974" t="e">
        <f>(#REF!-(#REF!*V14))</f>
        <v>#REF!</v>
      </c>
      <c r="X14" s="974"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975" t="e">
        <f>W11-X14</f>
        <v>#REF!</v>
      </c>
      <c r="Z14" s="976"/>
    </row>
    <row r="15" spans="1:27" ht="22.25" customHeight="1" thickBot="1" x14ac:dyDescent="0.5">
      <c r="A15" s="1651">
        <v>3</v>
      </c>
      <c r="B15" s="1727" t="s">
        <v>9</v>
      </c>
      <c r="C15" s="1729">
        <f>M5</f>
        <v>3.5714285714285716</v>
      </c>
      <c r="D15" s="1727" t="s">
        <v>113</v>
      </c>
      <c r="E15" s="1729">
        <f>$C$15/1</f>
        <v>3.5714285714285716</v>
      </c>
      <c r="F15" s="977" t="s">
        <v>221</v>
      </c>
      <c r="G15" s="978">
        <f>$E$15/3</f>
        <v>1.1904761904761905</v>
      </c>
      <c r="H15" s="1429">
        <v>56.5</v>
      </c>
      <c r="I15" s="1429">
        <v>56</v>
      </c>
      <c r="J15" s="979">
        <f>H15-I15</f>
        <v>0.5</v>
      </c>
      <c r="K15" s="980">
        <f>(0.5*I15)*6/10</f>
        <v>16.8</v>
      </c>
      <c r="L15" s="934">
        <f>I15+K15</f>
        <v>72.8</v>
      </c>
      <c r="M15" s="935">
        <f>IF(K15&lt;&gt;0,J15/K15,"0%")</f>
        <v>2.976190476190476E-2</v>
      </c>
      <c r="N15" s="1702">
        <f>(((G15/C15)*M15)+((G16/C15)*M16)+((G17/C15)*M17))</f>
        <v>1.3420905011219144</v>
      </c>
      <c r="O15" s="1632">
        <f>IF((((G15/C15)*M15)+((G16/C15)*M16)+((G17/C15)*M17))&gt;=1,3.571428,IF((((G15/C15)*M15)+((G16/C15)*M16)+((G17/C15)*M17))&lt;=0,0,(((G15/C15)*M15)+((G16/C15)*M16)+((G17/C15)*M17))*3.571428))</f>
        <v>3.571428</v>
      </c>
      <c r="P15" s="1630">
        <f>O15/3.571428</f>
        <v>1</v>
      </c>
      <c r="Q15" s="981" t="s">
        <v>101</v>
      </c>
      <c r="R15" s="771"/>
      <c r="S15" s="772"/>
    </row>
    <row r="16" spans="1:27" ht="29.25" customHeight="1" thickBot="1" x14ac:dyDescent="0.5">
      <c r="A16" s="1651"/>
      <c r="B16" s="1727"/>
      <c r="C16" s="1729"/>
      <c r="D16" s="1727"/>
      <c r="E16" s="1729"/>
      <c r="F16" s="982" t="s">
        <v>220</v>
      </c>
      <c r="G16" s="983">
        <f t="shared" ref="G16:G17" si="0">$E$15/3</f>
        <v>1.1904761904761905</v>
      </c>
      <c r="H16" s="822"/>
      <c r="I16" s="822"/>
      <c r="J16" s="986">
        <f>H16-I16</f>
        <v>0</v>
      </c>
      <c r="K16" s="987">
        <f>(0.5*I16)*6/10</f>
        <v>0</v>
      </c>
      <c r="L16" s="988">
        <f t="shared" ref="L16:L17" si="1">I16+K16</f>
        <v>0</v>
      </c>
      <c r="M16" s="989" t="str">
        <f>IF(K16&lt;&gt;0,J16/K16,"0%")</f>
        <v>0%</v>
      </c>
      <c r="N16" s="1657"/>
      <c r="O16" s="1633"/>
      <c r="P16" s="1635"/>
      <c r="Q16" s="990" t="s">
        <v>95</v>
      </c>
      <c r="R16" s="773"/>
      <c r="S16" s="781" t="s">
        <v>615</v>
      </c>
    </row>
    <row r="17" spans="1:19" ht="25.25" customHeight="1" thickBot="1" x14ac:dyDescent="0.5">
      <c r="A17" s="1651"/>
      <c r="B17" s="1728"/>
      <c r="C17" s="1730"/>
      <c r="D17" s="1728"/>
      <c r="E17" s="1730"/>
      <c r="F17" s="991" t="s">
        <v>10</v>
      </c>
      <c r="G17" s="992">
        <f t="shared" si="0"/>
        <v>1.1904761904761905</v>
      </c>
      <c r="H17" s="1429">
        <v>42</v>
      </c>
      <c r="I17" s="1429">
        <v>19.100000000000001</v>
      </c>
      <c r="J17" s="993">
        <f>H17-I17</f>
        <v>22.9</v>
      </c>
      <c r="K17" s="994">
        <f>(0.5*I17)*6/10</f>
        <v>5.73</v>
      </c>
      <c r="L17" s="949">
        <f t="shared" si="1"/>
        <v>24.830000000000002</v>
      </c>
      <c r="M17" s="950">
        <f>IF(K17&lt;&gt;0,J17/K17,"0%")</f>
        <v>3.996509598603839</v>
      </c>
      <c r="N17" s="1703"/>
      <c r="O17" s="1634"/>
      <c r="P17" s="1635"/>
      <c r="Q17" s="995" t="s">
        <v>162</v>
      </c>
      <c r="R17" s="775" t="s">
        <v>789</v>
      </c>
      <c r="S17" s="776" t="s">
        <v>790</v>
      </c>
    </row>
    <row r="18" spans="1:19" ht="21.4" thickBot="1" x14ac:dyDescent="0.7">
      <c r="A18" s="14"/>
      <c r="B18" s="1670" t="s">
        <v>11</v>
      </c>
      <c r="C18" s="1671"/>
      <c r="D18" s="1671"/>
      <c r="E18" s="1671"/>
      <c r="F18" s="1672"/>
      <c r="G18" s="996"/>
      <c r="H18" s="1379"/>
      <c r="I18" s="1380"/>
      <c r="J18" s="997"/>
      <c r="K18" s="997"/>
      <c r="L18" s="997"/>
      <c r="M18" s="998"/>
      <c r="N18" s="911">
        <f>N19</f>
        <v>1.4262428687856547E-2</v>
      </c>
      <c r="O18" s="912">
        <f>O19</f>
        <v>5.0937237163814132E-2</v>
      </c>
      <c r="P18" s="913">
        <f>O18/3.571428</f>
        <v>1.4262428687856547E-2</v>
      </c>
      <c r="Q18" s="997"/>
      <c r="R18" s="778"/>
      <c r="S18" s="778"/>
    </row>
    <row r="19" spans="1:19" ht="34.25" customHeight="1" x14ac:dyDescent="0.45">
      <c r="A19" s="1617">
        <v>4</v>
      </c>
      <c r="B19" s="1618" t="s">
        <v>12</v>
      </c>
      <c r="C19" s="1678">
        <f>M5</f>
        <v>3.5714285714285716</v>
      </c>
      <c r="D19" s="999" t="s">
        <v>114</v>
      </c>
      <c r="E19" s="931">
        <f>$C$19/4</f>
        <v>0.8928571428571429</v>
      </c>
      <c r="F19" s="1000" t="s">
        <v>222</v>
      </c>
      <c r="G19" s="978">
        <f>E19/1</f>
        <v>0.8928571428571429</v>
      </c>
      <c r="H19" s="477"/>
      <c r="I19" s="491"/>
      <c r="J19" s="1001">
        <f>H19-I19</f>
        <v>0</v>
      </c>
      <c r="K19" s="980">
        <f>(2*I19)*6/10</f>
        <v>0</v>
      </c>
      <c r="L19" s="1002">
        <f t="shared" ref="L19:L22" si="2">K19+I19</f>
        <v>0</v>
      </c>
      <c r="M19" s="935" t="str">
        <f>IF(K19&lt;&gt;0,J19/K19,"0%")</f>
        <v>0%</v>
      </c>
      <c r="N19" s="1721">
        <f>(((G19/C19)*M19)+((G20/C19)*M20)+((G21/C19)*M21)+((G22/C19)*M22))</f>
        <v>1.4262428687856547E-2</v>
      </c>
      <c r="O19" s="1723">
        <f>IF((((G19/C19)*M19)+((G20/C19)*M20)+((G21/C19)*M21)+((G22/C19)*M22))&gt;=1,3.571428,IF((((G19/C19)*M19)+((G20/C19)*M20)+((G21/C19)*M21)+((G22/C19)*M22))&lt;=0,0,((((G19/C19)*M19)+((G20/C19)*M20)+((G21/C19)*M21)+((G22/C19)*M22))*3.571428)))</f>
        <v>5.0937237163814132E-2</v>
      </c>
      <c r="P19" s="1630">
        <f>O19/3.571428</f>
        <v>1.4262428687856547E-2</v>
      </c>
      <c r="Q19" s="1430" t="s">
        <v>163</v>
      </c>
      <c r="R19" s="823"/>
      <c r="S19" s="824" t="s">
        <v>615</v>
      </c>
    </row>
    <row r="20" spans="1:19" ht="39" customHeight="1" x14ac:dyDescent="0.45">
      <c r="A20" s="1617"/>
      <c r="B20" s="1619"/>
      <c r="C20" s="1685"/>
      <c r="D20" s="1004" t="s">
        <v>152</v>
      </c>
      <c r="E20" s="1005">
        <f>($C$19/4)</f>
        <v>0.8928571428571429</v>
      </c>
      <c r="F20" s="1006" t="s">
        <v>265</v>
      </c>
      <c r="G20" s="983">
        <f>E20/1</f>
        <v>0.8928571428571429</v>
      </c>
      <c r="H20" s="113">
        <v>60.5</v>
      </c>
      <c r="I20" s="107">
        <v>59.1</v>
      </c>
      <c r="J20" s="1007">
        <f t="shared" ref="J20:J24" si="3">H20-I20</f>
        <v>1.3999999999999986</v>
      </c>
      <c r="K20" s="987">
        <f>(100-I20)*(6/10)</f>
        <v>24.54</v>
      </c>
      <c r="L20" s="1008">
        <f t="shared" si="2"/>
        <v>83.64</v>
      </c>
      <c r="M20" s="989">
        <f>IF(K20&lt;&gt;0,J20/K20,"0%")</f>
        <v>5.7049714751426187E-2</v>
      </c>
      <c r="N20" s="1722"/>
      <c r="O20" s="1633"/>
      <c r="P20" s="1635"/>
      <c r="Q20" s="1431" t="s">
        <v>164</v>
      </c>
      <c r="R20" s="825" t="s">
        <v>784</v>
      </c>
      <c r="S20" s="826" t="s">
        <v>791</v>
      </c>
    </row>
    <row r="21" spans="1:19" ht="56.45" customHeight="1" x14ac:dyDescent="0.45">
      <c r="A21" s="1617"/>
      <c r="B21" s="1619"/>
      <c r="C21" s="1685"/>
      <c r="D21" s="1004" t="s">
        <v>153</v>
      </c>
      <c r="E21" s="1005">
        <f t="shared" ref="E21:E22" si="4">($C$19/4)</f>
        <v>0.8928571428571429</v>
      </c>
      <c r="F21" s="1006" t="s">
        <v>155</v>
      </c>
      <c r="G21" s="983">
        <f>E21/1</f>
        <v>0.8928571428571429</v>
      </c>
      <c r="H21" s="470"/>
      <c r="I21" s="496"/>
      <c r="J21" s="1007">
        <f t="shared" si="3"/>
        <v>0</v>
      </c>
      <c r="K21" s="987">
        <f>(0.3*I21)*6/10</f>
        <v>0</v>
      </c>
      <c r="L21" s="1008">
        <f t="shared" si="2"/>
        <v>0</v>
      </c>
      <c r="M21" s="989" t="str">
        <f>IF(K21&lt;&gt;0,J21/K21,"0%")</f>
        <v>0%</v>
      </c>
      <c r="N21" s="1722"/>
      <c r="O21" s="1633"/>
      <c r="P21" s="1635"/>
      <c r="Q21" s="1431" t="s">
        <v>165</v>
      </c>
      <c r="R21" s="825"/>
      <c r="S21" s="824" t="s">
        <v>615</v>
      </c>
    </row>
    <row r="22" spans="1:19" ht="36.6" customHeight="1" thickBot="1" x14ac:dyDescent="0.5">
      <c r="A22" s="1617"/>
      <c r="B22" s="1724"/>
      <c r="C22" s="1725"/>
      <c r="D22" s="966" t="s">
        <v>154</v>
      </c>
      <c r="E22" s="1010">
        <f t="shared" si="4"/>
        <v>0.8928571428571429</v>
      </c>
      <c r="F22" s="1011" t="s">
        <v>156</v>
      </c>
      <c r="G22" s="1012">
        <f>E22/1</f>
        <v>0.8928571428571429</v>
      </c>
      <c r="H22" s="475"/>
      <c r="I22" s="492"/>
      <c r="J22" s="1013">
        <f t="shared" si="3"/>
        <v>0</v>
      </c>
      <c r="K22" s="994">
        <f>(100-I22)*(6/10)</f>
        <v>60</v>
      </c>
      <c r="L22" s="1014">
        <f t="shared" si="2"/>
        <v>60</v>
      </c>
      <c r="M22" s="950">
        <f>IF(K22&lt;&gt;0,J22/K22,"100%")</f>
        <v>0</v>
      </c>
      <c r="N22" s="1726"/>
      <c r="O22" s="1634"/>
      <c r="P22" s="1631"/>
      <c r="Q22" s="1432" t="s">
        <v>95</v>
      </c>
      <c r="R22" s="827"/>
      <c r="S22" s="824" t="s">
        <v>615</v>
      </c>
    </row>
    <row r="23" spans="1:19" ht="20.45" customHeight="1" thickBot="1" x14ac:dyDescent="0.5">
      <c r="B23" s="1614" t="s">
        <v>13</v>
      </c>
      <c r="C23" s="1615"/>
      <c r="D23" s="1615"/>
      <c r="E23" s="1615"/>
      <c r="F23" s="1616"/>
      <c r="G23" s="996"/>
      <c r="H23" s="1379"/>
      <c r="I23" s="1380"/>
      <c r="J23" s="1016"/>
      <c r="K23" s="1017"/>
      <c r="L23" s="1017"/>
      <c r="M23" s="998"/>
      <c r="N23" s="911">
        <f>N24</f>
        <v>0</v>
      </c>
      <c r="O23" s="912">
        <f>O24</f>
        <v>0</v>
      </c>
      <c r="P23" s="913">
        <f>O23/3.571428</f>
        <v>0</v>
      </c>
      <c r="Q23" s="997"/>
      <c r="R23" s="778"/>
      <c r="S23" s="778"/>
    </row>
    <row r="24" spans="1:19" ht="36" customHeight="1" x14ac:dyDescent="0.45">
      <c r="A24" s="1617">
        <v>5</v>
      </c>
      <c r="B24" s="1618" t="s">
        <v>14</v>
      </c>
      <c r="C24" s="1678">
        <f>M5</f>
        <v>3.5714285714285716</v>
      </c>
      <c r="D24" s="999" t="s">
        <v>115</v>
      </c>
      <c r="E24" s="931">
        <f>$C$24/4</f>
        <v>0.8928571428571429</v>
      </c>
      <c r="F24" s="999" t="s">
        <v>280</v>
      </c>
      <c r="G24" s="931">
        <f>E24/1</f>
        <v>0.8928571428571429</v>
      </c>
      <c r="H24" s="489"/>
      <c r="I24" s="491"/>
      <c r="J24" s="1020">
        <f t="shared" si="3"/>
        <v>0</v>
      </c>
      <c r="K24" s="980">
        <f>(0.3*I24)*6/10</f>
        <v>0</v>
      </c>
      <c r="L24" s="1002">
        <f>K24+I24</f>
        <v>0</v>
      </c>
      <c r="M24" s="935" t="str">
        <f t="shared" ref="M24:M31" si="5">IF(K24&lt;&gt;0,J24/K24,"0%")</f>
        <v>0%</v>
      </c>
      <c r="N24" s="1721">
        <f>(((G24/C24)*M24)+((G25/C24)*M25)+ ((G26/C24)*M26)+((G27/C24)*M27)+((G28/C24)*M28)+((G29/C24)*M29)+((G30/C24)*M30)+((G31/C24)*M31))</f>
        <v>0</v>
      </c>
      <c r="O24" s="1723">
        <f>IF((((G24/C24)*M24)+((G25/C24)*M25)+ ((G26/C24)*M26)+((G27/C24)*M27)+((G28/C24)*M28)+((G29/C24)*M29)+((G30/C24)*M30)+((G31/C24)*M31))&gt;=1,3.571428,IF((((G24/C24)*M24)+((G25/C24)*M25)+ ((G26/C24)*M26)+((G27/C24)*M27)+((G28/C24)*M28)+((G29/C24)*M29)+((G30/C24)*M30)+((G31/C24)*M31))&lt;=0,0,((((G24/C24)*M24)+((G25/C24)*M25)+ ((G26/C24)*M26)+((G27/C24)*M27)+((G28/C24)*M28)+((G29/C24)*M29)+((G30/C24)*M30)+((G31/C24)*M31))*3.571428)))</f>
        <v>0</v>
      </c>
      <c r="P24" s="1630">
        <f>O24/3.571428</f>
        <v>0</v>
      </c>
      <c r="Q24" s="936" t="s">
        <v>166</v>
      </c>
      <c r="R24" s="828"/>
      <c r="S24" s="829" t="s">
        <v>615</v>
      </c>
    </row>
    <row r="25" spans="1:19" ht="19.8" customHeight="1" x14ac:dyDescent="0.45">
      <c r="A25" s="1617"/>
      <c r="B25" s="1619"/>
      <c r="C25" s="1685"/>
      <c r="D25" s="1625" t="s">
        <v>158</v>
      </c>
      <c r="E25" s="1688">
        <v>0.9</v>
      </c>
      <c r="F25" s="1004" t="s">
        <v>15</v>
      </c>
      <c r="G25" s="1005">
        <f>$E$25/3</f>
        <v>0.3</v>
      </c>
      <c r="H25" s="470"/>
      <c r="I25" s="496"/>
      <c r="J25" s="1022">
        <f t="shared" ref="J25:J30" si="6">I25-H25</f>
        <v>0</v>
      </c>
      <c r="K25" s="987">
        <f>(0.5*I25)*6/10</f>
        <v>0</v>
      </c>
      <c r="L25" s="1008">
        <f t="shared" ref="L25:L30" si="7">I25-K25</f>
        <v>0</v>
      </c>
      <c r="M25" s="989" t="str">
        <f t="shared" si="5"/>
        <v>0%</v>
      </c>
      <c r="N25" s="1722"/>
      <c r="O25" s="1633"/>
      <c r="P25" s="1635"/>
      <c r="Q25" s="1433" t="s">
        <v>167</v>
      </c>
      <c r="R25" s="830"/>
      <c r="S25" s="831" t="s">
        <v>615</v>
      </c>
    </row>
    <row r="26" spans="1:19" ht="19.8" customHeight="1" x14ac:dyDescent="0.45">
      <c r="A26" s="1617"/>
      <c r="B26" s="1619"/>
      <c r="C26" s="1685"/>
      <c r="D26" s="1713"/>
      <c r="E26" s="1714"/>
      <c r="F26" s="1004" t="s">
        <v>16</v>
      </c>
      <c r="G26" s="1005">
        <f t="shared" ref="G26:G27" si="8">$E$25/3</f>
        <v>0.3</v>
      </c>
      <c r="H26" s="470"/>
      <c r="I26" s="496"/>
      <c r="J26" s="1022">
        <f t="shared" si="6"/>
        <v>0</v>
      </c>
      <c r="K26" s="987">
        <f>(0.8*I26)*6/10</f>
        <v>0</v>
      </c>
      <c r="L26" s="1008">
        <f t="shared" si="7"/>
        <v>0</v>
      </c>
      <c r="M26" s="989" t="str">
        <f t="shared" si="5"/>
        <v>0%</v>
      </c>
      <c r="N26" s="1722"/>
      <c r="O26" s="1633"/>
      <c r="P26" s="1635"/>
      <c r="Q26" s="1433" t="s">
        <v>168</v>
      </c>
      <c r="R26" s="830"/>
      <c r="S26" s="831" t="s">
        <v>615</v>
      </c>
    </row>
    <row r="27" spans="1:19" ht="19.8" customHeight="1" x14ac:dyDescent="0.45">
      <c r="A27" s="1617"/>
      <c r="B27" s="1619"/>
      <c r="C27" s="1685"/>
      <c r="D27" s="1713"/>
      <c r="E27" s="1714"/>
      <c r="F27" s="1004" t="s">
        <v>17</v>
      </c>
      <c r="G27" s="1005">
        <f t="shared" si="8"/>
        <v>0.3</v>
      </c>
      <c r="H27" s="470"/>
      <c r="I27" s="496"/>
      <c r="J27" s="1022">
        <f t="shared" si="6"/>
        <v>0</v>
      </c>
      <c r="K27" s="987">
        <f>(0.5*I27)*(6/10)</f>
        <v>0</v>
      </c>
      <c r="L27" s="1008">
        <f t="shared" si="7"/>
        <v>0</v>
      </c>
      <c r="M27" s="989" t="str">
        <f t="shared" si="5"/>
        <v>0%</v>
      </c>
      <c r="N27" s="1722"/>
      <c r="O27" s="1633"/>
      <c r="P27" s="1635"/>
      <c r="Q27" s="1433" t="s">
        <v>169</v>
      </c>
      <c r="R27" s="830"/>
      <c r="S27" s="831" t="s">
        <v>615</v>
      </c>
    </row>
    <row r="28" spans="1:19" ht="30.6" customHeight="1" x14ac:dyDescent="0.45">
      <c r="A28" s="22"/>
      <c r="B28" s="1619"/>
      <c r="C28" s="1685"/>
      <c r="D28" s="1625" t="s">
        <v>116</v>
      </c>
      <c r="E28" s="1688">
        <f t="shared" ref="E28:E31" si="9">$C$24/4</f>
        <v>0.8928571428571429</v>
      </c>
      <c r="F28" s="1004" t="s">
        <v>148</v>
      </c>
      <c r="G28" s="1005">
        <f>$E$28/3</f>
        <v>0.29761904761904762</v>
      </c>
      <c r="H28" s="470"/>
      <c r="I28" s="496"/>
      <c r="J28" s="1022">
        <f t="shared" si="6"/>
        <v>0</v>
      </c>
      <c r="K28" s="987">
        <f>(0.5*I28)*(6/10)</f>
        <v>0</v>
      </c>
      <c r="L28" s="1008">
        <f t="shared" si="7"/>
        <v>0</v>
      </c>
      <c r="M28" s="989" t="str">
        <f t="shared" si="5"/>
        <v>0%</v>
      </c>
      <c r="N28" s="1658"/>
      <c r="O28" s="1633"/>
      <c r="P28" s="1635"/>
      <c r="Q28" s="1433" t="s">
        <v>170</v>
      </c>
      <c r="R28" s="830"/>
      <c r="S28" s="831" t="s">
        <v>615</v>
      </c>
    </row>
    <row r="29" spans="1:19" ht="20.45" customHeight="1" x14ac:dyDescent="0.45">
      <c r="A29" s="22"/>
      <c r="B29" s="1619"/>
      <c r="C29" s="1685"/>
      <c r="D29" s="1713"/>
      <c r="E29" s="1714"/>
      <c r="F29" s="1004" t="s">
        <v>149</v>
      </c>
      <c r="G29" s="1005">
        <f t="shared" ref="G29:G30" si="10">$E$28/3</f>
        <v>0.29761904761904762</v>
      </c>
      <c r="H29" s="470"/>
      <c r="I29" s="496"/>
      <c r="J29" s="1022">
        <f t="shared" si="6"/>
        <v>0</v>
      </c>
      <c r="K29" s="987">
        <f>(0.5*I29)*(6/10)</f>
        <v>0</v>
      </c>
      <c r="L29" s="1008">
        <f t="shared" si="7"/>
        <v>0</v>
      </c>
      <c r="M29" s="989" t="str">
        <f t="shared" si="5"/>
        <v>0%</v>
      </c>
      <c r="N29" s="1658"/>
      <c r="O29" s="1633"/>
      <c r="P29" s="1635"/>
      <c r="Q29" s="1433" t="s">
        <v>171</v>
      </c>
      <c r="R29" s="830"/>
      <c r="S29" s="831" t="s">
        <v>615</v>
      </c>
    </row>
    <row r="30" spans="1:19" ht="20.45" customHeight="1" x14ac:dyDescent="0.45">
      <c r="A30" s="22"/>
      <c r="B30" s="1718"/>
      <c r="C30" s="1714"/>
      <c r="D30" s="1713"/>
      <c r="E30" s="1714"/>
      <c r="F30" s="1004" t="s">
        <v>150</v>
      </c>
      <c r="G30" s="1005">
        <f t="shared" si="10"/>
        <v>0.29761904761904762</v>
      </c>
      <c r="H30" s="470"/>
      <c r="I30" s="496"/>
      <c r="J30" s="1022">
        <f t="shared" si="6"/>
        <v>0</v>
      </c>
      <c r="K30" s="987">
        <f>(0.5*I30)*(6/10)</f>
        <v>0</v>
      </c>
      <c r="L30" s="1008">
        <f t="shared" si="7"/>
        <v>0</v>
      </c>
      <c r="M30" s="989" t="str">
        <f t="shared" si="5"/>
        <v>0%</v>
      </c>
      <c r="N30" s="1658"/>
      <c r="O30" s="1633"/>
      <c r="P30" s="1635"/>
      <c r="Q30" s="1433" t="s">
        <v>172</v>
      </c>
      <c r="R30" s="830"/>
      <c r="S30" s="831" t="s">
        <v>615</v>
      </c>
    </row>
    <row r="31" spans="1:19" ht="34.9" customHeight="1" thickBot="1" x14ac:dyDescent="0.5">
      <c r="A31" s="22"/>
      <c r="B31" s="1719"/>
      <c r="C31" s="1720"/>
      <c r="D31" s="1024" t="s">
        <v>117</v>
      </c>
      <c r="E31" s="944">
        <f t="shared" si="9"/>
        <v>0.8928571428571429</v>
      </c>
      <c r="F31" s="1025" t="s">
        <v>223</v>
      </c>
      <c r="G31" s="944">
        <f>E31/1</f>
        <v>0.8928571428571429</v>
      </c>
      <c r="H31" s="500"/>
      <c r="I31" s="832"/>
      <c r="J31" s="1026">
        <f t="shared" ref="J31" si="11">H31-I31</f>
        <v>0</v>
      </c>
      <c r="K31" s="994">
        <f>(100-I31)*(6/10)</f>
        <v>60</v>
      </c>
      <c r="L31" s="1014">
        <f>K31+I31</f>
        <v>60</v>
      </c>
      <c r="M31" s="971">
        <f t="shared" si="5"/>
        <v>0</v>
      </c>
      <c r="N31" s="1659"/>
      <c r="O31" s="1634"/>
      <c r="P31" s="1631"/>
      <c r="Q31" s="951" t="s">
        <v>95</v>
      </c>
      <c r="R31" s="833"/>
      <c r="S31" s="834" t="s">
        <v>615</v>
      </c>
    </row>
    <row r="32" spans="1:19" ht="20.45" customHeight="1" thickBot="1" x14ac:dyDescent="0.5">
      <c r="B32" s="1715" t="s">
        <v>18</v>
      </c>
      <c r="C32" s="1716"/>
      <c r="D32" s="1716"/>
      <c r="E32" s="1716"/>
      <c r="F32" s="1717"/>
      <c r="G32" s="996"/>
      <c r="H32" s="1381"/>
      <c r="I32" s="1382"/>
      <c r="J32" s="1028"/>
      <c r="K32" s="1029"/>
      <c r="L32" s="1030"/>
      <c r="M32" s="1031"/>
      <c r="N32" s="911">
        <f>(N33+N34+N35+N36)/4</f>
        <v>-0.18178571428571427</v>
      </c>
      <c r="O32" s="912">
        <f>(O33+O34+O35+O36)</f>
        <v>0</v>
      </c>
      <c r="P32" s="913">
        <f>O32/14.285712</f>
        <v>0</v>
      </c>
      <c r="Q32" s="997"/>
      <c r="R32" s="778"/>
      <c r="S32" s="778"/>
    </row>
    <row r="33" spans="1:19" ht="33.6" customHeight="1" thickBot="1" x14ac:dyDescent="0.5">
      <c r="A33" s="22">
        <v>6</v>
      </c>
      <c r="B33" s="1032" t="s">
        <v>19</v>
      </c>
      <c r="C33" s="1033">
        <f>$M$5</f>
        <v>3.5714285714285716</v>
      </c>
      <c r="D33" s="1034" t="s">
        <v>287</v>
      </c>
      <c r="E33" s="1035">
        <f>C33/1</f>
        <v>3.5714285714285716</v>
      </c>
      <c r="F33" s="1032" t="s">
        <v>288</v>
      </c>
      <c r="G33" s="1033">
        <f>E33/1</f>
        <v>3.5714285714285716</v>
      </c>
      <c r="H33" s="116">
        <v>1.91</v>
      </c>
      <c r="I33" s="131">
        <v>5.47</v>
      </c>
      <c r="J33" s="1036">
        <f>IF(H33&lt;7,(H33-7),(H33-I33))</f>
        <v>-5.09</v>
      </c>
      <c r="K33" s="1037">
        <f>IF((7-H33&gt;=0),(7-H33),0)</f>
        <v>5.09</v>
      </c>
      <c r="L33" s="1038">
        <f>IF((I33&lt;7),7,I33)</f>
        <v>7</v>
      </c>
      <c r="M33" s="1039">
        <f>IF(K33&lt;&gt;0,J33/7,(1+((H33-I33)/I33)))</f>
        <v>-0.72714285714285709</v>
      </c>
      <c r="N33" s="1040">
        <f>((G33/C33)*M33)</f>
        <v>-0.72714285714285709</v>
      </c>
      <c r="O33" s="1041">
        <f>IF(((G33/C33)*M33)&gt;=1,3.571428,IF(((G33/C33)*M33)&lt;=0,0,((G33/C33)*M33)*3.571428))</f>
        <v>0</v>
      </c>
      <c r="P33" s="913">
        <f>O33/3.571428</f>
        <v>0</v>
      </c>
      <c r="Q33" s="1042" t="s">
        <v>97</v>
      </c>
      <c r="R33" s="611" t="s">
        <v>792</v>
      </c>
      <c r="S33" s="611" t="s">
        <v>793</v>
      </c>
    </row>
    <row r="34" spans="1:19" ht="51" customHeight="1" thickBot="1" x14ac:dyDescent="0.5">
      <c r="A34" s="22">
        <v>7</v>
      </c>
      <c r="B34" s="1032" t="s">
        <v>20</v>
      </c>
      <c r="C34" s="1033">
        <f t="shared" ref="C34:C36" si="12">$M$5</f>
        <v>3.5714285714285716</v>
      </c>
      <c r="D34" s="1032" t="s">
        <v>118</v>
      </c>
      <c r="E34" s="1035">
        <f t="shared" ref="E34:E36" si="13">C34/1</f>
        <v>3.5714285714285716</v>
      </c>
      <c r="F34" s="1032" t="s">
        <v>21</v>
      </c>
      <c r="G34" s="1033">
        <f>E34/1</f>
        <v>3.5714285714285716</v>
      </c>
      <c r="H34" s="314">
        <v>9.2200000000000006</v>
      </c>
      <c r="I34" s="1043">
        <v>9.2200000000000006</v>
      </c>
      <c r="J34" s="1044">
        <f>H34-I34</f>
        <v>0</v>
      </c>
      <c r="K34" s="1045">
        <f>(0.5*I34)*(6/10)</f>
        <v>2.766</v>
      </c>
      <c r="L34" s="1046">
        <f>K34+I34</f>
        <v>11.986000000000001</v>
      </c>
      <c r="M34" s="1039">
        <f>IF(K34&lt;&gt;0,J34/K34,"0%")</f>
        <v>0</v>
      </c>
      <c r="N34" s="1040">
        <f>((G34/C34)*M34)</f>
        <v>0</v>
      </c>
      <c r="O34" s="1041">
        <f>IF(((G34/C34)*M34)&gt;=1,3.571428,IF(((G34/C34)*M34)&lt;=0,0,((G34/C34)*M34)*3.571428))</f>
        <v>0</v>
      </c>
      <c r="P34" s="913">
        <f t="shared" ref="P34:P36" si="14">O34/3.571428</f>
        <v>0</v>
      </c>
      <c r="Q34" s="1042" t="s">
        <v>173</v>
      </c>
      <c r="R34" s="611" t="s">
        <v>792</v>
      </c>
      <c r="S34" s="110"/>
    </row>
    <row r="35" spans="1:19" ht="40.799999999999997" customHeight="1" thickBot="1" x14ac:dyDescent="0.5">
      <c r="A35" s="22">
        <v>8</v>
      </c>
      <c r="B35" s="1032" t="s">
        <v>22</v>
      </c>
      <c r="C35" s="1033">
        <f t="shared" si="12"/>
        <v>3.5714285714285716</v>
      </c>
      <c r="D35" s="1032" t="s">
        <v>119</v>
      </c>
      <c r="E35" s="1035">
        <f t="shared" si="13"/>
        <v>3.5714285714285716</v>
      </c>
      <c r="F35" s="1032" t="s">
        <v>23</v>
      </c>
      <c r="G35" s="1033">
        <f>E35/1</f>
        <v>3.5714285714285716</v>
      </c>
      <c r="H35" s="835"/>
      <c r="I35" s="832"/>
      <c r="J35" s="1047">
        <f>H35-I35</f>
        <v>0</v>
      </c>
      <c r="K35" s="1048">
        <f>IF((I35&gt;=1),0,((1-I35)*0.6))</f>
        <v>0.6</v>
      </c>
      <c r="L35" s="1038">
        <f>I35+K35</f>
        <v>0.6</v>
      </c>
      <c r="M35" s="1039">
        <f>IF(K35&lt;&gt;0,J35/K35,"0%")</f>
        <v>0</v>
      </c>
      <c r="N35" s="1040">
        <f>((G35/C35)*M35)</f>
        <v>0</v>
      </c>
      <c r="O35" s="1041">
        <f>IF(((G35/C35)*M35)&gt;=1,3.571428,IF(((G35/C35)*M35)&lt;=0,0,((G35/C35)*M35)*3.571428))</f>
        <v>0</v>
      </c>
      <c r="P35" s="913">
        <f t="shared" si="14"/>
        <v>0</v>
      </c>
      <c r="Q35" s="1042" t="s">
        <v>174</v>
      </c>
      <c r="R35" s="245"/>
      <c r="S35" s="797" t="s">
        <v>615</v>
      </c>
    </row>
    <row r="36" spans="1:19" ht="32.450000000000003" customHeight="1" thickBot="1" x14ac:dyDescent="0.5">
      <c r="A36" s="22">
        <v>9</v>
      </c>
      <c r="B36" s="1032" t="s">
        <v>24</v>
      </c>
      <c r="C36" s="1033">
        <f t="shared" si="12"/>
        <v>3.5714285714285716</v>
      </c>
      <c r="D36" s="1032" t="s">
        <v>275</v>
      </c>
      <c r="E36" s="1035">
        <f t="shared" si="13"/>
        <v>3.5714285714285716</v>
      </c>
      <c r="F36" s="1049" t="s">
        <v>25</v>
      </c>
      <c r="G36" s="1033">
        <f>E36/1</f>
        <v>3.5714285714285716</v>
      </c>
      <c r="H36" s="472"/>
      <c r="I36" s="511"/>
      <c r="J36" s="1050">
        <f>H36-I36</f>
        <v>0</v>
      </c>
      <c r="K36" s="1051">
        <f>(1*I36)*(6/10)</f>
        <v>0</v>
      </c>
      <c r="L36" s="1052">
        <f>I36+K36</f>
        <v>0</v>
      </c>
      <c r="M36" s="1039" t="str">
        <f>IF(K36&lt;&gt;0,J36/K36,"0%")</f>
        <v>0%</v>
      </c>
      <c r="N36" s="1040">
        <f>((G36/C36)*M36)</f>
        <v>0</v>
      </c>
      <c r="O36" s="1041">
        <f>IF(((G36/C36)*M36)&gt;=1,3.571428,IF(((G36/C36)*M36)&lt;=0,0,((G36/C36)*M36)*3.571428))</f>
        <v>0</v>
      </c>
      <c r="P36" s="913">
        <f t="shared" si="14"/>
        <v>0</v>
      </c>
      <c r="Q36" s="1053" t="s">
        <v>175</v>
      </c>
      <c r="R36" s="296"/>
      <c r="S36" s="799" t="s">
        <v>615</v>
      </c>
    </row>
    <row r="37" spans="1:19" ht="30.6" customHeight="1" thickBot="1" x14ac:dyDescent="0.5">
      <c r="B37" s="1710" t="s">
        <v>26</v>
      </c>
      <c r="C37" s="1711"/>
      <c r="D37" s="1711"/>
      <c r="E37" s="1711"/>
      <c r="F37" s="1712"/>
      <c r="G37" s="1054"/>
      <c r="H37" s="1379"/>
      <c r="I37" s="1380"/>
      <c r="J37" s="1055"/>
      <c r="K37" s="1056"/>
      <c r="L37" s="1056"/>
      <c r="M37" s="1057"/>
      <c r="N37" s="911">
        <f>N38</f>
        <v>0</v>
      </c>
      <c r="O37" s="912">
        <f>O38</f>
        <v>0</v>
      </c>
      <c r="P37" s="913">
        <f>O37/3.571428</f>
        <v>0</v>
      </c>
      <c r="Q37" s="1058"/>
      <c r="R37" s="544"/>
      <c r="S37" s="544"/>
    </row>
    <row r="38" spans="1:19" ht="25.8" customHeight="1" thickBot="1" x14ac:dyDescent="0.5">
      <c r="A38" s="1617">
        <v>10</v>
      </c>
      <c r="B38" s="1618" t="s">
        <v>27</v>
      </c>
      <c r="C38" s="1678">
        <f>M5</f>
        <v>3.5714285714285716</v>
      </c>
      <c r="D38" s="977" t="s">
        <v>120</v>
      </c>
      <c r="E38" s="931">
        <f>$C$38/2</f>
        <v>1.7857142857142858</v>
      </c>
      <c r="F38" s="1059" t="s">
        <v>224</v>
      </c>
      <c r="G38" s="978">
        <f>E38/1</f>
        <v>1.7857142857142858</v>
      </c>
      <c r="H38" s="477"/>
      <c r="I38" s="491"/>
      <c r="J38" s="1396">
        <f>H38-I38</f>
        <v>0</v>
      </c>
      <c r="K38" s="1061">
        <f>(1*I38)*(6/10)</f>
        <v>0</v>
      </c>
      <c r="L38" s="1062">
        <f>I38+K38</f>
        <v>0</v>
      </c>
      <c r="M38" s="935" t="str">
        <f>IF(K38&lt;&gt;0,J38/K38,"0%")</f>
        <v>0%</v>
      </c>
      <c r="N38" s="1702">
        <f>(((G38/C38)*M38)+((G39/C38)*M39))</f>
        <v>0</v>
      </c>
      <c r="O38" s="1646">
        <f>IF((((G38/C38)*M38)+((G39/C38)*M39))&gt;=1,3.57148,IF((((G38/C38)*M38)+((G39/C38)*M39))&lt;=0,0, (((G38/C38)*M38)+((G39/C38)*M39))*3.571428))</f>
        <v>0</v>
      </c>
      <c r="P38" s="1630">
        <f>O38/3.571428</f>
        <v>0</v>
      </c>
      <c r="Q38" s="1414" t="s">
        <v>176</v>
      </c>
      <c r="R38" s="1434"/>
      <c r="S38" s="797" t="s">
        <v>615</v>
      </c>
    </row>
    <row r="39" spans="1:19" ht="35.25" thickBot="1" x14ac:dyDescent="0.5">
      <c r="A39" s="1617"/>
      <c r="B39" s="1619"/>
      <c r="C39" s="1685"/>
      <c r="D39" s="982" t="s">
        <v>157</v>
      </c>
      <c r="E39" s="944">
        <f>$C$38/2</f>
        <v>1.7857142857142858</v>
      </c>
      <c r="F39" s="1064" t="s">
        <v>225</v>
      </c>
      <c r="G39" s="983">
        <f>E39/1</f>
        <v>1.7857142857142858</v>
      </c>
      <c r="H39" s="503"/>
      <c r="I39" s="504"/>
      <c r="J39" s="1397">
        <f>H39-I39</f>
        <v>0</v>
      </c>
      <c r="K39" s="1066">
        <f>IF(AND(I39&gt;=10,H39&gt;=I39),0,((10-H39)*(6/10)))</f>
        <v>6</v>
      </c>
      <c r="L39" s="1067">
        <f>I39+K39</f>
        <v>6</v>
      </c>
      <c r="M39" s="950">
        <f>IF(K39&lt;&gt;0,J39/K39,"0%")</f>
        <v>0</v>
      </c>
      <c r="N39" s="1657"/>
      <c r="O39" s="1647"/>
      <c r="P39" s="1631"/>
      <c r="Q39" s="1415" t="s">
        <v>95</v>
      </c>
      <c r="R39" s="1435"/>
      <c r="S39" s="797" t="s">
        <v>615</v>
      </c>
    </row>
    <row r="40" spans="1:19" ht="20.45" customHeight="1" thickBot="1" x14ac:dyDescent="0.5">
      <c r="B40" s="1679" t="s">
        <v>28</v>
      </c>
      <c r="C40" s="1680"/>
      <c r="D40" s="1680"/>
      <c r="E40" s="1704"/>
      <c r="F40" s="1681"/>
      <c r="G40" s="1054"/>
      <c r="H40" s="1398"/>
      <c r="I40" s="1399"/>
      <c r="J40" s="1069"/>
      <c r="K40" s="1070"/>
      <c r="L40" s="1070"/>
      <c r="M40" s="1071"/>
      <c r="N40" s="911">
        <f>N41</f>
        <v>0.10000000000000009</v>
      </c>
      <c r="O40" s="912">
        <f>O41</f>
        <v>0.35714280000000032</v>
      </c>
      <c r="P40" s="913">
        <f>O40/3.571428</f>
        <v>0.10000000000000009</v>
      </c>
      <c r="Q40" s="1072"/>
      <c r="R40" s="836"/>
      <c r="S40" s="778"/>
    </row>
    <row r="41" spans="1:19" ht="35.25" thickBot="1" x14ac:dyDescent="0.5">
      <c r="A41" s="1617">
        <v>11</v>
      </c>
      <c r="B41" s="1705" t="s">
        <v>29</v>
      </c>
      <c r="C41" s="1707">
        <f>M5</f>
        <v>3.5714285714285716</v>
      </c>
      <c r="D41" s="1073" t="s">
        <v>121</v>
      </c>
      <c r="E41" s="1074">
        <f>$C$41/2</f>
        <v>1.7857142857142858</v>
      </c>
      <c r="F41" s="956" t="s">
        <v>30</v>
      </c>
      <c r="G41" s="1075">
        <f>E41/1</f>
        <v>1.7857142857142858</v>
      </c>
      <c r="H41" s="319">
        <v>0.53</v>
      </c>
      <c r="I41" s="1351">
        <v>0.5</v>
      </c>
      <c r="J41" s="1076">
        <f>H41-I41</f>
        <v>3.0000000000000027E-2</v>
      </c>
      <c r="K41" s="1077">
        <f>(0.5*I41)*(6/10)</f>
        <v>0.15</v>
      </c>
      <c r="L41" s="1078">
        <f>I41+K41</f>
        <v>0.65</v>
      </c>
      <c r="M41" s="935">
        <f>IF(K41&lt;&gt;0,J41/K41,"0%")</f>
        <v>0.20000000000000018</v>
      </c>
      <c r="N41" s="1709">
        <f>(((G41/C41)*M41)+(G42/C41)*M42)</f>
        <v>0.10000000000000009</v>
      </c>
      <c r="O41" s="1646">
        <f>IF((((G41/C41)*M41)+((G42/C41)*M42))&gt;=1,3.57148,IF((((G41/C41)*M41)+((G42/C41)*M42))&lt;=0,0, (((G41/C41)*M41)+((G42/C41)*M42))*3.571428))</f>
        <v>0.35714280000000032</v>
      </c>
      <c r="P41" s="1630">
        <f>O41/3.571428</f>
        <v>0.10000000000000009</v>
      </c>
      <c r="Q41" s="1436" t="s">
        <v>177</v>
      </c>
      <c r="R41" s="828"/>
      <c r="S41" s="1437"/>
    </row>
    <row r="42" spans="1:19" ht="23.65" thickBot="1" x14ac:dyDescent="0.5">
      <c r="A42" s="1617"/>
      <c r="B42" s="1706"/>
      <c r="C42" s="1708"/>
      <c r="D42" s="1080" t="s">
        <v>122</v>
      </c>
      <c r="E42" s="1010">
        <f>$C$41/2</f>
        <v>1.7857142857142858</v>
      </c>
      <c r="F42" s="966" t="s">
        <v>31</v>
      </c>
      <c r="G42" s="1081">
        <f>E42/1</f>
        <v>1.7857142857142858</v>
      </c>
      <c r="H42" s="835"/>
      <c r="I42" s="832"/>
      <c r="J42" s="1082">
        <f>H42-I42</f>
        <v>0</v>
      </c>
      <c r="K42" s="969">
        <f>(0.5*I42)*(6/10)</f>
        <v>0</v>
      </c>
      <c r="L42" s="1083">
        <f>I42+K42</f>
        <v>0</v>
      </c>
      <c r="M42" s="950" t="str">
        <f>IF(K42&lt;&gt;0,J42/K42,"0%")</f>
        <v>0%</v>
      </c>
      <c r="N42" s="1709"/>
      <c r="O42" s="1647"/>
      <c r="P42" s="1631"/>
      <c r="Q42" s="1436" t="s">
        <v>95</v>
      </c>
      <c r="R42" s="266"/>
      <c r="S42" s="797" t="s">
        <v>615</v>
      </c>
    </row>
    <row r="43" spans="1:19" ht="30.6" customHeight="1" thickBot="1" x14ac:dyDescent="0.5">
      <c r="B43" s="1670" t="s">
        <v>32</v>
      </c>
      <c r="C43" s="1671"/>
      <c r="D43" s="1671"/>
      <c r="E43" s="1671"/>
      <c r="F43" s="1672"/>
      <c r="G43" s="996"/>
      <c r="H43" s="1402"/>
      <c r="I43" s="1403"/>
      <c r="J43" s="1084"/>
      <c r="K43" s="1085"/>
      <c r="L43" s="1085"/>
      <c r="M43" s="996"/>
      <c r="N43" s="911">
        <f>N44</f>
        <v>0</v>
      </c>
      <c r="O43" s="912">
        <f>O44</f>
        <v>0</v>
      </c>
      <c r="P43" s="913">
        <f>O43/3.571428</f>
        <v>0</v>
      </c>
      <c r="Q43" s="1086"/>
      <c r="R43" s="778"/>
      <c r="S43" s="778"/>
    </row>
    <row r="44" spans="1:19" ht="37.799999999999997" customHeight="1" thickBot="1" x14ac:dyDescent="0.5">
      <c r="A44" s="1617">
        <v>12</v>
      </c>
      <c r="B44" s="1624" t="s">
        <v>33</v>
      </c>
      <c r="C44" s="1678">
        <f>M5</f>
        <v>3.5714285714285716</v>
      </c>
      <c r="D44" s="999" t="s">
        <v>123</v>
      </c>
      <c r="E44" s="1087">
        <f>C44/2</f>
        <v>1.7857142857142858</v>
      </c>
      <c r="F44" s="999" t="s">
        <v>34</v>
      </c>
      <c r="G44" s="978">
        <f>$E$44/1</f>
        <v>1.7857142857142858</v>
      </c>
      <c r="H44" s="477"/>
      <c r="I44" s="837"/>
      <c r="J44" s="1088">
        <f>IF(I44=H44,(H44-30),H44-I44)</f>
        <v>-30</v>
      </c>
      <c r="K44" s="980">
        <f>IF(I44&gt;=30,0,((30-I44)*(6/10)))</f>
        <v>18</v>
      </c>
      <c r="L44" s="1089">
        <f>I44+K44</f>
        <v>18</v>
      </c>
      <c r="M44" s="935" t="str">
        <f>IF(H44=0,"0%",J44/K44)</f>
        <v>0%</v>
      </c>
      <c r="N44" s="1702">
        <f>(((G44/C44)*M44)+((G45/C44)*M45))</f>
        <v>0</v>
      </c>
      <c r="O44" s="1646">
        <f>IF((((G44/C44)*M44)+((G45/C44)*M45))&gt;=1,3.57148,IF((((G44/C44)*M44)+((G45/C44)*M45))&lt;=0,0, (((G44/C44)*M44)+((G45/C44)*M45))*3.571428))</f>
        <v>0</v>
      </c>
      <c r="P44" s="1630">
        <f>O44/3.571428</f>
        <v>0</v>
      </c>
      <c r="Q44" s="981" t="s">
        <v>178</v>
      </c>
      <c r="R44" s="689"/>
      <c r="S44" s="797" t="s">
        <v>615</v>
      </c>
    </row>
    <row r="45" spans="1:19" ht="35.25" thickBot="1" x14ac:dyDescent="0.5">
      <c r="A45" s="1617"/>
      <c r="B45" s="1626"/>
      <c r="C45" s="1686"/>
      <c r="D45" s="1024" t="s">
        <v>124</v>
      </c>
      <c r="E45" s="1090">
        <f>(C44/2)</f>
        <v>1.7857142857142858</v>
      </c>
      <c r="F45" s="1024" t="s">
        <v>35</v>
      </c>
      <c r="G45" s="992">
        <f>$E$45/1</f>
        <v>1.7857142857142858</v>
      </c>
      <c r="H45" s="475"/>
      <c r="I45" s="492"/>
      <c r="J45" s="1091">
        <f>IF(I45=H45,(H45-17),H45-I45)</f>
        <v>-17</v>
      </c>
      <c r="K45" s="1092">
        <f>IF(I45&gt;=17,0,((17-I45)*(6/10)))</f>
        <v>10.199999999999999</v>
      </c>
      <c r="L45" s="1093">
        <f>I45+K45</f>
        <v>10.199999999999999</v>
      </c>
      <c r="M45" s="1094">
        <f>IF(I45&gt;=17,(1+(H45-17)/17),(H45/17))</f>
        <v>0</v>
      </c>
      <c r="N45" s="1703"/>
      <c r="O45" s="1647"/>
      <c r="P45" s="1631"/>
      <c r="Q45" s="995" t="s">
        <v>179</v>
      </c>
      <c r="R45" s="690"/>
      <c r="S45" s="797" t="s">
        <v>615</v>
      </c>
    </row>
    <row r="46" spans="1:19" ht="30.6" customHeight="1" thickBot="1" x14ac:dyDescent="0.5">
      <c r="B46" s="1694" t="s">
        <v>36</v>
      </c>
      <c r="C46" s="1695"/>
      <c r="D46" s="1695"/>
      <c r="E46" s="1695"/>
      <c r="F46" s="1696"/>
      <c r="G46" s="1095"/>
      <c r="H46" s="1404"/>
      <c r="I46" s="1405"/>
      <c r="J46" s="1096"/>
      <c r="K46" s="1097"/>
      <c r="L46" s="1097"/>
      <c r="M46" s="1098"/>
      <c r="N46" s="911">
        <f>(N47+N50+N52)/3</f>
        <v>0.27777777777777779</v>
      </c>
      <c r="O46" s="912">
        <f>(O47+O50+O52)</f>
        <v>2.9761900000000003</v>
      </c>
      <c r="P46" s="913">
        <f>O46/10.714284</f>
        <v>0.27777777777777785</v>
      </c>
      <c r="Q46" s="1099"/>
      <c r="R46" s="691"/>
      <c r="S46" s="691"/>
    </row>
    <row r="47" spans="1:19" ht="20.45" customHeight="1" thickBot="1" x14ac:dyDescent="0.5">
      <c r="B47" s="1614" t="s">
        <v>37</v>
      </c>
      <c r="C47" s="1615"/>
      <c r="D47" s="1615"/>
      <c r="E47" s="1615"/>
      <c r="F47" s="1616"/>
      <c r="G47" s="1100"/>
      <c r="H47" s="1406"/>
      <c r="I47" s="1407"/>
      <c r="J47" s="1101"/>
      <c r="K47" s="1102"/>
      <c r="L47" s="1102"/>
      <c r="M47" s="996"/>
      <c r="N47" s="911">
        <f>N48</f>
        <v>0</v>
      </c>
      <c r="O47" s="912">
        <f>O48</f>
        <v>0</v>
      </c>
      <c r="P47" s="913">
        <f>O47/3.571428</f>
        <v>0</v>
      </c>
      <c r="Q47" s="1086"/>
      <c r="R47" s="687"/>
      <c r="S47" s="687"/>
    </row>
    <row r="48" spans="1:19" ht="37.799999999999997" customHeight="1" thickBot="1" x14ac:dyDescent="0.5">
      <c r="A48" s="1617">
        <v>13</v>
      </c>
      <c r="B48" s="1624" t="s">
        <v>38</v>
      </c>
      <c r="C48" s="1678">
        <f>M5</f>
        <v>3.5714285714285716</v>
      </c>
      <c r="D48" s="999" t="s">
        <v>125</v>
      </c>
      <c r="E48" s="931">
        <f>$C$48/2</f>
        <v>1.7857142857142858</v>
      </c>
      <c r="F48" s="1103" t="s">
        <v>289</v>
      </c>
      <c r="G48" s="931">
        <f>E48/1</f>
        <v>1.7857142857142858</v>
      </c>
      <c r="H48" s="477"/>
      <c r="I48" s="491"/>
      <c r="J48" s="1104">
        <f>H48-I48</f>
        <v>0</v>
      </c>
      <c r="K48" s="1105">
        <f>(0.5*I48)* (6/10)</f>
        <v>0</v>
      </c>
      <c r="L48" s="1106">
        <f>I48-K48</f>
        <v>0</v>
      </c>
      <c r="M48" s="962" t="str">
        <f>IF(K48&lt;&gt;0,J48/K48,"0%")</f>
        <v>0%</v>
      </c>
      <c r="N48" s="1700">
        <f>(((G48/C48)*M48)+((G49/C48)*M49))</f>
        <v>0</v>
      </c>
      <c r="O48" s="1646">
        <f>IF((((G48/C48)*M48)+((G49/C48)*M49))&gt;=1,3.57148,IF((((G48/C48)*M48)+((G49/C48)*M49))&lt;=0,0, (((G48/C48)*M48)+((G49/C48)*M49))*3.571428))</f>
        <v>0</v>
      </c>
      <c r="P48" s="1630">
        <f>O48/3.571428</f>
        <v>0</v>
      </c>
      <c r="Q48" s="1021" t="s">
        <v>95</v>
      </c>
      <c r="R48" s="684"/>
      <c r="S48" s="797" t="s">
        <v>615</v>
      </c>
    </row>
    <row r="49" spans="1:19" ht="30.6" customHeight="1" thickBot="1" x14ac:dyDescent="0.5">
      <c r="A49" s="1617"/>
      <c r="B49" s="1626"/>
      <c r="C49" s="1686"/>
      <c r="D49" s="1024" t="s">
        <v>126</v>
      </c>
      <c r="E49" s="944">
        <f>$C$48/2</f>
        <v>1.7857142857142858</v>
      </c>
      <c r="F49" s="1024" t="s">
        <v>290</v>
      </c>
      <c r="G49" s="944">
        <f>E49/1</f>
        <v>1.7857142857142858</v>
      </c>
      <c r="H49" s="498"/>
      <c r="I49" s="516"/>
      <c r="J49" s="1026">
        <f>H49-I49</f>
        <v>0</v>
      </c>
      <c r="K49" s="1107">
        <f>(2*I49)*(6/10)</f>
        <v>0</v>
      </c>
      <c r="L49" s="1108">
        <f>I49+K49</f>
        <v>0</v>
      </c>
      <c r="M49" s="950" t="str">
        <f>IF(K49&lt;&gt;0,J49/K49,"0%")</f>
        <v>0%</v>
      </c>
      <c r="N49" s="1701"/>
      <c r="O49" s="1647"/>
      <c r="P49" s="1631"/>
      <c r="Q49" s="1027" t="s">
        <v>95</v>
      </c>
      <c r="R49" s="688"/>
      <c r="S49" s="797" t="s">
        <v>615</v>
      </c>
    </row>
    <row r="50" spans="1:19" ht="15" customHeight="1" thickBot="1" x14ac:dyDescent="0.5">
      <c r="B50" s="1670" t="s">
        <v>39</v>
      </c>
      <c r="C50" s="1671"/>
      <c r="D50" s="1671"/>
      <c r="E50" s="1671"/>
      <c r="F50" s="1672"/>
      <c r="G50" s="1109"/>
      <c r="H50" s="1408"/>
      <c r="I50" s="1409"/>
      <c r="J50" s="1110"/>
      <c r="K50" s="1110"/>
      <c r="L50" s="1110"/>
      <c r="M50" s="1111"/>
      <c r="N50" s="911">
        <f>N51</f>
        <v>0.83333333333333337</v>
      </c>
      <c r="O50" s="912">
        <f>O51</f>
        <v>2.9761900000000003</v>
      </c>
      <c r="P50" s="913">
        <f>O50/3.571428</f>
        <v>0.83333333333333337</v>
      </c>
      <c r="Q50" s="1112"/>
      <c r="R50" s="794"/>
      <c r="S50" s="794"/>
    </row>
    <row r="51" spans="1:19" ht="30.6" customHeight="1" thickBot="1" x14ac:dyDescent="0.5">
      <c r="A51" s="21">
        <v>14</v>
      </c>
      <c r="B51" s="1113" t="s">
        <v>226</v>
      </c>
      <c r="C51" s="1114">
        <f>M5</f>
        <v>3.5714285714285716</v>
      </c>
      <c r="D51" s="1115" t="s">
        <v>272</v>
      </c>
      <c r="E51" s="1116">
        <f>C51</f>
        <v>3.5714285714285716</v>
      </c>
      <c r="F51" s="1117" t="s">
        <v>266</v>
      </c>
      <c r="G51" s="1118">
        <f>E51/1</f>
        <v>3.5714285714285716</v>
      </c>
      <c r="H51" s="96">
        <v>50</v>
      </c>
      <c r="I51" s="103">
        <v>0</v>
      </c>
      <c r="J51" s="1119">
        <f>H51-I51</f>
        <v>50</v>
      </c>
      <c r="K51" s="1120">
        <f>(100-I51)*(6/10)</f>
        <v>60</v>
      </c>
      <c r="L51" s="1121">
        <f>I51+K51</f>
        <v>60</v>
      </c>
      <c r="M51" s="971">
        <f>IF(K51&lt;&gt;0,J51/K51,"100%")</f>
        <v>0.83333333333333337</v>
      </c>
      <c r="N51" s="1040">
        <f>((G51/C51)*M51)</f>
        <v>0.83333333333333337</v>
      </c>
      <c r="O51" s="1041">
        <f>IF(((G51/C51)*M51)&gt;=1,3.571428,IF(((G51/C51)*M51)&lt;=0,0,((G51/C51)*M51)*3.571428))</f>
        <v>2.9761900000000003</v>
      </c>
      <c r="P51" s="913">
        <f>O51/3.571428</f>
        <v>0.83333333333333337</v>
      </c>
      <c r="Q51" s="1122" t="s">
        <v>95</v>
      </c>
      <c r="R51" s="464"/>
      <c r="S51" s="1438" t="s">
        <v>794</v>
      </c>
    </row>
    <row r="52" spans="1:19" ht="20.45" customHeight="1" thickBot="1" x14ac:dyDescent="0.5">
      <c r="B52" s="1670" t="s">
        <v>40</v>
      </c>
      <c r="C52" s="1671"/>
      <c r="D52" s="1671"/>
      <c r="E52" s="1671"/>
      <c r="F52" s="1672"/>
      <c r="G52" s="1100"/>
      <c r="H52" s="1402"/>
      <c r="I52" s="1403"/>
      <c r="J52" s="1101"/>
      <c r="K52" s="1102"/>
      <c r="L52" s="1102"/>
      <c r="M52" s="1018"/>
      <c r="N52" s="911">
        <f>N53</f>
        <v>0</v>
      </c>
      <c r="O52" s="912">
        <f>O53</f>
        <v>0</v>
      </c>
      <c r="P52" s="913">
        <f>O52/3.571428</f>
        <v>0</v>
      </c>
      <c r="Q52" s="1123"/>
      <c r="R52" s="794"/>
      <c r="S52" s="687"/>
    </row>
    <row r="53" spans="1:19" ht="43.8" customHeight="1" x14ac:dyDescent="0.45">
      <c r="A53" s="1617">
        <v>15</v>
      </c>
      <c r="B53" s="1618" t="s">
        <v>108</v>
      </c>
      <c r="C53" s="1678">
        <f>M5</f>
        <v>3.5714285714285716</v>
      </c>
      <c r="D53" s="1124" t="s">
        <v>127</v>
      </c>
      <c r="E53" s="1125">
        <f>$C$53/5</f>
        <v>0.7142857142857143</v>
      </c>
      <c r="F53" s="1126" t="s">
        <v>41</v>
      </c>
      <c r="G53" s="978">
        <f>E53/1</f>
        <v>0.7142857142857143</v>
      </c>
      <c r="H53" s="477"/>
      <c r="I53" s="491"/>
      <c r="J53" s="1001">
        <f>H53-I53</f>
        <v>0</v>
      </c>
      <c r="K53" s="1105">
        <f>(100-I53)*(6/10)</f>
        <v>60</v>
      </c>
      <c r="L53" s="1062">
        <f t="shared" ref="L53:L58" si="15">I53+K53</f>
        <v>60</v>
      </c>
      <c r="M53" s="935" t="str">
        <f>IF(H53=0,"0%",J53/K53)</f>
        <v>0%</v>
      </c>
      <c r="N53" s="1697">
        <f>(((G53/C53)*M53)+((G54/C53)*M54)+((G55/C53)*M55)+((G56/C53)*M56)+((G57/C53)*M57)+((G58/C53)*M58))</f>
        <v>0</v>
      </c>
      <c r="O53" s="1687">
        <f>IF((((G53/C53)*M53)+((G54/C53)*M54)+((G55/C53)*M55)+((G56/C53)*M56)+((G57/C53)*M57)+((G58/C53)*M58))&gt;=1,3.571428,IF((((G53/C53)*M53)+((G54/C53)*M54)+((G55/C53)*M55)+((G56/C53)*M56)+((G57/C53)*M57)+((G58/C53)*M58))&lt;=0,0,((((G53/C53)*M53)+((G54/C53)*M54)+((G55/C53)*M55)+((G56/C53)*M56)+((G57/C53)*M57)+((G58/C53)*M58))*3.571428)))</f>
        <v>0</v>
      </c>
      <c r="P53" s="1630">
        <f>O53/3.571428</f>
        <v>0</v>
      </c>
      <c r="Q53" s="1127" t="s">
        <v>95</v>
      </c>
      <c r="R53" s="838"/>
      <c r="S53" s="797" t="s">
        <v>615</v>
      </c>
    </row>
    <row r="54" spans="1:19" ht="35.450000000000003" customHeight="1" x14ac:dyDescent="0.45">
      <c r="A54" s="1617"/>
      <c r="B54" s="1619"/>
      <c r="C54" s="1685"/>
      <c r="D54" s="1128" t="s">
        <v>128</v>
      </c>
      <c r="E54" s="1129">
        <f t="shared" ref="E54:E57" si="16">$C$53/5</f>
        <v>0.7142857142857143</v>
      </c>
      <c r="F54" s="1130" t="s">
        <v>42</v>
      </c>
      <c r="G54" s="983">
        <f>E54/1</f>
        <v>0.7142857142857143</v>
      </c>
      <c r="H54" s="470"/>
      <c r="I54" s="496"/>
      <c r="J54" s="1007">
        <f>H54-I54</f>
        <v>0</v>
      </c>
      <c r="K54" s="1066">
        <f>(100-I54)*(6/6)</f>
        <v>100</v>
      </c>
      <c r="L54" s="1067">
        <f>I54+K54</f>
        <v>100</v>
      </c>
      <c r="M54" s="989">
        <f t="shared" ref="M54:M55" si="17">IF(K54&lt;&gt;0,J54/K54,"0%")</f>
        <v>0</v>
      </c>
      <c r="N54" s="1698"/>
      <c r="O54" s="1633"/>
      <c r="P54" s="1635"/>
      <c r="Q54" s="1131" t="s">
        <v>95</v>
      </c>
      <c r="R54" s="839"/>
      <c r="S54" s="798" t="s">
        <v>615</v>
      </c>
    </row>
    <row r="55" spans="1:19" ht="34.25" customHeight="1" x14ac:dyDescent="0.45">
      <c r="A55" s="1617"/>
      <c r="B55" s="1619"/>
      <c r="C55" s="1685"/>
      <c r="D55" s="1128" t="s">
        <v>129</v>
      </c>
      <c r="E55" s="1129">
        <f t="shared" si="16"/>
        <v>0.7142857142857143</v>
      </c>
      <c r="F55" s="1130" t="s">
        <v>43</v>
      </c>
      <c r="G55" s="983">
        <f>E55/1</f>
        <v>0.7142857142857143</v>
      </c>
      <c r="H55" s="835"/>
      <c r="I55" s="832"/>
      <c r="J55" s="1007">
        <f>H55-I55</f>
        <v>0</v>
      </c>
      <c r="K55" s="1066">
        <f>(10-I55)*(6/10)</f>
        <v>6</v>
      </c>
      <c r="L55" s="1067">
        <f t="shared" si="15"/>
        <v>6</v>
      </c>
      <c r="M55" s="989">
        <f t="shared" si="17"/>
        <v>0</v>
      </c>
      <c r="N55" s="1698"/>
      <c r="O55" s="1633"/>
      <c r="P55" s="1635"/>
      <c r="Q55" s="1131" t="s">
        <v>95</v>
      </c>
      <c r="R55" s="839"/>
      <c r="S55" s="798" t="s">
        <v>615</v>
      </c>
    </row>
    <row r="56" spans="1:19" ht="37.25" customHeight="1" x14ac:dyDescent="0.45">
      <c r="A56" s="1617"/>
      <c r="B56" s="1619"/>
      <c r="C56" s="1685"/>
      <c r="D56" s="1128" t="s">
        <v>130</v>
      </c>
      <c r="E56" s="1129">
        <f t="shared" si="16"/>
        <v>0.7142857142857143</v>
      </c>
      <c r="F56" s="1130" t="s">
        <v>44</v>
      </c>
      <c r="G56" s="983">
        <f>E56/1</f>
        <v>0.7142857142857143</v>
      </c>
      <c r="H56" s="470"/>
      <c r="I56" s="496"/>
      <c r="J56" s="1007">
        <f>H56-I56</f>
        <v>0</v>
      </c>
      <c r="K56" s="1132">
        <f>(0.5*I56)*(6/7)</f>
        <v>0</v>
      </c>
      <c r="L56" s="1067">
        <f t="shared" si="15"/>
        <v>0</v>
      </c>
      <c r="M56" s="989" t="str">
        <f>IF(K56&lt;&gt;0,J56/K56,"0%")</f>
        <v>0%</v>
      </c>
      <c r="N56" s="1698"/>
      <c r="O56" s="1633"/>
      <c r="P56" s="1635"/>
      <c r="Q56" s="1131" t="s">
        <v>101</v>
      </c>
      <c r="R56" s="839"/>
      <c r="S56" s="798" t="s">
        <v>615</v>
      </c>
    </row>
    <row r="57" spans="1:19" ht="22.8" customHeight="1" x14ac:dyDescent="0.45">
      <c r="A57" s="1617"/>
      <c r="B57" s="1619"/>
      <c r="C57" s="1685"/>
      <c r="D57" s="1690" t="s">
        <v>131</v>
      </c>
      <c r="E57" s="1692">
        <f t="shared" si="16"/>
        <v>0.7142857142857143</v>
      </c>
      <c r="F57" s="1130" t="s">
        <v>45</v>
      </c>
      <c r="G57" s="983">
        <f>$E$57/2</f>
        <v>0.35714285714285715</v>
      </c>
      <c r="H57" s="473"/>
      <c r="I57" s="496"/>
      <c r="J57" s="1007">
        <f t="shared" ref="J57:J58" si="18">H57-I57</f>
        <v>0</v>
      </c>
      <c r="K57" s="1133">
        <f>(1*I57)*(6/10)</f>
        <v>0</v>
      </c>
      <c r="L57" s="1067">
        <f t="shared" si="15"/>
        <v>0</v>
      </c>
      <c r="M57" s="989" t="str">
        <f>IF(K57&lt;&gt;0,J57/K57,"0%")</f>
        <v>0%</v>
      </c>
      <c r="N57" s="1698"/>
      <c r="O57" s="1633"/>
      <c r="P57" s="1635"/>
      <c r="Q57" s="1131" t="s">
        <v>180</v>
      </c>
      <c r="R57" s="839"/>
      <c r="S57" s="798" t="s">
        <v>615</v>
      </c>
    </row>
    <row r="58" spans="1:19" ht="15" customHeight="1" thickBot="1" x14ac:dyDescent="0.5">
      <c r="A58" s="1617"/>
      <c r="B58" s="1620"/>
      <c r="C58" s="1686"/>
      <c r="D58" s="1691"/>
      <c r="E58" s="1693"/>
      <c r="F58" s="943" t="s">
        <v>46</v>
      </c>
      <c r="G58" s="992">
        <f>$E$57/2</f>
        <v>0.35714285714285715</v>
      </c>
      <c r="H58" s="485"/>
      <c r="I58" s="486"/>
      <c r="J58" s="1013">
        <f t="shared" si="18"/>
        <v>0</v>
      </c>
      <c r="K58" s="1107">
        <f>(1*I58)*(6/10)</f>
        <v>0</v>
      </c>
      <c r="L58" s="1134">
        <f t="shared" si="15"/>
        <v>0</v>
      </c>
      <c r="M58" s="950" t="str">
        <f>IF(K58&lt;&gt;0,J58/K58,"0%")</f>
        <v>0%</v>
      </c>
      <c r="N58" s="1699"/>
      <c r="O58" s="1634"/>
      <c r="P58" s="1631"/>
      <c r="Q58" s="1135" t="s">
        <v>95</v>
      </c>
      <c r="R58" s="690"/>
      <c r="S58" s="799" t="s">
        <v>615</v>
      </c>
    </row>
    <row r="59" spans="1:19" ht="23.45" customHeight="1" thickBot="1" x14ac:dyDescent="0.5">
      <c r="B59" s="1694" t="s">
        <v>47</v>
      </c>
      <c r="C59" s="1695"/>
      <c r="D59" s="1695"/>
      <c r="E59" s="1695"/>
      <c r="F59" s="1696"/>
      <c r="G59" s="1136"/>
      <c r="H59" s="1404"/>
      <c r="I59" s="1405"/>
      <c r="J59" s="1137"/>
      <c r="K59" s="1137"/>
      <c r="L59" s="1137"/>
      <c r="M59" s="1098"/>
      <c r="N59" s="911">
        <f>(N60+N67)/2</f>
        <v>8.3333333333333329E-2</v>
      </c>
      <c r="O59" s="912">
        <f>(O60+O67)</f>
        <v>0.59523799999999993</v>
      </c>
      <c r="P59" s="913">
        <f>O59/7.142856</f>
        <v>8.3333333333333329E-2</v>
      </c>
      <c r="Q59" s="1138"/>
      <c r="R59" s="795"/>
      <c r="S59" s="796"/>
    </row>
    <row r="60" spans="1:19" ht="22.25" customHeight="1" thickBot="1" x14ac:dyDescent="0.5">
      <c r="B60" s="1670" t="s">
        <v>48</v>
      </c>
      <c r="C60" s="1671"/>
      <c r="D60" s="1671"/>
      <c r="E60" s="1671"/>
      <c r="F60" s="1672"/>
      <c r="G60" s="996"/>
      <c r="H60" s="1402"/>
      <c r="I60" s="1403"/>
      <c r="J60" s="1016"/>
      <c r="K60" s="1017"/>
      <c r="L60" s="1017"/>
      <c r="M60" s="1018"/>
      <c r="N60" s="911">
        <f>N61</f>
        <v>0.16666666666666666</v>
      </c>
      <c r="O60" s="912">
        <f>O61</f>
        <v>0.59523799999999993</v>
      </c>
      <c r="P60" s="913">
        <f>O60/3.571428</f>
        <v>0.16666666666666666</v>
      </c>
      <c r="Q60" s="997"/>
      <c r="R60" s="687"/>
      <c r="S60" s="687"/>
    </row>
    <row r="61" spans="1:19" ht="39" customHeight="1" x14ac:dyDescent="0.45">
      <c r="A61" s="1617">
        <v>16</v>
      </c>
      <c r="B61" s="1618" t="s">
        <v>49</v>
      </c>
      <c r="C61" s="1678">
        <f>M5</f>
        <v>3.5714285714285716</v>
      </c>
      <c r="D61" s="999" t="s">
        <v>133</v>
      </c>
      <c r="E61" s="931">
        <f>$C$61/4</f>
        <v>0.8928571428571429</v>
      </c>
      <c r="F61" s="999" t="s">
        <v>50</v>
      </c>
      <c r="G61" s="978">
        <f>E61/1</f>
        <v>0.8928571428571429</v>
      </c>
      <c r="H61" s="489"/>
      <c r="I61" s="231"/>
      <c r="J61" s="1088">
        <f>IF(I61=H61,(H61-70),H61-I61)</f>
        <v>-70</v>
      </c>
      <c r="K61" s="980">
        <f>IF(I61&gt;=70,0,((70-I61)*(6/10)))</f>
        <v>42</v>
      </c>
      <c r="L61" s="1140">
        <f t="shared" ref="L61:L66" si="19">I61+K61</f>
        <v>42</v>
      </c>
      <c r="M61" s="935" t="str">
        <f>IF(H61=0,"0%",J61/K61)</f>
        <v>0%</v>
      </c>
      <c r="N61" s="1627">
        <f>(((G61/C61)*M61)+((G62/C61)*M62)+((G63/C61)*M63)+((G64/C61)*M64)+((G65/C61)*M65)+((G66/C61)*M66))</f>
        <v>0.16666666666666666</v>
      </c>
      <c r="O61" s="1687">
        <f>IF((((G61/C61)*M61)+((G62/C61)*M62)+((G63/C61)*M63)+((G64/C61)*M64)+((G65/C61)*M65)+((G66/C61)*M66))&gt;=1,3.571428,IF((((G61/C61)*M61)+((G62/C61)*M62)+((G63/C61)*M63)+((G64/C61)*M64)+((G65/C61)*M65)+((G66/C61)*M66))&lt;=0,0,((((G61/C61)*M61)+((G62/C61)*M62)+((G63/C61)*M63)+((G64/C61)*M64)+((G65/C61)*M65)+((G66/C61)*M66))*3.571428)))</f>
        <v>0.59523799999999993</v>
      </c>
      <c r="P61" s="1630">
        <f>O61/3.571428</f>
        <v>0.16666666666666666</v>
      </c>
      <c r="Q61" s="1414" t="s">
        <v>181</v>
      </c>
      <c r="R61" s="840"/>
      <c r="S61" s="797" t="s">
        <v>615</v>
      </c>
    </row>
    <row r="62" spans="1:19" ht="58.25" customHeight="1" x14ac:dyDescent="0.45">
      <c r="A62" s="1617"/>
      <c r="B62" s="1619"/>
      <c r="C62" s="1685"/>
      <c r="D62" s="1004" t="s">
        <v>134</v>
      </c>
      <c r="E62" s="1005">
        <f t="shared" ref="E62:E63" si="20">$C$61/4</f>
        <v>0.8928571428571429</v>
      </c>
      <c r="F62" s="1128" t="s">
        <v>276</v>
      </c>
      <c r="G62" s="983">
        <f>$E$62/1</f>
        <v>0.8928571428571429</v>
      </c>
      <c r="H62" s="470"/>
      <c r="I62" s="496"/>
      <c r="J62" s="1141">
        <f>IF(I62=H62,(H62-70),H62-I62)</f>
        <v>-70</v>
      </c>
      <c r="K62" s="987">
        <f t="shared" ref="K62:K63" si="21">IF(I62&gt;=70,0,((70-I62)*(6/10)))</f>
        <v>42</v>
      </c>
      <c r="L62" s="1142">
        <f t="shared" si="19"/>
        <v>42</v>
      </c>
      <c r="M62" s="989" t="str">
        <f>IF(H62=0,"0%",J62/K62)</f>
        <v>0%</v>
      </c>
      <c r="N62" s="1628"/>
      <c r="O62" s="1633"/>
      <c r="P62" s="1635"/>
      <c r="Q62" s="1415" t="s">
        <v>182</v>
      </c>
      <c r="R62" s="840"/>
      <c r="S62" s="798" t="s">
        <v>615</v>
      </c>
    </row>
    <row r="63" spans="1:19" ht="26.45" customHeight="1" x14ac:dyDescent="0.45">
      <c r="A63" s="1617"/>
      <c r="B63" s="1619"/>
      <c r="C63" s="1685"/>
      <c r="D63" s="1004" t="s">
        <v>135</v>
      </c>
      <c r="E63" s="1005">
        <f t="shared" si="20"/>
        <v>0.8928571428571429</v>
      </c>
      <c r="F63" s="1004" t="s">
        <v>51</v>
      </c>
      <c r="G63" s="983">
        <f>E63/1</f>
        <v>0.8928571428571429</v>
      </c>
      <c r="H63" s="481"/>
      <c r="I63" s="482"/>
      <c r="J63" s="1141">
        <f>IF(I63=H63,(H63-70),H63-I63)</f>
        <v>-70</v>
      </c>
      <c r="K63" s="987">
        <f t="shared" si="21"/>
        <v>42</v>
      </c>
      <c r="L63" s="1142">
        <f t="shared" si="19"/>
        <v>42</v>
      </c>
      <c r="M63" s="989" t="str">
        <f>IF(H63=0,"0%",J63/K63)</f>
        <v>0%</v>
      </c>
      <c r="N63" s="1628"/>
      <c r="O63" s="1633"/>
      <c r="P63" s="1635"/>
      <c r="Q63" s="1415" t="s">
        <v>95</v>
      </c>
      <c r="R63" s="840"/>
      <c r="S63" s="798" t="s">
        <v>615</v>
      </c>
    </row>
    <row r="64" spans="1:19" ht="15" customHeight="1" x14ac:dyDescent="0.45">
      <c r="A64" s="1617"/>
      <c r="B64" s="1619"/>
      <c r="C64" s="1685"/>
      <c r="D64" s="1625" t="s">
        <v>136</v>
      </c>
      <c r="E64" s="1688">
        <f>$C$61/4</f>
        <v>0.8928571428571429</v>
      </c>
      <c r="F64" s="1143" t="s">
        <v>52</v>
      </c>
      <c r="G64" s="1144">
        <f>$E$64/3</f>
        <v>0.29761904761904762</v>
      </c>
      <c r="H64" s="299">
        <v>100</v>
      </c>
      <c r="I64" s="841">
        <v>100</v>
      </c>
      <c r="J64" s="1145">
        <f t="shared" ref="J64:J66" si="22">H64-I64</f>
        <v>0</v>
      </c>
      <c r="K64" s="1146">
        <f>(100-I64)*(6/10)</f>
        <v>0</v>
      </c>
      <c r="L64" s="1142">
        <f t="shared" si="19"/>
        <v>100</v>
      </c>
      <c r="M64" s="989" t="str">
        <f t="shared" ref="M64:M66" si="23">IF(K64&lt;&gt;0,J64/K64,"100%")</f>
        <v>100%</v>
      </c>
      <c r="N64" s="1628"/>
      <c r="O64" s="1633"/>
      <c r="P64" s="1635"/>
      <c r="Q64" s="1415" t="s">
        <v>95</v>
      </c>
      <c r="R64" s="842"/>
      <c r="S64" s="524" t="s">
        <v>795</v>
      </c>
    </row>
    <row r="65" spans="1:19" x14ac:dyDescent="0.45">
      <c r="A65" s="1617"/>
      <c r="B65" s="1619"/>
      <c r="C65" s="1685"/>
      <c r="D65" s="1625"/>
      <c r="E65" s="1688"/>
      <c r="F65" s="1143" t="s">
        <v>53</v>
      </c>
      <c r="G65" s="1144">
        <f t="shared" ref="G65:G66" si="24">$E$64/3</f>
        <v>0.29761904761904762</v>
      </c>
      <c r="H65" s="299">
        <v>100</v>
      </c>
      <c r="I65" s="841">
        <v>100</v>
      </c>
      <c r="J65" s="1145">
        <f t="shared" si="22"/>
        <v>0</v>
      </c>
      <c r="K65" s="1146">
        <f>(100-I65)*(6/10)</f>
        <v>0</v>
      </c>
      <c r="L65" s="1142">
        <f t="shared" si="19"/>
        <v>100</v>
      </c>
      <c r="M65" s="989" t="str">
        <f t="shared" si="23"/>
        <v>100%</v>
      </c>
      <c r="N65" s="1628"/>
      <c r="O65" s="1633"/>
      <c r="P65" s="1635"/>
      <c r="Q65" s="1415" t="s">
        <v>95</v>
      </c>
      <c r="R65" s="840"/>
      <c r="S65" s="524" t="s">
        <v>795</v>
      </c>
    </row>
    <row r="66" spans="1:19" ht="27.6" customHeight="1" thickBot="1" x14ac:dyDescent="0.5">
      <c r="A66" s="1617"/>
      <c r="B66" s="1620"/>
      <c r="C66" s="1686"/>
      <c r="D66" s="1626"/>
      <c r="E66" s="1689"/>
      <c r="F66" s="1147" t="s">
        <v>54</v>
      </c>
      <c r="G66" s="1148">
        <f t="shared" si="24"/>
        <v>0.29761904761904762</v>
      </c>
      <c r="H66" s="470"/>
      <c r="I66" s="843"/>
      <c r="J66" s="1149">
        <f t="shared" si="22"/>
        <v>0</v>
      </c>
      <c r="K66" s="1150">
        <f>(100-I66)*(6/10)</f>
        <v>60</v>
      </c>
      <c r="L66" s="1151">
        <f t="shared" si="19"/>
        <v>60</v>
      </c>
      <c r="M66" s="950">
        <f t="shared" si="23"/>
        <v>0</v>
      </c>
      <c r="N66" s="1629"/>
      <c r="O66" s="1634"/>
      <c r="P66" s="1631"/>
      <c r="Q66" s="1416" t="s">
        <v>95</v>
      </c>
      <c r="R66" s="840"/>
      <c r="S66" s="799" t="s">
        <v>615</v>
      </c>
    </row>
    <row r="67" spans="1:19" ht="27" customHeight="1" thickBot="1" x14ac:dyDescent="0.5">
      <c r="B67" s="1614" t="s">
        <v>55</v>
      </c>
      <c r="C67" s="1615"/>
      <c r="D67" s="1615"/>
      <c r="E67" s="1615"/>
      <c r="F67" s="1616"/>
      <c r="G67" s="1084"/>
      <c r="H67" s="1398"/>
      <c r="I67" s="1399"/>
      <c r="J67" s="1084"/>
      <c r="K67" s="1085"/>
      <c r="L67" s="1085"/>
      <c r="M67" s="1162"/>
      <c r="N67" s="911">
        <f>N68</f>
        <v>0</v>
      </c>
      <c r="O67" s="912">
        <f>O68</f>
        <v>0</v>
      </c>
      <c r="P67" s="913">
        <f>O67/3.571428</f>
        <v>0</v>
      </c>
      <c r="Q67" s="1153"/>
      <c r="R67" s="1417"/>
      <c r="S67" s="1418"/>
    </row>
    <row r="68" spans="1:19" ht="58.5" thickBot="1" x14ac:dyDescent="0.5">
      <c r="A68" s="22">
        <v>17</v>
      </c>
      <c r="B68" s="1154" t="s">
        <v>56</v>
      </c>
      <c r="C68" s="1155">
        <f>M5</f>
        <v>3.5714285714285716</v>
      </c>
      <c r="D68" s="1154" t="s">
        <v>137</v>
      </c>
      <c r="E68" s="1155">
        <f>C68</f>
        <v>3.5714285714285716</v>
      </c>
      <c r="F68" s="1154" t="s">
        <v>57</v>
      </c>
      <c r="G68" s="1156">
        <f>E68/1</f>
        <v>3.5714285714285716</v>
      </c>
      <c r="H68" s="474"/>
      <c r="I68" s="511"/>
      <c r="J68" s="1157">
        <f>IF(I68=H68,(H68-70),I68-H68)</f>
        <v>-70</v>
      </c>
      <c r="K68" s="1051">
        <f t="shared" ref="K68" si="25">IF(I68&gt;=70,0,((70-I68)*(6/10)))</f>
        <v>42</v>
      </c>
      <c r="L68" s="1158">
        <f>I68-K68</f>
        <v>-42</v>
      </c>
      <c r="M68" s="935" t="str">
        <f>IF(H68=0,"0%",J68/K68)</f>
        <v>0%</v>
      </c>
      <c r="N68" s="1159">
        <f>((G68/C68)*M68)</f>
        <v>0</v>
      </c>
      <c r="O68" s="1041">
        <f>IF(((G68/C68)*M68)&gt;=1,3.571428,IF(((G68/C68)*M68)&lt;=0,0,((G68/C68)*M68)*3.571428))</f>
        <v>0</v>
      </c>
      <c r="P68" s="913">
        <f>O68/3.571428</f>
        <v>0</v>
      </c>
      <c r="Q68" s="1160" t="s">
        <v>132</v>
      </c>
      <c r="R68" s="110" t="s">
        <v>765</v>
      </c>
      <c r="S68" s="798" t="s">
        <v>615</v>
      </c>
    </row>
    <row r="69" spans="1:19" ht="22.25" customHeight="1" thickBot="1" x14ac:dyDescent="0.5">
      <c r="B69" s="1563" t="s">
        <v>58</v>
      </c>
      <c r="C69" s="1564"/>
      <c r="D69" s="1564"/>
      <c r="E69" s="1564"/>
      <c r="F69" s="1565"/>
      <c r="G69" s="223"/>
      <c r="H69" s="800"/>
      <c r="I69" s="801"/>
      <c r="J69" s="224"/>
      <c r="K69" s="92"/>
      <c r="L69" s="92"/>
      <c r="M69" s="1161"/>
      <c r="N69" s="911">
        <f>(N70+N72+N74)/3</f>
        <v>0</v>
      </c>
      <c r="O69" s="912">
        <f>(O70+O72+O74)</f>
        <v>0</v>
      </c>
      <c r="P69" s="913">
        <f>O69/10.714284</f>
        <v>0</v>
      </c>
      <c r="Q69" s="886"/>
      <c r="R69" s="802"/>
      <c r="S69" s="803"/>
    </row>
    <row r="70" spans="1:19" ht="20.45" customHeight="1" thickBot="1" x14ac:dyDescent="0.5">
      <c r="B70" s="1670" t="s">
        <v>59</v>
      </c>
      <c r="C70" s="1671"/>
      <c r="D70" s="1671"/>
      <c r="E70" s="1671"/>
      <c r="F70" s="1672"/>
      <c r="G70" s="996"/>
      <c r="H70" s="1406"/>
      <c r="I70" s="1407"/>
      <c r="J70" s="997"/>
      <c r="K70" s="997"/>
      <c r="L70" s="997"/>
      <c r="M70" s="1162"/>
      <c r="N70" s="911">
        <f>N71</f>
        <v>0</v>
      </c>
      <c r="O70" s="912">
        <f>O71</f>
        <v>0</v>
      </c>
      <c r="P70" s="913">
        <f t="shared" ref="P70:P78" si="26">O70/3.571428</f>
        <v>0</v>
      </c>
      <c r="Q70" s="1123"/>
      <c r="R70" s="1419"/>
      <c r="S70" s="1419"/>
    </row>
    <row r="71" spans="1:19" ht="52.25" customHeight="1" thickBot="1" x14ac:dyDescent="0.5">
      <c r="A71" s="22">
        <v>18</v>
      </c>
      <c r="B71" s="1163" t="s">
        <v>60</v>
      </c>
      <c r="C71" s="1164">
        <f>M5</f>
        <v>3.5714285714285716</v>
      </c>
      <c r="D71" s="1165" t="s">
        <v>138</v>
      </c>
      <c r="E71" s="1166">
        <f>C71</f>
        <v>3.5714285714285716</v>
      </c>
      <c r="F71" s="1167" t="s">
        <v>61</v>
      </c>
      <c r="G71" s="1168">
        <f>E71/1</f>
        <v>3.5714285714285716</v>
      </c>
      <c r="H71" s="835"/>
      <c r="I71" s="832"/>
      <c r="J71" s="1169">
        <f>I71-H71</f>
        <v>0</v>
      </c>
      <c r="K71" s="1048">
        <f>(0.5*I71)*0.6</f>
        <v>0</v>
      </c>
      <c r="L71" s="1158">
        <f>I71-K71</f>
        <v>0</v>
      </c>
      <c r="M71" s="935" t="str">
        <f>IF(H71=0,"0%",J71/K71)</f>
        <v>0%</v>
      </c>
      <c r="N71" s="1159">
        <f>((G71/C71)*M71)</f>
        <v>0</v>
      </c>
      <c r="O71" s="1041">
        <f>IF(((G71/C71)*M71)&gt;=1,3.571428,IF(((G71/C71)*M71)&lt;=0,0,((G71/C71)*M71)*3.571428))</f>
        <v>0</v>
      </c>
      <c r="P71" s="913">
        <f t="shared" si="26"/>
        <v>0</v>
      </c>
      <c r="Q71" s="1170" t="s">
        <v>183</v>
      </c>
      <c r="R71" s="804"/>
      <c r="S71" s="798" t="s">
        <v>615</v>
      </c>
    </row>
    <row r="72" spans="1:19" ht="20.45" customHeight="1" thickBot="1" x14ac:dyDescent="0.5">
      <c r="B72" s="1679" t="s">
        <v>277</v>
      </c>
      <c r="C72" s="1680"/>
      <c r="D72" s="1680"/>
      <c r="E72" s="1680"/>
      <c r="F72" s="1681"/>
      <c r="G72" s="1054"/>
      <c r="H72" s="1406"/>
      <c r="I72" s="1407"/>
      <c r="J72" s="1055"/>
      <c r="K72" s="1056"/>
      <c r="L72" s="1056"/>
      <c r="M72" s="1057"/>
      <c r="N72" s="911">
        <f>N73</f>
        <v>0</v>
      </c>
      <c r="O72" s="912">
        <f>O73</f>
        <v>0</v>
      </c>
      <c r="P72" s="913">
        <f t="shared" si="26"/>
        <v>0</v>
      </c>
      <c r="Q72" s="1171"/>
      <c r="R72" s="1419"/>
      <c r="S72" s="1419"/>
    </row>
    <row r="73" spans="1:19" ht="45" customHeight="1" thickBot="1" x14ac:dyDescent="0.5">
      <c r="A73" s="22">
        <v>19</v>
      </c>
      <c r="B73" s="1172" t="s">
        <v>62</v>
      </c>
      <c r="C73" s="1173">
        <f>M5</f>
        <v>3.5714285714285716</v>
      </c>
      <c r="D73" s="1174" t="s">
        <v>139</v>
      </c>
      <c r="E73" s="1173">
        <f>C73</f>
        <v>3.5714285714285716</v>
      </c>
      <c r="F73" s="1175" t="s">
        <v>63</v>
      </c>
      <c r="G73" s="1176">
        <f>E73/1</f>
        <v>3.5714285714285716</v>
      </c>
      <c r="H73" s="472"/>
      <c r="I73" s="511"/>
      <c r="J73" s="1177">
        <f>I73-H73</f>
        <v>0</v>
      </c>
      <c r="K73" s="1178">
        <f>IF(H73&gt;0,(H73),I73)</f>
        <v>0</v>
      </c>
      <c r="L73" s="1179">
        <f>I73-K73</f>
        <v>0</v>
      </c>
      <c r="M73" s="935" t="str">
        <f>IF(H73=0,"0%",J73/K73)</f>
        <v>0%</v>
      </c>
      <c r="N73" s="1159">
        <f>((G73/C73)*M73)</f>
        <v>0</v>
      </c>
      <c r="O73" s="1041">
        <f>IF(((G73/C73)*M73)&gt;=1,3.571428,IF(((G73/C73)*M73)&lt;=0,0,((G73/C73)*M73)*3.571428))</f>
        <v>0</v>
      </c>
      <c r="P73" s="913">
        <f t="shared" si="26"/>
        <v>0</v>
      </c>
      <c r="Q73" s="1180" t="s">
        <v>95</v>
      </c>
      <c r="R73" s="110"/>
      <c r="S73" s="798" t="s">
        <v>615</v>
      </c>
    </row>
    <row r="74" spans="1:19" ht="30.6" customHeight="1" thickBot="1" x14ac:dyDescent="0.5">
      <c r="B74" s="1670" t="s">
        <v>64</v>
      </c>
      <c r="C74" s="1671"/>
      <c r="D74" s="1671"/>
      <c r="E74" s="1671"/>
      <c r="F74" s="1672"/>
      <c r="G74" s="997"/>
      <c r="H74" s="1406"/>
      <c r="I74" s="1407"/>
      <c r="J74" s="997"/>
      <c r="K74" s="997"/>
      <c r="L74" s="997"/>
      <c r="M74" s="996"/>
      <c r="N74" s="911">
        <f>N75</f>
        <v>0</v>
      </c>
      <c r="O74" s="912">
        <f>O75</f>
        <v>0</v>
      </c>
      <c r="P74" s="913">
        <f t="shared" si="26"/>
        <v>0</v>
      </c>
      <c r="Q74" s="1123"/>
      <c r="R74" s="794"/>
      <c r="S74" s="794"/>
    </row>
    <row r="75" spans="1:19" ht="29.45" customHeight="1" thickBot="1" x14ac:dyDescent="0.5">
      <c r="A75" s="22">
        <v>20</v>
      </c>
      <c r="B75" s="1172" t="s">
        <v>65</v>
      </c>
      <c r="C75" s="1035">
        <f>M5</f>
        <v>3.5714285714285716</v>
      </c>
      <c r="D75" s="1165" t="s">
        <v>140</v>
      </c>
      <c r="E75" s="1181">
        <f>C75</f>
        <v>3.5714285714285716</v>
      </c>
      <c r="F75" s="1174" t="s">
        <v>66</v>
      </c>
      <c r="G75" s="1168">
        <f>E75/1</f>
        <v>3.5714285714285716</v>
      </c>
      <c r="H75" s="472"/>
      <c r="I75" s="844"/>
      <c r="J75" s="1119">
        <f>H75-I75</f>
        <v>0</v>
      </c>
      <c r="K75" s="1120">
        <f>IF(AND(H75=0,I75=1)," 1",(H75-I75))</f>
        <v>0</v>
      </c>
      <c r="L75" s="1182">
        <f>I75+K75</f>
        <v>0</v>
      </c>
      <c r="M75" s="935" t="str">
        <f>IF(H75=0,"0%",J75/K75)</f>
        <v>0%</v>
      </c>
      <c r="N75" s="1159">
        <f>((G75/C75)*M75)</f>
        <v>0</v>
      </c>
      <c r="O75" s="1041">
        <f>IF(((G75/C75)*M75)&gt;=1,3.571428,IF(((G75/C75)*M75)&lt;=0,0,((G75/C75)*M75)*3.571428))</f>
        <v>0</v>
      </c>
      <c r="P75" s="913">
        <f t="shared" si="26"/>
        <v>0</v>
      </c>
      <c r="Q75" s="1184" t="s">
        <v>95</v>
      </c>
      <c r="R75" s="297"/>
      <c r="S75" s="781" t="s">
        <v>615</v>
      </c>
    </row>
    <row r="76" spans="1:19" ht="20.45" customHeight="1" thickBot="1" x14ac:dyDescent="0.5">
      <c r="B76" s="1682" t="s">
        <v>67</v>
      </c>
      <c r="C76" s="1683"/>
      <c r="D76" s="1683"/>
      <c r="E76" s="1683"/>
      <c r="F76" s="1684"/>
      <c r="G76" s="1185"/>
      <c r="H76" s="1420"/>
      <c r="I76" s="1421"/>
      <c r="J76" s="1186"/>
      <c r="K76" s="885"/>
      <c r="L76" s="885"/>
      <c r="M76" s="1185"/>
      <c r="N76" s="911">
        <f t="shared" ref="N76:O77" si="27">N77</f>
        <v>0</v>
      </c>
      <c r="O76" s="912">
        <f t="shared" si="27"/>
        <v>0</v>
      </c>
      <c r="P76" s="913">
        <f t="shared" si="26"/>
        <v>0</v>
      </c>
      <c r="Q76" s="1187"/>
      <c r="R76" s="685"/>
      <c r="S76" s="845"/>
    </row>
    <row r="77" spans="1:19" ht="20.45" customHeight="1" thickBot="1" x14ac:dyDescent="0.5">
      <c r="B77" s="1670" t="s">
        <v>68</v>
      </c>
      <c r="C77" s="1671"/>
      <c r="D77" s="1671"/>
      <c r="E77" s="1671"/>
      <c r="F77" s="1672"/>
      <c r="G77" s="996"/>
      <c r="H77" s="1406"/>
      <c r="I77" s="1407"/>
      <c r="J77" s="1016"/>
      <c r="K77" s="1017"/>
      <c r="L77" s="1017"/>
      <c r="M77" s="998"/>
      <c r="N77" s="911">
        <f t="shared" si="27"/>
        <v>0</v>
      </c>
      <c r="O77" s="912">
        <f t="shared" si="27"/>
        <v>0</v>
      </c>
      <c r="P77" s="913">
        <f t="shared" si="26"/>
        <v>0</v>
      </c>
      <c r="Q77" s="1123"/>
      <c r="R77" s="794"/>
      <c r="S77" s="794"/>
    </row>
    <row r="78" spans="1:19" ht="35.25" thickBot="1" x14ac:dyDescent="0.5">
      <c r="A78" s="22">
        <v>21</v>
      </c>
      <c r="B78" s="1172" t="s">
        <v>69</v>
      </c>
      <c r="C78" s="1181">
        <f>M5</f>
        <v>3.5714285714285716</v>
      </c>
      <c r="D78" s="1188" t="s">
        <v>141</v>
      </c>
      <c r="E78" s="1181">
        <f>C78</f>
        <v>3.5714285714285716</v>
      </c>
      <c r="F78" s="1188" t="s">
        <v>70</v>
      </c>
      <c r="G78" s="1155">
        <f>E78/1</f>
        <v>3.5714285714285716</v>
      </c>
      <c r="H78" s="472"/>
      <c r="I78" s="844"/>
      <c r="J78" s="1157">
        <f>IF(I78=H78,(H78-60),H78-I78)</f>
        <v>-60</v>
      </c>
      <c r="K78" s="1051">
        <f>IF(I78&gt;=60,0,((60-I78)*(6/10)))</f>
        <v>36</v>
      </c>
      <c r="L78" s="1158">
        <f t="shared" ref="L78" si="28">K78+I78</f>
        <v>36</v>
      </c>
      <c r="M78" s="1039">
        <f>IF(I78&gt;=60,(1+(H78-60)/60),(H78/L78))</f>
        <v>0</v>
      </c>
      <c r="N78" s="1159">
        <f>((G78/C78)*M78)</f>
        <v>0</v>
      </c>
      <c r="O78" s="1041">
        <f>IF(((G78/C78)*M78)&gt;=1,3.571428,IF(((G78/C78)*M78)&lt;=0,0,((G78/C78)*M78)*3.571428))</f>
        <v>0</v>
      </c>
      <c r="P78" s="913">
        <f t="shared" si="26"/>
        <v>0</v>
      </c>
      <c r="Q78" s="1189" t="s">
        <v>95</v>
      </c>
      <c r="R78" s="110"/>
      <c r="S78" s="798" t="s">
        <v>615</v>
      </c>
    </row>
    <row r="79" spans="1:19" ht="21.6" customHeight="1" thickBot="1" x14ac:dyDescent="0.5">
      <c r="B79" s="1673" t="s">
        <v>71</v>
      </c>
      <c r="C79" s="1674"/>
      <c r="D79" s="1674"/>
      <c r="E79" s="1674"/>
      <c r="F79" s="1675"/>
      <c r="G79" s="1185"/>
      <c r="H79" s="1420"/>
      <c r="I79" s="1421"/>
      <c r="J79" s="1190"/>
      <c r="K79" s="1191"/>
      <c r="L79" s="1191"/>
      <c r="M79" s="1185"/>
      <c r="N79" s="911">
        <f>(N80+N86)/2</f>
        <v>0.27777777777777773</v>
      </c>
      <c r="O79" s="912">
        <f>(O80+O86)</f>
        <v>1.9841266666666664</v>
      </c>
      <c r="P79" s="913">
        <f>O79/10.714284</f>
        <v>0.18518518518518517</v>
      </c>
      <c r="Q79" s="1187"/>
      <c r="R79" s="685"/>
      <c r="S79" s="685"/>
    </row>
    <row r="80" spans="1:19" ht="20.45" customHeight="1" thickBot="1" x14ac:dyDescent="0.5">
      <c r="B80" s="1614" t="s">
        <v>72</v>
      </c>
      <c r="C80" s="1615"/>
      <c r="D80" s="1615"/>
      <c r="E80" s="1615"/>
      <c r="F80" s="1616"/>
      <c r="G80" s="1018"/>
      <c r="H80" s="1406"/>
      <c r="I80" s="1407"/>
      <c r="J80" s="997"/>
      <c r="K80" s="997"/>
      <c r="L80" s="997"/>
      <c r="M80" s="1018"/>
      <c r="N80" s="911">
        <f>(N81+N83)/2</f>
        <v>0</v>
      </c>
      <c r="O80" s="912">
        <f>(O81+O83)</f>
        <v>0</v>
      </c>
      <c r="P80" s="913">
        <f>O80/7.142856</f>
        <v>0</v>
      </c>
      <c r="Q80" s="1192"/>
      <c r="R80" s="687"/>
      <c r="S80" s="687"/>
    </row>
    <row r="81" spans="1:19" ht="46.5" x14ac:dyDescent="0.45">
      <c r="A81" s="22"/>
      <c r="B81" s="1676" t="s">
        <v>73</v>
      </c>
      <c r="C81" s="1678">
        <f>M5</f>
        <v>3.5714285714285716</v>
      </c>
      <c r="D81" s="999" t="s">
        <v>267</v>
      </c>
      <c r="E81" s="931">
        <f>$C$81/2</f>
        <v>1.7857142857142858</v>
      </c>
      <c r="F81" s="1124" t="s">
        <v>278</v>
      </c>
      <c r="G81" s="978">
        <f>E81/1</f>
        <v>1.7857142857142858</v>
      </c>
      <c r="H81" s="846"/>
      <c r="I81" s="847"/>
      <c r="J81" s="1088">
        <f>IF(I81=H81,(H81-50),H81-I81)</f>
        <v>-50</v>
      </c>
      <c r="K81" s="980">
        <f>IF(I81&gt;=50,0,((50-I81)*(6/10)))</f>
        <v>30</v>
      </c>
      <c r="L81" s="1193">
        <f>I81+K81</f>
        <v>30</v>
      </c>
      <c r="M81" s="935" t="str">
        <f>IF(H81=0,"0%",J81/K81)</f>
        <v>0%</v>
      </c>
      <c r="N81" s="1627">
        <f>(((G81/C81)*M81)+((G82/C81)*M82))</f>
        <v>0</v>
      </c>
      <c r="O81" s="1646">
        <f>IF((((G81/C81)*M81)+((G82/C81)*M82))&gt;=1,3.57148,IF((((G81/C81)*M81)+((G82/C81)*M82))&lt;=0,0, (((G81/C81)*M81)+((G82/C81)*M82))*3.571428))</f>
        <v>0</v>
      </c>
      <c r="P81" s="1630">
        <f>O81/3.571428</f>
        <v>0</v>
      </c>
      <c r="Q81" s="1194" t="s">
        <v>279</v>
      </c>
      <c r="R81" s="226"/>
      <c r="S81" s="797" t="s">
        <v>615</v>
      </c>
    </row>
    <row r="82" spans="1:19" ht="39.6" customHeight="1" thickBot="1" x14ac:dyDescent="0.5">
      <c r="A82" s="22"/>
      <c r="B82" s="1677"/>
      <c r="C82" s="1575"/>
      <c r="D82" s="1024" t="s">
        <v>268</v>
      </c>
      <c r="E82" s="944">
        <f>$C$81/2</f>
        <v>1.7857142857142858</v>
      </c>
      <c r="F82" s="1025" t="s">
        <v>74</v>
      </c>
      <c r="G82" s="992">
        <f>E82/1</f>
        <v>1.7857142857142858</v>
      </c>
      <c r="H82" s="475"/>
      <c r="I82" s="492"/>
      <c r="J82" s="1195">
        <f>IF(I82=H82,(H82-30),H82-I82)</f>
        <v>-30</v>
      </c>
      <c r="K82" s="994">
        <f>IF(I82&gt;=30,0,((30-I82)*(6/10)))</f>
        <v>18</v>
      </c>
      <c r="L82" s="1196">
        <f t="shared" ref="L82" si="29">K82+I82</f>
        <v>18</v>
      </c>
      <c r="M82" s="971">
        <f>IF(I82&gt;=30,(1+(H82-30)/30),(H82/L82))</f>
        <v>0</v>
      </c>
      <c r="N82" s="1629"/>
      <c r="O82" s="1647"/>
      <c r="P82" s="1631"/>
      <c r="Q82" s="1197" t="s">
        <v>282</v>
      </c>
      <c r="R82" s="172"/>
      <c r="S82" s="799" t="s">
        <v>615</v>
      </c>
    </row>
    <row r="83" spans="1:19" ht="60" customHeight="1" x14ac:dyDescent="0.45">
      <c r="A83" s="22"/>
      <c r="B83" s="1660" t="s">
        <v>142</v>
      </c>
      <c r="C83" s="1662">
        <f>M5</f>
        <v>3.5714285714285716</v>
      </c>
      <c r="D83" s="1198" t="s">
        <v>145</v>
      </c>
      <c r="E83" s="931">
        <f>$C$81/3</f>
        <v>1.1904761904761905</v>
      </c>
      <c r="F83" s="999" t="s">
        <v>143</v>
      </c>
      <c r="G83" s="931">
        <f>E83/1</f>
        <v>1.1904761904761905</v>
      </c>
      <c r="H83" s="846"/>
      <c r="I83" s="848"/>
      <c r="J83" s="1199">
        <f>I83-H83</f>
        <v>0</v>
      </c>
      <c r="K83" s="1077">
        <f>(0.2*I83)*(6/10)</f>
        <v>0</v>
      </c>
      <c r="L83" s="1200">
        <f>I83-K83</f>
        <v>0</v>
      </c>
      <c r="M83" s="935" t="str">
        <f>IF(K83&lt;&gt;0,J83/K83,"0%")</f>
        <v>0%</v>
      </c>
      <c r="N83" s="1665">
        <f>(((G83/C83)*M83)+((G84/C83)*M84)+((G85/C83)*M85))</f>
        <v>0</v>
      </c>
      <c r="O83" s="1632">
        <f>IF((((G83/C83)*M83)+((G84/C83)*M84)+((G85/C83)*M85))&gt;=1,3.571428,IF((((G83/C83)*M83)+((G84/C83)*M84)+((G85/C83)*M85))&lt;=0,0,(((G83/C83)*M83)+((G84/C83)*M84)+((G85/C83)*M85))*3.571428))</f>
        <v>0</v>
      </c>
      <c r="P83" s="1630">
        <f>O83/3.571428</f>
        <v>0</v>
      </c>
      <c r="Q83" s="1201" t="s">
        <v>184</v>
      </c>
      <c r="R83" s="227"/>
      <c r="S83" s="849" t="s">
        <v>615</v>
      </c>
    </row>
    <row r="84" spans="1:19" ht="45" customHeight="1" x14ac:dyDescent="0.45">
      <c r="A84" s="22"/>
      <c r="B84" s="1660"/>
      <c r="C84" s="1663"/>
      <c r="D84" s="1202" t="s">
        <v>146</v>
      </c>
      <c r="E84" s="1005">
        <f t="shared" ref="E84:E85" si="30">$C$81/3</f>
        <v>1.1904761904761905</v>
      </c>
      <c r="F84" s="1128" t="s">
        <v>283</v>
      </c>
      <c r="G84" s="1005">
        <f>E84/1</f>
        <v>1.1904761904761905</v>
      </c>
      <c r="H84" s="470"/>
      <c r="I84" s="496"/>
      <c r="J84" s="1203">
        <f>I84-H84</f>
        <v>0</v>
      </c>
      <c r="K84" s="1077">
        <f>(0.5*I84)*(6/10)</f>
        <v>0</v>
      </c>
      <c r="L84" s="1204">
        <f>I84-K84</f>
        <v>0</v>
      </c>
      <c r="M84" s="989" t="str">
        <f>IF(H84=0,"0%",J84/K84)</f>
        <v>0%</v>
      </c>
      <c r="N84" s="1666"/>
      <c r="O84" s="1633"/>
      <c r="P84" s="1635"/>
      <c r="Q84" s="1205" t="s">
        <v>185</v>
      </c>
      <c r="R84" s="290"/>
      <c r="S84" s="798" t="s">
        <v>615</v>
      </c>
    </row>
    <row r="85" spans="1:19" ht="38.450000000000003" customHeight="1" thickBot="1" x14ac:dyDescent="0.5">
      <c r="A85" s="22"/>
      <c r="B85" s="1661"/>
      <c r="C85" s="1664"/>
      <c r="D85" s="1206" t="s">
        <v>147</v>
      </c>
      <c r="E85" s="944">
        <f t="shared" si="30"/>
        <v>1.1904761904761905</v>
      </c>
      <c r="F85" s="1025" t="s">
        <v>144</v>
      </c>
      <c r="G85" s="944">
        <f>E85/1</f>
        <v>1.1904761904761905</v>
      </c>
      <c r="H85" s="475"/>
      <c r="I85" s="492"/>
      <c r="J85" s="1207">
        <f>H85-I85</f>
        <v>0</v>
      </c>
      <c r="K85" s="1208">
        <f>(100-I85)*(6/10)</f>
        <v>60</v>
      </c>
      <c r="L85" s="1209">
        <f>I85+K85</f>
        <v>60</v>
      </c>
      <c r="M85" s="950">
        <f>IF(H85&gt;=100,167%, IF(K85&lt;&gt;0,J85/K85,"0%"))</f>
        <v>0</v>
      </c>
      <c r="N85" s="1667"/>
      <c r="O85" s="1634"/>
      <c r="P85" s="1631"/>
      <c r="Q85" s="1210" t="s">
        <v>284</v>
      </c>
      <c r="R85" s="850"/>
      <c r="S85" s="798" t="s">
        <v>615</v>
      </c>
    </row>
    <row r="86" spans="1:19" ht="20.45" customHeight="1" thickBot="1" x14ac:dyDescent="0.5">
      <c r="B86" s="1648" t="s">
        <v>75</v>
      </c>
      <c r="C86" s="1649"/>
      <c r="D86" s="1649"/>
      <c r="E86" s="1649"/>
      <c r="F86" s="1650"/>
      <c r="G86" s="1162"/>
      <c r="H86" s="1398"/>
      <c r="I86" s="1399"/>
      <c r="J86" s="1211"/>
      <c r="K86" s="1212"/>
      <c r="L86" s="1212"/>
      <c r="M86" s="998"/>
      <c r="N86" s="911">
        <f>N87</f>
        <v>0.55555555555555547</v>
      </c>
      <c r="O86" s="912">
        <f>O87</f>
        <v>1.9841266666666664</v>
      </c>
      <c r="P86" s="913">
        <f>O86/3.571428</f>
        <v>0.55555555555555547</v>
      </c>
      <c r="Q86" s="1085"/>
      <c r="R86" s="687"/>
      <c r="S86" s="687"/>
    </row>
    <row r="87" spans="1:19" ht="27.6" customHeight="1" x14ac:dyDescent="0.45">
      <c r="A87" s="1651">
        <v>24</v>
      </c>
      <c r="B87" s="1652" t="s">
        <v>76</v>
      </c>
      <c r="C87" s="1654">
        <f>M5</f>
        <v>3.5714285714285716</v>
      </c>
      <c r="D87" s="1073" t="s">
        <v>159</v>
      </c>
      <c r="E87" s="1074">
        <f>($C$87/3)</f>
        <v>1.1904761904761905</v>
      </c>
      <c r="F87" s="1213" t="s">
        <v>285</v>
      </c>
      <c r="G87" s="1214">
        <f>E87/1</f>
        <v>1.1904761904761905</v>
      </c>
      <c r="H87" s="479"/>
      <c r="I87" s="480"/>
      <c r="J87" s="1215">
        <f>I87-H87</f>
        <v>0</v>
      </c>
      <c r="K87" s="1216">
        <f>(0.25*I87)*(6/10)</f>
        <v>0</v>
      </c>
      <c r="L87" s="1217">
        <f>I87-K87</f>
        <v>0</v>
      </c>
      <c r="M87" s="935" t="str">
        <f>IF(K87&lt;&gt;0,J87/K87,"0%")</f>
        <v>0%</v>
      </c>
      <c r="N87" s="1657">
        <f>(((G87/C87)*M87)+((G88/C87)*M88)+((G89/C87)*M89)+((G90/C87)*M90)+((G91/C87)*M91))</f>
        <v>0.55555555555555547</v>
      </c>
      <c r="O87" s="1632">
        <f>IF((((G87/C87)*M87)+((G88/C87)*M88)+((G89/C87)*M89)+((G90/C87)*M90)+((G91/C87)*M91))&gt;=1,3.571428,IF((((G87/C87)*M87)+((G88/C87)*M88)+((G89/C87)*M89)+((G90/C87)*M90)+((G91/C87)*M91))&lt;=0,0,((((G87/C87)*M87)+((G88/C87)*M88)+((G89/C87)*M89)+((G90/C87)*M90)+((G91/C87)*M91))*3.571428)))</f>
        <v>1.9841266666666664</v>
      </c>
      <c r="P87" s="1630">
        <f>O87/3.571428</f>
        <v>0.55555555555555547</v>
      </c>
      <c r="Q87" s="1439" t="s">
        <v>186</v>
      </c>
      <c r="R87" s="851"/>
      <c r="S87" s="798" t="s">
        <v>615</v>
      </c>
    </row>
    <row r="88" spans="1:19" ht="25.8" customHeight="1" x14ac:dyDescent="0.45">
      <c r="A88" s="1651"/>
      <c r="B88" s="1652"/>
      <c r="C88" s="1655"/>
      <c r="D88" s="1668" t="s">
        <v>160</v>
      </c>
      <c r="E88" s="1669">
        <f>C87/3</f>
        <v>1.1904761904761905</v>
      </c>
      <c r="F88" s="1006" t="s">
        <v>77</v>
      </c>
      <c r="G88" s="1219">
        <f>$E$88/3</f>
        <v>0.3968253968253968</v>
      </c>
      <c r="H88" s="481"/>
      <c r="I88" s="482"/>
      <c r="J88" s="1220">
        <f>I88-H88</f>
        <v>0</v>
      </c>
      <c r="K88" s="1221">
        <f>I88*(6/10)</f>
        <v>0</v>
      </c>
      <c r="L88" s="1222">
        <f>I88-K88</f>
        <v>0</v>
      </c>
      <c r="M88" s="989" t="str">
        <f>IF(K88&lt;&gt;0,J88/K88,"0%")</f>
        <v>0%</v>
      </c>
      <c r="N88" s="1658"/>
      <c r="O88" s="1633"/>
      <c r="P88" s="1635"/>
      <c r="Q88" s="1440" t="s">
        <v>187</v>
      </c>
      <c r="R88" s="681"/>
      <c r="S88" s="798" t="s">
        <v>615</v>
      </c>
    </row>
    <row r="89" spans="1:19" ht="59.65" customHeight="1" x14ac:dyDescent="0.45">
      <c r="A89" s="1651"/>
      <c r="B89" s="1652"/>
      <c r="C89" s="1655"/>
      <c r="D89" s="1668"/>
      <c r="E89" s="1669"/>
      <c r="F89" s="1006" t="s">
        <v>78</v>
      </c>
      <c r="G89" s="1219">
        <f>$E$88/3</f>
        <v>0.3968253968253968</v>
      </c>
      <c r="H89" s="481"/>
      <c r="I89" s="482"/>
      <c r="J89" s="1220">
        <f>I89-H89</f>
        <v>0</v>
      </c>
      <c r="K89" s="1221">
        <f>I89*(6/10)</f>
        <v>0</v>
      </c>
      <c r="L89" s="1222">
        <f>I89-K89</f>
        <v>0</v>
      </c>
      <c r="M89" s="989" t="str">
        <f>IF(K89&lt;&gt;0,J89/K89,"0%")</f>
        <v>0%</v>
      </c>
      <c r="N89" s="1658"/>
      <c r="O89" s="1633"/>
      <c r="P89" s="1635"/>
      <c r="Q89" s="1440" t="s">
        <v>188</v>
      </c>
      <c r="R89" s="681"/>
      <c r="S89" s="798" t="s">
        <v>615</v>
      </c>
    </row>
    <row r="90" spans="1:19" ht="26.45" customHeight="1" x14ac:dyDescent="0.45">
      <c r="A90" s="1651"/>
      <c r="B90" s="1652"/>
      <c r="C90" s="1655"/>
      <c r="D90" s="1668"/>
      <c r="E90" s="1669"/>
      <c r="F90" s="1006" t="s">
        <v>79</v>
      </c>
      <c r="G90" s="1219">
        <f>$E$88/3</f>
        <v>0.3968253968253968</v>
      </c>
      <c r="H90" s="481"/>
      <c r="I90" s="832"/>
      <c r="J90" s="1220">
        <f>I90-H90</f>
        <v>0</v>
      </c>
      <c r="K90" s="1224">
        <f>(I90)*(6/10)</f>
        <v>0</v>
      </c>
      <c r="L90" s="1225">
        <f>I90-K90</f>
        <v>0</v>
      </c>
      <c r="M90" s="989" t="str">
        <f>IF(H90=0,"0%",J90/K90)</f>
        <v>0%</v>
      </c>
      <c r="N90" s="1658"/>
      <c r="O90" s="1633"/>
      <c r="P90" s="1635"/>
      <c r="Q90" s="1441" t="s">
        <v>189</v>
      </c>
      <c r="R90" s="681"/>
      <c r="S90" s="798" t="s">
        <v>615</v>
      </c>
    </row>
    <row r="91" spans="1:19" ht="40.799999999999997" customHeight="1" thickBot="1" x14ac:dyDescent="0.5">
      <c r="A91" s="1651"/>
      <c r="B91" s="1653"/>
      <c r="C91" s="1656"/>
      <c r="D91" s="991" t="s">
        <v>161</v>
      </c>
      <c r="E91" s="944">
        <f>$C$87/3</f>
        <v>1.1904761904761905</v>
      </c>
      <c r="F91" s="1227" t="s">
        <v>80</v>
      </c>
      <c r="G91" s="1228">
        <f>E91/1</f>
        <v>1.1904761904761905</v>
      </c>
      <c r="H91" s="271">
        <v>100</v>
      </c>
      <c r="I91" s="272">
        <v>100</v>
      </c>
      <c r="J91" s="1229">
        <f>H91-I91</f>
        <v>0</v>
      </c>
      <c r="K91" s="1208">
        <f>(100-I91)*(6/10)</f>
        <v>0</v>
      </c>
      <c r="L91" s="1230">
        <f>I91+K91</f>
        <v>100</v>
      </c>
      <c r="M91" s="950">
        <f>IF(I91&gt;=60,(1+(H91-60)/60),(H91/L91))</f>
        <v>1.6666666666666665</v>
      </c>
      <c r="N91" s="1659"/>
      <c r="O91" s="1634"/>
      <c r="P91" s="1631"/>
      <c r="Q91" s="1442" t="s">
        <v>95</v>
      </c>
      <c r="R91" s="852"/>
      <c r="S91" s="853" t="s">
        <v>796</v>
      </c>
    </row>
    <row r="92" spans="1:19" ht="14.65" thickBot="1" x14ac:dyDescent="0.5">
      <c r="B92" s="1586" t="s">
        <v>81</v>
      </c>
      <c r="C92" s="1587"/>
      <c r="D92" s="1587"/>
      <c r="E92" s="1587"/>
      <c r="F92" s="1588"/>
      <c r="G92" s="11"/>
      <c r="H92" s="815"/>
      <c r="I92" s="816"/>
      <c r="J92" s="225"/>
      <c r="K92" s="11"/>
      <c r="L92" s="11"/>
      <c r="M92" s="223"/>
      <c r="N92" s="911">
        <f>(N93+N97)/2</f>
        <v>-0.52777777777777779</v>
      </c>
      <c r="O92" s="912">
        <f>(O93+O97)</f>
        <v>0.59523799999999982</v>
      </c>
      <c r="P92" s="913">
        <f>O92/14.285712</f>
        <v>4.166666666666665E-2</v>
      </c>
      <c r="Q92" s="1099"/>
      <c r="R92" s="691"/>
      <c r="S92" s="691"/>
    </row>
    <row r="93" spans="1:19" ht="20.45" customHeight="1" thickBot="1" x14ac:dyDescent="0.5">
      <c r="B93" s="1614" t="s">
        <v>82</v>
      </c>
      <c r="C93" s="1615"/>
      <c r="D93" s="1615"/>
      <c r="E93" s="1615"/>
      <c r="F93" s="1616"/>
      <c r="G93" s="996"/>
      <c r="H93" s="1402"/>
      <c r="I93" s="1403"/>
      <c r="J93" s="1017"/>
      <c r="K93" s="1017"/>
      <c r="L93" s="1017"/>
      <c r="M93" s="1018"/>
      <c r="N93" s="911">
        <f>N94</f>
        <v>0</v>
      </c>
      <c r="O93" s="912">
        <f>O94</f>
        <v>0</v>
      </c>
      <c r="P93" s="913">
        <f>O93/3.571428</f>
        <v>0</v>
      </c>
      <c r="Q93" s="1086"/>
      <c r="R93" s="687"/>
      <c r="S93" s="794"/>
    </row>
    <row r="94" spans="1:19" ht="34.799999999999997" customHeight="1" x14ac:dyDescent="0.45">
      <c r="A94" s="1617">
        <v>25</v>
      </c>
      <c r="B94" s="1618" t="s">
        <v>83</v>
      </c>
      <c r="C94" s="1621">
        <f>M5</f>
        <v>3.5714285714285716</v>
      </c>
      <c r="D94" s="1624" t="s">
        <v>214</v>
      </c>
      <c r="E94" s="1087">
        <f>$C$94/3</f>
        <v>1.1904761904761905</v>
      </c>
      <c r="F94" s="999" t="s">
        <v>269</v>
      </c>
      <c r="G94" s="1232">
        <f>E94/1</f>
        <v>1.1904761904761905</v>
      </c>
      <c r="H94" s="477"/>
      <c r="I94" s="491"/>
      <c r="J94" s="1233">
        <f>H94-I94</f>
        <v>0</v>
      </c>
      <c r="K94" s="1234">
        <f>(100-I94)*(6/10)</f>
        <v>60</v>
      </c>
      <c r="L94" s="1235">
        <f>I94+K94</f>
        <v>60</v>
      </c>
      <c r="M94" s="935">
        <f>IF(K94&lt;&gt;0,J94/K94,"100%")</f>
        <v>0</v>
      </c>
      <c r="N94" s="1627">
        <f>(((G94/C94)*M94)+((G95/C94)*M95)+((G96/C94)*M96))</f>
        <v>0</v>
      </c>
      <c r="O94" s="1632">
        <f>IF((((G94/C94)*M94)+((G95/C94)*M95)+((G96/C94)*M96))&gt;=1,3.571428,IF((((G94/C94)*M94)+((G95/C94)*M95)+((G96/C94)*M96))&lt;=0,0,(((G94/C94)*M94)+((G95/C94)*M95)+((G96/C94)*M96))*3.571428))</f>
        <v>0</v>
      </c>
      <c r="P94" s="1630">
        <f>O94/3.571428</f>
        <v>0</v>
      </c>
      <c r="Q94" s="1236" t="s">
        <v>190</v>
      </c>
      <c r="R94" s="258"/>
      <c r="S94" s="798" t="s">
        <v>615</v>
      </c>
    </row>
    <row r="95" spans="1:19" ht="39.6" customHeight="1" x14ac:dyDescent="0.45">
      <c r="A95" s="1617"/>
      <c r="B95" s="1619"/>
      <c r="C95" s="1622"/>
      <c r="D95" s="1625"/>
      <c r="E95" s="1237">
        <f t="shared" ref="E95:E96" si="31">$C$94/3</f>
        <v>1.1904761904761905</v>
      </c>
      <c r="F95" s="1128" t="s">
        <v>270</v>
      </c>
      <c r="G95" s="1219">
        <f>E95/1</f>
        <v>1.1904761904761905</v>
      </c>
      <c r="H95" s="470"/>
      <c r="I95" s="496"/>
      <c r="J95" s="1220">
        <f>IF(AND(I95&gt;1,(H95-I95=0)),(H95-1),(H95-I95))</f>
        <v>0</v>
      </c>
      <c r="K95" s="1066">
        <f>IF(AND(I95&gt;=1,H95&gt;=1),"0",((1-I95)*(6/10)))</f>
        <v>0.6</v>
      </c>
      <c r="L95" s="1238">
        <f t="shared" ref="L95:L96" si="32">I95+K95</f>
        <v>0.6</v>
      </c>
      <c r="M95" s="989">
        <f>IF(I95&gt;=1,(1+(H95-1)/1),(J95/K95))</f>
        <v>0</v>
      </c>
      <c r="N95" s="1628"/>
      <c r="O95" s="1633"/>
      <c r="P95" s="1635"/>
      <c r="Q95" s="1239" t="s">
        <v>191</v>
      </c>
      <c r="R95" s="277"/>
      <c r="S95" s="798" t="s">
        <v>615</v>
      </c>
    </row>
    <row r="96" spans="1:19" ht="41.45" customHeight="1" thickBot="1" x14ac:dyDescent="0.5">
      <c r="A96" s="1617"/>
      <c r="B96" s="1620"/>
      <c r="C96" s="1623"/>
      <c r="D96" s="1626"/>
      <c r="E96" s="1090">
        <f t="shared" si="31"/>
        <v>1.1904761904761905</v>
      </c>
      <c r="F96" s="1024" t="s">
        <v>84</v>
      </c>
      <c r="G96" s="1228">
        <f>E96/1</f>
        <v>1.1904761904761905</v>
      </c>
      <c r="H96" s="475"/>
      <c r="I96" s="492"/>
      <c r="J96" s="1229">
        <f>H96-I96</f>
        <v>0</v>
      </c>
      <c r="K96" s="1208">
        <f>(100-I96)*(6/10)</f>
        <v>60</v>
      </c>
      <c r="L96" s="1230">
        <f t="shared" si="32"/>
        <v>60</v>
      </c>
      <c r="M96" s="950">
        <f>IF(K96&lt;&gt;0,J96/K96,"100%")</f>
        <v>0</v>
      </c>
      <c r="N96" s="1629"/>
      <c r="O96" s="1634"/>
      <c r="P96" s="1631"/>
      <c r="Q96" s="1240" t="s">
        <v>95</v>
      </c>
      <c r="R96" s="266"/>
      <c r="S96" s="798" t="s">
        <v>615</v>
      </c>
    </row>
    <row r="97" spans="1:19" ht="18" customHeight="1" thickBot="1" x14ac:dyDescent="0.5">
      <c r="B97" s="1636" t="s">
        <v>85</v>
      </c>
      <c r="C97" s="1637"/>
      <c r="D97" s="1637"/>
      <c r="E97" s="1637"/>
      <c r="F97" s="1638"/>
      <c r="G97" s="1241"/>
      <c r="H97" s="1422"/>
      <c r="I97" s="1423"/>
      <c r="J97" s="1241"/>
      <c r="K97" s="1242"/>
      <c r="L97" s="1242"/>
      <c r="M97" s="1243"/>
      <c r="N97" s="1244">
        <f>(N98+N99+N100)/3</f>
        <v>-1.0555555555555556</v>
      </c>
      <c r="O97" s="1245">
        <f>(O98+O99+O100)</f>
        <v>0.59523799999999982</v>
      </c>
      <c r="P97" s="913">
        <f>O97/10.714284</f>
        <v>5.5555555555555546E-2</v>
      </c>
      <c r="Q97" s="1246"/>
      <c r="R97" s="817"/>
      <c r="S97" s="817"/>
    </row>
    <row r="98" spans="1:19" ht="29.45" customHeight="1" thickBot="1" x14ac:dyDescent="0.5">
      <c r="A98" s="22">
        <v>26</v>
      </c>
      <c r="B98" s="1032" t="s">
        <v>86</v>
      </c>
      <c r="C98" s="1033">
        <f>$M$5</f>
        <v>3.5714285714285716</v>
      </c>
      <c r="D98" s="1032" t="s">
        <v>215</v>
      </c>
      <c r="E98" s="1033">
        <f>C98/1</f>
        <v>3.5714285714285716</v>
      </c>
      <c r="F98" s="1163" t="s">
        <v>291</v>
      </c>
      <c r="G98" s="1033">
        <f>E98/1</f>
        <v>3.5714285714285716</v>
      </c>
      <c r="H98" s="854"/>
      <c r="I98" s="847"/>
      <c r="J98" s="1248">
        <f>IF(I98=H98,(H98-10),H98-I98)</f>
        <v>-10</v>
      </c>
      <c r="K98" s="1051">
        <f>IF(I98&gt;=10,0,((10-I98)*(6/10)))</f>
        <v>6</v>
      </c>
      <c r="L98" s="1158">
        <f>I98+K98</f>
        <v>6</v>
      </c>
      <c r="M98" s="1094">
        <f>IF(I98&gt;=10,(1+(H98-10)/10),(J98/K98))</f>
        <v>-1.6666666666666667</v>
      </c>
      <c r="N98" s="1159">
        <f>((G98/C98)*M98)</f>
        <v>-1.6666666666666667</v>
      </c>
      <c r="O98" s="1041">
        <f>IF(((G98/C98)*M98)&gt;=1,3.571428,IF(((G98/C98)*M98)&lt;=0,0,((G98/C98)*M98)*3.571428))</f>
        <v>0</v>
      </c>
      <c r="P98" s="913">
        <f>O98/3.571428</f>
        <v>0</v>
      </c>
      <c r="Q98" s="1249" t="s">
        <v>95</v>
      </c>
      <c r="R98" s="818"/>
      <c r="S98" s="855" t="s">
        <v>615</v>
      </c>
    </row>
    <row r="99" spans="1:19" ht="35.25" thickBot="1" x14ac:dyDescent="0.5">
      <c r="A99" s="22">
        <v>27</v>
      </c>
      <c r="B99" s="1032" t="s">
        <v>87</v>
      </c>
      <c r="C99" s="1033">
        <f>$M$5</f>
        <v>3.5714285714285716</v>
      </c>
      <c r="D99" s="1032" t="s">
        <v>216</v>
      </c>
      <c r="E99" s="1033">
        <f>C99/1</f>
        <v>3.5714285714285716</v>
      </c>
      <c r="F99" s="1163" t="s">
        <v>271</v>
      </c>
      <c r="G99" s="1033">
        <f>E99/1</f>
        <v>3.5714285714285716</v>
      </c>
      <c r="H99" s="472"/>
      <c r="I99" s="511"/>
      <c r="J99" s="1248">
        <f>IF(I99=H99,(H99-75),H99-I99)</f>
        <v>-75</v>
      </c>
      <c r="K99" s="1051">
        <f>IF(I99&gt;=75,0,((75-I99)*(6/10)))</f>
        <v>45</v>
      </c>
      <c r="L99" s="1182">
        <f>I99+K99</f>
        <v>45</v>
      </c>
      <c r="M99" s="1250">
        <f>IF(I99&gt;=75,(1+(H99-75)/75),(J99/K99))</f>
        <v>-1.6666666666666667</v>
      </c>
      <c r="N99" s="1159">
        <f>((G99/C99)*M99)</f>
        <v>-1.6666666666666667</v>
      </c>
      <c r="O99" s="1041">
        <f>IF(((G99/C99)*M99)&gt;=1,3.571428,IF(((G99/C99)*M99)&lt;=0,0,((G99/C99)*M99)*3.571428))</f>
        <v>0</v>
      </c>
      <c r="P99" s="913">
        <f>O99/3.571428</f>
        <v>0</v>
      </c>
      <c r="Q99" s="1249" t="s">
        <v>192</v>
      </c>
      <c r="R99" s="229"/>
      <c r="S99" s="781" t="s">
        <v>615</v>
      </c>
    </row>
    <row r="100" spans="1:19" ht="30.4" x14ac:dyDescent="0.45">
      <c r="A100" s="1617">
        <v>28</v>
      </c>
      <c r="B100" s="1639" t="s">
        <v>88</v>
      </c>
      <c r="C100" s="1641">
        <f>M5</f>
        <v>3.5714285714285716</v>
      </c>
      <c r="D100" s="1639" t="s">
        <v>217</v>
      </c>
      <c r="E100" s="1641">
        <f>C100/1</f>
        <v>3.5714285714285716</v>
      </c>
      <c r="F100" s="1124" t="s">
        <v>89</v>
      </c>
      <c r="G100" s="931">
        <f>$E$100/2</f>
        <v>1.7857142857142858</v>
      </c>
      <c r="H100" s="477"/>
      <c r="I100" s="491"/>
      <c r="J100" s="1252">
        <f>IF(I100=H100,(25-H100),I100-H100)</f>
        <v>25</v>
      </c>
      <c r="K100" s="1105">
        <f>IF(I100&lt;=25,0,((0.25*I100)*(6/10)))</f>
        <v>0</v>
      </c>
      <c r="L100" s="1253">
        <f>I100-K100</f>
        <v>0</v>
      </c>
      <c r="M100" s="935">
        <f>IF(I100&lt;=25,(1+(25-H100)/25),(J100/K100))</f>
        <v>2</v>
      </c>
      <c r="N100" s="1644">
        <f>((G100/$C$100)*M100)+((G101/$C$100)*M101)</f>
        <v>0.16666666666666663</v>
      </c>
      <c r="O100" s="1646">
        <f>IF((((G100/C100)*M100)+((G101/C100)*M101))&gt;=1,3.57148,IF((((G100/C100)*M100)+((G101/C100)*M101))&lt;=0,0, (((G100/C100)*M100)+((G101/C100)*M101))*3.571428))</f>
        <v>0.59523799999999982</v>
      </c>
      <c r="P100" s="1630">
        <f>O100/3.571428</f>
        <v>0.1666666666666666</v>
      </c>
      <c r="Q100" s="1254" t="s">
        <v>193</v>
      </c>
      <c r="R100" s="609"/>
      <c r="S100" s="849" t="s">
        <v>615</v>
      </c>
    </row>
    <row r="101" spans="1:19" ht="38.450000000000003" customHeight="1" thickBot="1" x14ac:dyDescent="0.5">
      <c r="A101" s="1617"/>
      <c r="B101" s="1640"/>
      <c r="C101" s="1642"/>
      <c r="D101" s="1640"/>
      <c r="E101" s="1643"/>
      <c r="F101" s="1024" t="s">
        <v>90</v>
      </c>
      <c r="G101" s="944">
        <f>$E$100/2</f>
        <v>1.7857142857142858</v>
      </c>
      <c r="H101" s="503"/>
      <c r="I101" s="504"/>
      <c r="J101" s="1255">
        <f>IF(I101=H101,(H101-25),H101-I101)</f>
        <v>-25</v>
      </c>
      <c r="K101" s="994">
        <f>IF(I101&gt;=25,0,((25-I101)*(6/10)))</f>
        <v>15</v>
      </c>
      <c r="L101" s="1256">
        <f t="shared" ref="L101" si="33">K101+I101</f>
        <v>15</v>
      </c>
      <c r="M101" s="950">
        <f>IF(I101&gt;=25,(1+(H101-25)/25),(J101/K101))</f>
        <v>-1.6666666666666667</v>
      </c>
      <c r="N101" s="1645"/>
      <c r="O101" s="1647"/>
      <c r="P101" s="1631"/>
      <c r="Q101" s="1257" t="s">
        <v>95</v>
      </c>
      <c r="R101" s="181"/>
      <c r="S101" s="798" t="s">
        <v>615</v>
      </c>
    </row>
    <row r="102" spans="1:19" ht="34.25" customHeight="1" thickBot="1" x14ac:dyDescent="0.5">
      <c r="B102" s="1258" t="s">
        <v>194</v>
      </c>
      <c r="C102" s="1259">
        <f>C11+C13+C15+C19+C24+C33+C34+C35+C36+C38+C41+C44+C48+C51+C53+C61+C68+C71+C73+C75+C78+C81+C83+C87+C94+C98+C99+C100</f>
        <v>99.999999999999972</v>
      </c>
      <c r="D102" s="1260"/>
      <c r="E102" s="1259">
        <f>E11+E12+E13+E14+E15+E19+E20+E21+E22+E24+E25+E28+E31+E33+E34+E35+E36+E38+E39+E41+E42+E44+E45+E48+E49++E51+E53+E54+E55+E56+E57+E61+E62+E63+E64+E68+E71+E73+E75+E78+E81++E82+E83+E84+E85+E87+E88+E91+E94+E95+E96+E98+E99+E100</f>
        <v>100.00714285714285</v>
      </c>
      <c r="F102" s="1261"/>
      <c r="G102" s="1259">
        <f>G11+G12+G13+G14+G15+G16+G17+G19+G20+G21+G22+G24+G25+G26+G27+G28+G29+G30+G31+G33+G34+G35+G36+G38+G39+G41+G42+G44+G45+G48+G49+G51+G53+G54+G55+G56+G57+G58+G61+G62+G63+G64+G65+G66+G68+G71+G73+G75+G78+G81+G82+G83+G84+G85+G87+G88+G89+G90+G91+G94+G95+G96+G98+G99+G100+G101</f>
        <v>100.00714285714285</v>
      </c>
      <c r="H102" s="1262"/>
      <c r="I102" s="1263"/>
      <c r="J102" s="1262"/>
      <c r="K102" s="1264"/>
      <c r="L102" s="1261"/>
      <c r="M102" s="1265"/>
      <c r="N102" s="1266"/>
      <c r="O102" s="1267"/>
      <c r="P102" s="1267"/>
      <c r="Q102" s="1268"/>
      <c r="R102" s="26"/>
      <c r="S102" s="27"/>
    </row>
    <row r="104" spans="1:19" ht="15.75" x14ac:dyDescent="0.5">
      <c r="B104" s="28"/>
    </row>
    <row r="107" spans="1:19" ht="15.75" x14ac:dyDescent="0.5">
      <c r="B107" s="28"/>
    </row>
    <row r="108" spans="1:19" x14ac:dyDescent="0.45">
      <c r="B108" s="29"/>
    </row>
    <row r="109" spans="1:19" x14ac:dyDescent="0.45">
      <c r="B109" s="29"/>
    </row>
    <row r="111" spans="1:19" x14ac:dyDescent="0.45">
      <c r="E111"/>
      <c r="F111" s="1269" t="s">
        <v>196</v>
      </c>
    </row>
    <row r="112" spans="1:19" x14ac:dyDescent="0.45">
      <c r="E112" s="1270">
        <v>1</v>
      </c>
      <c r="F112" s="1270" t="s">
        <v>197</v>
      </c>
    </row>
    <row r="113" spans="5:6" x14ac:dyDescent="0.45">
      <c r="E113" s="1270">
        <v>2</v>
      </c>
      <c r="F113" s="1270" t="s">
        <v>227</v>
      </c>
    </row>
    <row r="114" spans="5:6" x14ac:dyDescent="0.45">
      <c r="E114" s="1270">
        <v>3</v>
      </c>
      <c r="F114" s="1270" t="s">
        <v>228</v>
      </c>
    </row>
    <row r="115" spans="5:6" x14ac:dyDescent="0.45">
      <c r="E115" s="1270">
        <v>4</v>
      </c>
      <c r="F115" s="1270" t="s">
        <v>229</v>
      </c>
    </row>
    <row r="116" spans="5:6" x14ac:dyDescent="0.45">
      <c r="E116" s="1270">
        <v>5</v>
      </c>
      <c r="F116" s="1270" t="s">
        <v>198</v>
      </c>
    </row>
    <row r="117" spans="5:6" x14ac:dyDescent="0.45">
      <c r="E117" s="1270">
        <v>6</v>
      </c>
      <c r="F117" s="1270" t="s">
        <v>230</v>
      </c>
    </row>
    <row r="118" spans="5:6" x14ac:dyDescent="0.45">
      <c r="E118" s="1270">
        <v>7</v>
      </c>
      <c r="F118" s="1270" t="s">
        <v>231</v>
      </c>
    </row>
    <row r="119" spans="5:6" x14ac:dyDescent="0.45">
      <c r="E119" s="1270">
        <v>8</v>
      </c>
      <c r="F119" s="1270" t="s">
        <v>199</v>
      </c>
    </row>
    <row r="120" spans="5:6" x14ac:dyDescent="0.45">
      <c r="E120" s="1270">
        <v>9</v>
      </c>
      <c r="F120" s="1270" t="s">
        <v>200</v>
      </c>
    </row>
    <row r="121" spans="5:6" x14ac:dyDescent="0.45">
      <c r="E121" s="1270">
        <v>10</v>
      </c>
      <c r="F121" s="1270" t="s">
        <v>201</v>
      </c>
    </row>
    <row r="122" spans="5:6" x14ac:dyDescent="0.45">
      <c r="E122" s="1270">
        <v>11</v>
      </c>
      <c r="F122" s="1270" t="s">
        <v>232</v>
      </c>
    </row>
    <row r="123" spans="5:6" x14ac:dyDescent="0.45">
      <c r="E123" s="1270">
        <v>12</v>
      </c>
      <c r="F123" s="1270" t="s">
        <v>202</v>
      </c>
    </row>
    <row r="124" spans="5:6" x14ac:dyDescent="0.45">
      <c r="E124" s="1270">
        <f t="shared" ref="E124:E145" si="34">E123+1</f>
        <v>13</v>
      </c>
      <c r="F124" s="1270" t="s">
        <v>203</v>
      </c>
    </row>
    <row r="125" spans="5:6" x14ac:dyDescent="0.45">
      <c r="E125" s="1270">
        <v>14</v>
      </c>
      <c r="F125" s="1270" t="s">
        <v>233</v>
      </c>
    </row>
    <row r="126" spans="5:6" x14ac:dyDescent="0.45">
      <c r="E126" s="1270">
        <v>15</v>
      </c>
      <c r="F126" s="1270" t="s">
        <v>234</v>
      </c>
    </row>
    <row r="127" spans="5:6" x14ac:dyDescent="0.45">
      <c r="E127" s="1270">
        <v>16</v>
      </c>
      <c r="F127" s="1270" t="s">
        <v>213</v>
      </c>
    </row>
    <row r="128" spans="5:6" x14ac:dyDescent="0.45">
      <c r="E128" s="1270">
        <v>17</v>
      </c>
      <c r="F128" s="1270" t="s">
        <v>235</v>
      </c>
    </row>
    <row r="129" spans="5:6" x14ac:dyDescent="0.45">
      <c r="E129" s="1270">
        <v>18</v>
      </c>
      <c r="F129" s="1270" t="s">
        <v>263</v>
      </c>
    </row>
    <row r="130" spans="5:6" x14ac:dyDescent="0.45">
      <c r="E130" s="1270">
        <v>19</v>
      </c>
      <c r="F130" s="1270" t="s">
        <v>204</v>
      </c>
    </row>
    <row r="131" spans="5:6" x14ac:dyDescent="0.45">
      <c r="E131" s="1270">
        <v>20</v>
      </c>
      <c r="F131" s="1270" t="s">
        <v>236</v>
      </c>
    </row>
    <row r="132" spans="5:6" x14ac:dyDescent="0.45">
      <c r="E132" s="1270">
        <v>21</v>
      </c>
      <c r="F132" s="1270" t="s">
        <v>237</v>
      </c>
    </row>
    <row r="133" spans="5:6" x14ac:dyDescent="0.45">
      <c r="E133" s="1270">
        <v>22</v>
      </c>
      <c r="F133" s="1270" t="s">
        <v>238</v>
      </c>
    </row>
    <row r="134" spans="5:6" x14ac:dyDescent="0.45">
      <c r="E134" s="1270">
        <v>23</v>
      </c>
      <c r="F134" s="1270" t="s">
        <v>205</v>
      </c>
    </row>
    <row r="135" spans="5:6" x14ac:dyDescent="0.45">
      <c r="E135" s="1270">
        <v>24</v>
      </c>
      <c r="F135" s="1270" t="s">
        <v>239</v>
      </c>
    </row>
    <row r="136" spans="5:6" x14ac:dyDescent="0.45">
      <c r="E136" s="1270">
        <v>25</v>
      </c>
      <c r="F136" s="1270" t="s">
        <v>240</v>
      </c>
    </row>
    <row r="137" spans="5:6" x14ac:dyDescent="0.45">
      <c r="E137" s="1270">
        <v>26</v>
      </c>
      <c r="F137" s="1270" t="s">
        <v>241</v>
      </c>
    </row>
    <row r="138" spans="5:6" x14ac:dyDescent="0.45">
      <c r="E138" s="1270">
        <v>27</v>
      </c>
      <c r="F138" s="1270" t="s">
        <v>206</v>
      </c>
    </row>
    <row r="139" spans="5:6" x14ac:dyDescent="0.45">
      <c r="E139" s="1270">
        <v>28</v>
      </c>
      <c r="F139" s="1270" t="s">
        <v>242</v>
      </c>
    </row>
    <row r="140" spans="5:6" x14ac:dyDescent="0.45">
      <c r="E140" s="1270">
        <v>29</v>
      </c>
      <c r="F140" s="1270" t="s">
        <v>243</v>
      </c>
    </row>
    <row r="141" spans="5:6" x14ac:dyDescent="0.45">
      <c r="E141" s="1270">
        <v>30</v>
      </c>
      <c r="F141" s="1270" t="s">
        <v>244</v>
      </c>
    </row>
    <row r="142" spans="5:6" x14ac:dyDescent="0.45">
      <c r="E142" s="1270">
        <v>31</v>
      </c>
      <c r="F142" s="1270" t="s">
        <v>245</v>
      </c>
    </row>
    <row r="143" spans="5:6" x14ac:dyDescent="0.45">
      <c r="E143" s="1270">
        <v>32</v>
      </c>
      <c r="F143" s="1270" t="s">
        <v>246</v>
      </c>
    </row>
    <row r="144" spans="5:6" x14ac:dyDescent="0.45">
      <c r="E144" s="1270">
        <v>33</v>
      </c>
      <c r="F144" s="1270" t="s">
        <v>207</v>
      </c>
    </row>
    <row r="145" spans="5:6" x14ac:dyDescent="0.45">
      <c r="E145" s="1270">
        <f t="shared" si="34"/>
        <v>34</v>
      </c>
      <c r="F145" s="1270" t="s">
        <v>208</v>
      </c>
    </row>
    <row r="146" spans="5:6" x14ac:dyDescent="0.45">
      <c r="E146" s="1270">
        <v>35</v>
      </c>
      <c r="F146" s="1270" t="s">
        <v>247</v>
      </c>
    </row>
    <row r="147" spans="5:6" x14ac:dyDescent="0.45">
      <c r="E147" s="1270">
        <v>36</v>
      </c>
      <c r="F147" s="1270" t="s">
        <v>248</v>
      </c>
    </row>
    <row r="148" spans="5:6" x14ac:dyDescent="0.45">
      <c r="E148" s="1270">
        <v>36</v>
      </c>
      <c r="F148" s="1270" t="s">
        <v>249</v>
      </c>
    </row>
    <row r="149" spans="5:6" x14ac:dyDescent="0.45">
      <c r="E149" s="1270">
        <v>38</v>
      </c>
      <c r="F149" s="1270" t="s">
        <v>250</v>
      </c>
    </row>
    <row r="150" spans="5:6" x14ac:dyDescent="0.45">
      <c r="E150" s="1270">
        <v>39</v>
      </c>
      <c r="F150" s="1270" t="s">
        <v>251</v>
      </c>
    </row>
    <row r="151" spans="5:6" x14ac:dyDescent="0.45">
      <c r="E151" s="1270">
        <v>40</v>
      </c>
      <c r="F151" s="1270" t="s">
        <v>209</v>
      </c>
    </row>
    <row r="152" spans="5:6" x14ac:dyDescent="0.45">
      <c r="E152" s="1270">
        <v>41</v>
      </c>
      <c r="F152" s="1270" t="s">
        <v>264</v>
      </c>
    </row>
    <row r="153" spans="5:6" x14ac:dyDescent="0.45">
      <c r="E153" s="1270">
        <v>42</v>
      </c>
      <c r="F153" s="1270" t="s">
        <v>252</v>
      </c>
    </row>
    <row r="154" spans="5:6" x14ac:dyDescent="0.45">
      <c r="E154" s="1270">
        <v>43</v>
      </c>
      <c r="F154" s="1270" t="s">
        <v>253</v>
      </c>
    </row>
    <row r="155" spans="5:6" x14ac:dyDescent="0.45">
      <c r="E155" s="1270">
        <v>44</v>
      </c>
      <c r="F155" s="1270" t="s">
        <v>254</v>
      </c>
    </row>
    <row r="156" spans="5:6" x14ac:dyDescent="0.45">
      <c r="E156" s="1270">
        <v>45</v>
      </c>
      <c r="F156" s="1270" t="s">
        <v>210</v>
      </c>
    </row>
    <row r="157" spans="5:6" x14ac:dyDescent="0.45">
      <c r="E157" s="1270">
        <v>46</v>
      </c>
      <c r="F157" s="1270" t="s">
        <v>255</v>
      </c>
    </row>
    <row r="158" spans="5:6" x14ac:dyDescent="0.45">
      <c r="E158" s="1270">
        <v>47</v>
      </c>
      <c r="F158" s="1270" t="s">
        <v>211</v>
      </c>
    </row>
    <row r="159" spans="5:6" x14ac:dyDescent="0.45">
      <c r="E159" s="1270">
        <v>48</v>
      </c>
      <c r="F159" s="1270" t="s">
        <v>256</v>
      </c>
    </row>
    <row r="160" spans="5:6" x14ac:dyDescent="0.45">
      <c r="E160" s="1270">
        <v>49</v>
      </c>
      <c r="F160" s="1270" t="s">
        <v>257</v>
      </c>
    </row>
    <row r="161" spans="5:6" x14ac:dyDescent="0.45">
      <c r="E161" s="1270">
        <v>50</v>
      </c>
      <c r="F161" s="1270" t="s">
        <v>260</v>
      </c>
    </row>
    <row r="162" spans="5:6" x14ac:dyDescent="0.45">
      <c r="E162" s="1270">
        <v>51</v>
      </c>
      <c r="F162" s="1270" t="s">
        <v>258</v>
      </c>
    </row>
    <row r="163" spans="5:6" x14ac:dyDescent="0.45">
      <c r="E163" s="1270">
        <v>52</v>
      </c>
      <c r="F163" s="1270" t="s">
        <v>212</v>
      </c>
    </row>
    <row r="164" spans="5:6" x14ac:dyDescent="0.45">
      <c r="E164" s="1270">
        <v>53</v>
      </c>
      <c r="F164" s="1270" t="s">
        <v>259</v>
      </c>
    </row>
    <row r="165" spans="5:6" x14ac:dyDescent="0.45">
      <c r="E165" s="1270">
        <v>54</v>
      </c>
      <c r="F165" s="1270" t="s">
        <v>261</v>
      </c>
    </row>
    <row r="166" spans="5:6" x14ac:dyDescent="0.45">
      <c r="E166" s="1270">
        <v>55</v>
      </c>
      <c r="F166" s="1270" t="s">
        <v>262</v>
      </c>
    </row>
    <row r="167" spans="5:6" x14ac:dyDescent="0.45">
      <c r="E167"/>
      <c r="F167"/>
    </row>
    <row r="168" spans="5:6" x14ac:dyDescent="0.45">
      <c r="E168"/>
      <c r="F168"/>
    </row>
  </sheetData>
  <sheetProtection algorithmName="SHA-512" hashValue="bQpqrvSvxf0CIx2Lm8EeYbS9cki1Ul9a+JOAkMVmH1cFnd33yR2o0BSuU3URuFZz3TeSPVTw8VcvGURhJ4s9lQ==" saltValue="gmCQGuSUTyZ9ln7isHQEyA==" spinCount="100000" sheet="1" objects="1" scenarios="1"/>
  <mergeCells count="140">
    <mergeCell ref="K4:M4"/>
    <mergeCell ref="B5:K5"/>
    <mergeCell ref="B6:F6"/>
    <mergeCell ref="B7:F7"/>
    <mergeCell ref="B9:F9"/>
    <mergeCell ref="B10:F10"/>
    <mergeCell ref="A13:A14"/>
    <mergeCell ref="B13:B14"/>
    <mergeCell ref="C13:C14"/>
    <mergeCell ref="N13:N14"/>
    <mergeCell ref="O13:O14"/>
    <mergeCell ref="P13:P14"/>
    <mergeCell ref="A11:A12"/>
    <mergeCell ref="B11:B12"/>
    <mergeCell ref="C11:C12"/>
    <mergeCell ref="N11:N12"/>
    <mergeCell ref="O11:O12"/>
    <mergeCell ref="P11:P1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B37:F37"/>
    <mergeCell ref="A38:A39"/>
    <mergeCell ref="B38:B39"/>
    <mergeCell ref="C38:C39"/>
    <mergeCell ref="N38:N39"/>
    <mergeCell ref="O38:O39"/>
    <mergeCell ref="P24:P31"/>
    <mergeCell ref="D25:D27"/>
    <mergeCell ref="E25:E27"/>
    <mergeCell ref="D28:D30"/>
    <mergeCell ref="E28:E30"/>
    <mergeCell ref="B32:F32"/>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77:F77"/>
    <mergeCell ref="B79:F79"/>
    <mergeCell ref="B80:F80"/>
    <mergeCell ref="B81:B82"/>
    <mergeCell ref="C81:C82"/>
    <mergeCell ref="N81:N82"/>
    <mergeCell ref="B67:F67"/>
    <mergeCell ref="B69:F69"/>
    <mergeCell ref="B70:F70"/>
    <mergeCell ref="B72:F72"/>
    <mergeCell ref="B74:F74"/>
    <mergeCell ref="B76:F76"/>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69 O10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80 O59">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BD85F6AA-CC71-4DC8-BE4C-DE56E84EBB06}">
      <formula1>$F$112:$F$166</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7AB5C-A645-4490-999F-3BB4EF40FFC2}">
  <dimension ref="A1:AA168"/>
  <sheetViews>
    <sheetView tabSelected="1" topLeftCell="B1" zoomScale="50" zoomScaleNormal="50" workbookViewId="0">
      <selection activeCell="G11" sqref="G11:G12 C11:C12 M11:M12"/>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871"/>
      <c r="R1" s="3"/>
      <c r="S1" s="4"/>
      <c r="U1" s="872"/>
      <c r="V1" s="872"/>
      <c r="W1" s="872"/>
      <c r="X1" s="872"/>
      <c r="Y1" s="872"/>
      <c r="Z1" s="872"/>
      <c r="AA1" s="872"/>
    </row>
    <row r="2" spans="1:27" ht="30" x14ac:dyDescent="1.1000000000000001">
      <c r="B2" s="873"/>
      <c r="C2" s="874"/>
      <c r="D2" s="875" t="s">
        <v>286</v>
      </c>
      <c r="E2" s="874"/>
      <c r="F2" s="876"/>
      <c r="G2" s="876"/>
      <c r="H2" s="876"/>
      <c r="I2" s="876"/>
      <c r="J2" s="876"/>
      <c r="K2" s="876"/>
      <c r="L2" s="876"/>
      <c r="M2" s="876"/>
      <c r="N2" s="876"/>
      <c r="O2" s="876"/>
      <c r="P2" s="876"/>
      <c r="Q2" s="874"/>
      <c r="R2" s="876"/>
      <c r="S2" s="6"/>
    </row>
    <row r="3" spans="1:27" ht="14.65" thickBot="1" x14ac:dyDescent="0.5">
      <c r="B3" s="877"/>
      <c r="C3" s="878"/>
      <c r="D3" s="878"/>
      <c r="E3" s="878"/>
      <c r="F3" s="879"/>
      <c r="G3" s="879"/>
      <c r="H3" s="879"/>
      <c r="I3" s="879"/>
      <c r="J3" s="879"/>
      <c r="K3" s="879"/>
      <c r="L3" s="879"/>
      <c r="M3" s="879"/>
      <c r="N3" s="879"/>
      <c r="O3" s="879"/>
      <c r="P3" s="879"/>
      <c r="Q3" s="878"/>
      <c r="R3" s="879"/>
      <c r="S3" s="7"/>
    </row>
    <row r="4" spans="1:27" ht="26.45" customHeight="1" thickBot="1" x14ac:dyDescent="0.5">
      <c r="B4" s="877"/>
      <c r="C4" s="878"/>
      <c r="D4" s="880" t="s">
        <v>195</v>
      </c>
      <c r="E4" s="878"/>
      <c r="F4" s="8" t="s">
        <v>250</v>
      </c>
      <c r="G4" s="879"/>
      <c r="H4" s="879"/>
      <c r="I4" s="879"/>
      <c r="J4" s="879"/>
      <c r="K4" s="1737" t="s">
        <v>723</v>
      </c>
      <c r="L4" s="1738"/>
      <c r="M4" s="1739"/>
      <c r="N4" s="881">
        <f>(N9+N46+N59+N69+N76+N79+N92)/7</f>
        <v>-0.13039665894860089</v>
      </c>
      <c r="O4" s="882">
        <f>(O9+O46+O59+O69+O76+O79+O92)</f>
        <v>30.484602802149318</v>
      </c>
      <c r="P4" s="881">
        <f>O4/100</f>
        <v>0.30484602802149319</v>
      </c>
      <c r="Q4" s="878"/>
      <c r="R4" s="879"/>
      <c r="S4" s="7"/>
    </row>
    <row r="5" spans="1:27" ht="18.399999999999999" thickBot="1" x14ac:dyDescent="0.6">
      <c r="B5" s="1740"/>
      <c r="C5" s="1741"/>
      <c r="D5" s="1741"/>
      <c r="E5" s="1741"/>
      <c r="F5" s="1741"/>
      <c r="G5" s="1741"/>
      <c r="H5" s="1741"/>
      <c r="I5" s="1741"/>
      <c r="J5" s="1741"/>
      <c r="K5" s="1741"/>
      <c r="L5" s="68"/>
      <c r="M5" s="883">
        <f>100/28</f>
        <v>3.5714285714285716</v>
      </c>
      <c r="N5" s="9"/>
      <c r="O5" s="647"/>
      <c r="P5" s="647"/>
      <c r="Q5" s="884"/>
      <c r="R5" s="9"/>
      <c r="S5" s="10"/>
    </row>
    <row r="6" spans="1:27" ht="33.6" customHeight="1" thickBot="1" x14ac:dyDescent="0.5">
      <c r="B6" s="1742"/>
      <c r="C6" s="1743"/>
      <c r="D6" s="1743"/>
      <c r="E6" s="1743"/>
      <c r="F6" s="1744"/>
      <c r="G6" s="885"/>
      <c r="H6" s="885"/>
      <c r="I6" s="885"/>
      <c r="J6" s="885"/>
      <c r="K6" s="885"/>
      <c r="L6" s="885"/>
      <c r="M6" s="885"/>
      <c r="N6" s="886"/>
      <c r="O6" s="887"/>
      <c r="P6" s="887"/>
      <c r="Q6" s="886"/>
      <c r="R6" s="12"/>
      <c r="S6" s="13"/>
    </row>
    <row r="7" spans="1:27" ht="55.8" customHeight="1" thickBot="1" x14ac:dyDescent="0.5">
      <c r="B7" s="1745"/>
      <c r="C7" s="1746"/>
      <c r="D7" s="1746"/>
      <c r="E7" s="1746"/>
      <c r="F7" s="1747"/>
      <c r="G7" s="888"/>
      <c r="H7" s="889" t="s">
        <v>218</v>
      </c>
      <c r="I7" s="890" t="s">
        <v>219</v>
      </c>
      <c r="J7" s="891" t="s">
        <v>91</v>
      </c>
      <c r="K7" s="892" t="s">
        <v>107</v>
      </c>
      <c r="L7" s="892" t="s">
        <v>104</v>
      </c>
      <c r="M7" s="892" t="s">
        <v>105</v>
      </c>
      <c r="N7" s="890" t="s">
        <v>106</v>
      </c>
      <c r="O7" s="890" t="s">
        <v>646</v>
      </c>
      <c r="P7" s="893" t="s">
        <v>647</v>
      </c>
      <c r="Q7" s="894" t="s">
        <v>93</v>
      </c>
      <c r="R7" s="895" t="s">
        <v>110</v>
      </c>
      <c r="S7" s="896" t="s">
        <v>103</v>
      </c>
    </row>
    <row r="8" spans="1:27" ht="25.25" customHeight="1" thickBot="1" x14ac:dyDescent="0.5">
      <c r="B8" s="897" t="s">
        <v>2</v>
      </c>
      <c r="C8" s="897" t="s">
        <v>92</v>
      </c>
      <c r="D8" s="897" t="s">
        <v>3</v>
      </c>
      <c r="E8" s="897" t="s">
        <v>94</v>
      </c>
      <c r="F8" s="897" t="s">
        <v>102</v>
      </c>
      <c r="G8" s="897" t="s">
        <v>96</v>
      </c>
      <c r="H8" s="898"/>
      <c r="I8" s="899"/>
      <c r="J8" s="898"/>
      <c r="K8" s="900"/>
      <c r="L8" s="900"/>
      <c r="M8" s="897"/>
      <c r="N8" s="901"/>
      <c r="O8" s="902"/>
      <c r="P8" s="903"/>
      <c r="Q8" s="899"/>
      <c r="R8" s="901"/>
      <c r="S8" s="901"/>
      <c r="V8" s="904" t="s">
        <v>151</v>
      </c>
      <c r="W8" s="905"/>
      <c r="X8" s="905"/>
      <c r="Y8" s="905"/>
      <c r="Z8" s="906"/>
    </row>
    <row r="9" spans="1:27" s="207" customFormat="1" ht="25.25" customHeight="1" thickBot="1" x14ac:dyDescent="0.5">
      <c r="B9" s="1748" t="s">
        <v>0</v>
      </c>
      <c r="C9" s="1749"/>
      <c r="D9" s="1749"/>
      <c r="E9" s="1749"/>
      <c r="F9" s="1750"/>
      <c r="G9" s="907"/>
      <c r="H9" s="908"/>
      <c r="I9" s="909"/>
      <c r="J9" s="910"/>
      <c r="K9" s="910"/>
      <c r="L9" s="910"/>
      <c r="M9" s="907"/>
      <c r="N9" s="911">
        <f>(N10+N18+N23+N32+N37+N40+N43)/7</f>
        <v>0.59499342438701497</v>
      </c>
      <c r="O9" s="912">
        <f>(O10+O18+O23+O32+O37+O40+O43)</f>
        <v>16.79412880214932</v>
      </c>
      <c r="P9" s="913">
        <f>O9/42.857136</f>
        <v>0.39186306808157506</v>
      </c>
      <c r="Q9" s="910"/>
      <c r="R9" s="914"/>
      <c r="S9" s="914"/>
      <c r="U9" s="915"/>
      <c r="V9" s="916"/>
      <c r="W9" s="917"/>
      <c r="X9" s="917"/>
      <c r="Y9" s="917"/>
      <c r="Z9" s="918"/>
      <c r="AA9" s="915"/>
    </row>
    <row r="10" spans="1:27" s="109" customFormat="1" ht="25.25" customHeight="1" thickBot="1" x14ac:dyDescent="0.5">
      <c r="B10" s="1751" t="s">
        <v>1</v>
      </c>
      <c r="C10" s="1752"/>
      <c r="D10" s="1752"/>
      <c r="E10" s="1752"/>
      <c r="F10" s="1753"/>
      <c r="G10" s="919"/>
      <c r="H10" s="920"/>
      <c r="I10" s="921"/>
      <c r="J10" s="922"/>
      <c r="K10" s="922"/>
      <c r="L10" s="922"/>
      <c r="M10" s="919"/>
      <c r="N10" s="911">
        <f>(N11+N13+N15)/3</f>
        <v>2.4657380023093132</v>
      </c>
      <c r="O10" s="912">
        <f>(O11+O13+O15)</f>
        <v>9.0780379291365847</v>
      </c>
      <c r="P10" s="913">
        <f>O10/10.714284</f>
        <v>0.84728367561813611</v>
      </c>
      <c r="Q10" s="922"/>
      <c r="R10" s="923"/>
      <c r="S10" s="923"/>
      <c r="U10" s="924"/>
      <c r="V10" s="925"/>
      <c r="W10" s="926"/>
      <c r="X10" s="926"/>
      <c r="Y10" s="926"/>
      <c r="Z10" s="927"/>
      <c r="AA10" s="924"/>
    </row>
    <row r="11" spans="1:27" ht="27.6" customHeight="1" x14ac:dyDescent="0.45">
      <c r="A11" s="1617">
        <v>1</v>
      </c>
      <c r="B11" s="1733" t="s">
        <v>4</v>
      </c>
      <c r="C11" s="1735">
        <f>M5</f>
        <v>3.5714285714285716</v>
      </c>
      <c r="D11" s="928" t="s">
        <v>111</v>
      </c>
      <c r="E11" s="929">
        <f>$C$11/2</f>
        <v>1.7857142857142858</v>
      </c>
      <c r="F11" s="930" t="s">
        <v>5</v>
      </c>
      <c r="G11" s="978">
        <f>E11/1</f>
        <v>1.7857142857142858</v>
      </c>
      <c r="H11" s="302">
        <v>573</v>
      </c>
      <c r="I11" s="303">
        <v>436</v>
      </c>
      <c r="J11" s="932">
        <f>(H11-I11)</f>
        <v>137</v>
      </c>
      <c r="K11" s="933">
        <f>(0.3*I11)*6/10</f>
        <v>78.47999999999999</v>
      </c>
      <c r="L11" s="934">
        <f>I11+K11</f>
        <v>514.48</v>
      </c>
      <c r="M11" s="935">
        <f>IF(K11&lt;&gt;0,J11/K11,"0%")</f>
        <v>1.7456676860346587</v>
      </c>
      <c r="N11" s="1731">
        <f>(((G11/C11)*M11)+((G12/C11)*M12))</f>
        <v>2.6927572146648386</v>
      </c>
      <c r="O11" s="1646">
        <f>IF((((G11/C11)*M11)+((G12/C11)*M12))&gt;=1,3.57148,IF((((G11/C11)*M11)+((G12/C11)*M12))&lt;=0,0, (((G11/C11)*M11)+((G12/C11)*M12))*3.571428))</f>
        <v>3.5714800000000002</v>
      </c>
      <c r="P11" s="1630">
        <f>O11/3.571428</f>
        <v>1.0000145600023296</v>
      </c>
      <c r="Q11" s="936" t="s">
        <v>97</v>
      </c>
      <c r="R11" s="265" t="s">
        <v>819</v>
      </c>
      <c r="S11" s="258" t="s">
        <v>820</v>
      </c>
      <c r="V11" s="937" t="s">
        <v>109</v>
      </c>
      <c r="W11" s="938" t="e">
        <f>#REF!</f>
        <v>#REF!</v>
      </c>
      <c r="X11" s="939"/>
      <c r="Y11" s="939"/>
      <c r="Z11" s="940"/>
    </row>
    <row r="12" spans="1:27" ht="27" customHeight="1" thickBot="1" x14ac:dyDescent="0.5">
      <c r="A12" s="1617"/>
      <c r="B12" s="1734"/>
      <c r="C12" s="1736"/>
      <c r="D12" s="941" t="s">
        <v>112</v>
      </c>
      <c r="E12" s="942">
        <f>$C$11/2</f>
        <v>1.7857142857142858</v>
      </c>
      <c r="F12" s="943" t="s">
        <v>281</v>
      </c>
      <c r="G12" s="992">
        <f>E12/1</f>
        <v>1.7857142857142858</v>
      </c>
      <c r="H12" s="945">
        <v>7.9</v>
      </c>
      <c r="I12" s="946">
        <v>17.399999999999999</v>
      </c>
      <c r="J12" s="947">
        <f>I12-H12</f>
        <v>9.4999999999999982</v>
      </c>
      <c r="K12" s="948">
        <f>(0.25*I12)*(6/10)</f>
        <v>2.61</v>
      </c>
      <c r="L12" s="949">
        <f>I12-K12</f>
        <v>14.79</v>
      </c>
      <c r="M12" s="950">
        <f>IF(K12&lt;&gt;0,J12/K12,"0%")</f>
        <v>3.6398467432950188</v>
      </c>
      <c r="N12" s="1732"/>
      <c r="O12" s="1647"/>
      <c r="P12" s="1631"/>
      <c r="Q12" s="951" t="s">
        <v>98</v>
      </c>
      <c r="R12" s="1361" t="s">
        <v>821</v>
      </c>
      <c r="S12" s="266" t="s">
        <v>822</v>
      </c>
      <c r="V12" s="952">
        <v>0.02</v>
      </c>
      <c r="W12" s="953" t="e">
        <f>(W11-(W11*V12))</f>
        <v>#REF!</v>
      </c>
      <c r="X12" s="953" t="e">
        <f>W11-(V12*W11)</f>
        <v>#REF!</v>
      </c>
      <c r="Y12" s="939"/>
      <c r="Z12" s="940"/>
    </row>
    <row r="13" spans="1:27" ht="32.450000000000003" customHeight="1" thickBot="1" x14ac:dyDescent="0.5">
      <c r="A13" s="1617">
        <v>2</v>
      </c>
      <c r="B13" s="1754" t="s">
        <v>6</v>
      </c>
      <c r="C13" s="1756">
        <f>M5</f>
        <v>3.5714285714285716</v>
      </c>
      <c r="D13" s="954" t="s">
        <v>273</v>
      </c>
      <c r="E13" s="955">
        <f>$C$13/2</f>
        <v>1.7857142857142858</v>
      </c>
      <c r="F13" s="956" t="s">
        <v>7</v>
      </c>
      <c r="G13" s="1451">
        <f>E13/1</f>
        <v>1.7857142857142858</v>
      </c>
      <c r="H13" s="1271">
        <v>37.1</v>
      </c>
      <c r="I13" s="958">
        <v>36</v>
      </c>
      <c r="J13" s="959">
        <f>IF(I13=H13,(5-H13),I13-H13)</f>
        <v>-1.1000000000000014</v>
      </c>
      <c r="K13" s="960">
        <f>IF(I13&lt;=5,0,((I13-5)*(6/10)))</f>
        <v>18.599999999999998</v>
      </c>
      <c r="L13" s="961">
        <f>I13-K13</f>
        <v>17.400000000000002</v>
      </c>
      <c r="M13" s="962">
        <f>IF(I13&lt;=5,(1+(5-H13)/5),(J13/K13))</f>
        <v>-5.9139784946236645E-2</v>
      </c>
      <c r="N13" s="1731">
        <f>(((G13/C13)*M13)+((G14/C13)*M14))</f>
        <v>0.54183646685207809</v>
      </c>
      <c r="O13" s="1646">
        <f>IF((((G13/C13)*M13)+((G14/C13)*M14))&gt;=1,3.57148,IF((((G13/C13)*M13)+((G14/C13)*M14))&lt;=0,0, (((G13/C13)*M13)+((G14/C13)*M14))*3.571428))</f>
        <v>1.9351299291365835</v>
      </c>
      <c r="P13" s="1630">
        <f>O13/3.571428</f>
        <v>0.54183646685207809</v>
      </c>
      <c r="Q13" s="963" t="s">
        <v>99</v>
      </c>
      <c r="R13" s="1361" t="s">
        <v>823</v>
      </c>
      <c r="S13" s="604" t="s">
        <v>824</v>
      </c>
      <c r="V13" s="952">
        <v>0.02</v>
      </c>
      <c r="W13" s="953" t="e">
        <f>(#REF!-(#REF!*V13))</f>
        <v>#REF!</v>
      </c>
      <c r="X13" s="953" t="e">
        <f>(W11-(V12*W11))-((W11-(V12*W11))*0.02)-(((W11-(V12*W11))-((W11-(V12*W11))*0.02))*0.02)-(((W11-(V12*W11))-((W11-(V12*W11))*0.02)-(((W11-(V12*W11))-((W11-(V12*W11))*0.02))*0.02))*0.02)</f>
        <v>#REF!</v>
      </c>
      <c r="Y13" s="964" t="e">
        <f>(W11-W14)/W11</f>
        <v>#REF!</v>
      </c>
      <c r="Z13" s="940"/>
    </row>
    <row r="14" spans="1:27" ht="33" customHeight="1" thickBot="1" x14ac:dyDescent="0.5">
      <c r="A14" s="1617"/>
      <c r="B14" s="1755"/>
      <c r="C14" s="1757"/>
      <c r="D14" s="941" t="s">
        <v>274</v>
      </c>
      <c r="E14" s="965">
        <f>$C$13/2</f>
        <v>1.7857142857142858</v>
      </c>
      <c r="F14" s="966" t="s">
        <v>8</v>
      </c>
      <c r="G14" s="1452">
        <f>E14/1</f>
        <v>1.7857142857142858</v>
      </c>
      <c r="H14" s="1272">
        <v>76.400000000000006</v>
      </c>
      <c r="I14" s="1273">
        <v>32.299999999999997</v>
      </c>
      <c r="J14" s="968">
        <f>H14-I14</f>
        <v>44.100000000000009</v>
      </c>
      <c r="K14" s="969">
        <f>(0.95*(100-I14))*6/10</f>
        <v>38.588999999999999</v>
      </c>
      <c r="L14" s="970">
        <f>K14+I14</f>
        <v>70.888999999999996</v>
      </c>
      <c r="M14" s="971">
        <f>IF(K14&lt;&gt;0,J14/K14,"1%")</f>
        <v>1.1428127186503929</v>
      </c>
      <c r="N14" s="1732"/>
      <c r="O14" s="1647"/>
      <c r="P14" s="1631"/>
      <c r="Q14" s="972" t="s">
        <v>100</v>
      </c>
      <c r="R14" s="1443" t="s">
        <v>821</v>
      </c>
      <c r="S14" s="467" t="s">
        <v>825</v>
      </c>
      <c r="V14" s="973">
        <v>0.02</v>
      </c>
      <c r="W14" s="974" t="e">
        <f>(#REF!-(#REF!*V14))</f>
        <v>#REF!</v>
      </c>
      <c r="X14" s="974"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975" t="e">
        <f>W11-X14</f>
        <v>#REF!</v>
      </c>
      <c r="Z14" s="976"/>
    </row>
    <row r="15" spans="1:27" ht="22.25" customHeight="1" x14ac:dyDescent="0.45">
      <c r="A15" s="1651">
        <v>3</v>
      </c>
      <c r="B15" s="1727" t="s">
        <v>9</v>
      </c>
      <c r="C15" s="1729">
        <f>M5</f>
        <v>3.5714285714285716</v>
      </c>
      <c r="D15" s="1727" t="s">
        <v>113</v>
      </c>
      <c r="E15" s="1729">
        <f>$C$15/1</f>
        <v>3.5714285714285716</v>
      </c>
      <c r="F15" s="977" t="s">
        <v>221</v>
      </c>
      <c r="G15" s="978">
        <f>$E$15/3</f>
        <v>1.1904761904761905</v>
      </c>
      <c r="H15" s="322">
        <v>18.3</v>
      </c>
      <c r="I15" s="323">
        <v>9.0299999999999994</v>
      </c>
      <c r="J15" s="979">
        <f>H15-I15</f>
        <v>9.2700000000000014</v>
      </c>
      <c r="K15" s="980">
        <f>(0.5*I15)*6/10</f>
        <v>2.7089999999999996</v>
      </c>
      <c r="L15" s="934">
        <f>I15+K15</f>
        <v>11.738999999999999</v>
      </c>
      <c r="M15" s="935">
        <f>IF(K15&lt;&gt;0,J15/K15,"0%")</f>
        <v>3.4219269102990042</v>
      </c>
      <c r="N15" s="1702">
        <f>(((G15/C15)*M15)+((G16/C15)*M16)+((G17/C15)*M17))</f>
        <v>4.162620325411023</v>
      </c>
      <c r="O15" s="1632">
        <f>IF((((G15/C15)*M15)+((G16/C15)*M16)+((G17/C15)*M17))&gt;=1,3.571428,IF((((G15/C15)*M15)+((G16/C15)*M16)+((G17/C15)*M17))&lt;=0,0,(((G15/C15)*M15)+((G16/C15)*M16)+((G17/C15)*M17))*3.571428))</f>
        <v>3.571428</v>
      </c>
      <c r="P15" s="1630">
        <f>O15/3.571428</f>
        <v>1</v>
      </c>
      <c r="Q15" s="981" t="s">
        <v>101</v>
      </c>
      <c r="R15" s="1443" t="s">
        <v>826</v>
      </c>
      <c r="S15" s="533" t="s">
        <v>827</v>
      </c>
    </row>
    <row r="16" spans="1:27" ht="42.75" x14ac:dyDescent="0.45">
      <c r="A16" s="1651"/>
      <c r="B16" s="1727"/>
      <c r="C16" s="1729"/>
      <c r="D16" s="1727"/>
      <c r="E16" s="1729"/>
      <c r="F16" s="982" t="s">
        <v>220</v>
      </c>
      <c r="G16" s="983">
        <f t="shared" ref="G16:G17" si="0">$E$15/3</f>
        <v>1.1904761904761905</v>
      </c>
      <c r="H16" s="233">
        <v>15.4</v>
      </c>
      <c r="I16" s="234">
        <v>14.3</v>
      </c>
      <c r="J16" s="986">
        <f>H16-I16</f>
        <v>1.0999999999999996</v>
      </c>
      <c r="K16" s="987">
        <f>(0.5*I16)*6/10</f>
        <v>4.2900000000000009</v>
      </c>
      <c r="L16" s="988">
        <f t="shared" ref="L16:L17" si="1">I16+K16</f>
        <v>18.590000000000003</v>
      </c>
      <c r="M16" s="989">
        <f>IF(K16&lt;&gt;0,J16/K16,"0%")</f>
        <v>0.25641025641025628</v>
      </c>
      <c r="N16" s="1657"/>
      <c r="O16" s="1633"/>
      <c r="P16" s="1635"/>
      <c r="Q16" s="990" t="s">
        <v>95</v>
      </c>
      <c r="R16" s="1444" t="s">
        <v>828</v>
      </c>
      <c r="S16" s="468" t="s">
        <v>829</v>
      </c>
    </row>
    <row r="17" spans="1:19" ht="25.25" customHeight="1" thickBot="1" x14ac:dyDescent="0.5">
      <c r="A17" s="1651"/>
      <c r="B17" s="1728"/>
      <c r="C17" s="1730"/>
      <c r="D17" s="1728"/>
      <c r="E17" s="1730"/>
      <c r="F17" s="991" t="s">
        <v>10</v>
      </c>
      <c r="G17" s="992">
        <f t="shared" si="0"/>
        <v>1.1904761904761905</v>
      </c>
      <c r="H17" s="111">
        <v>10.199999999999999</v>
      </c>
      <c r="I17" s="112">
        <v>2.8</v>
      </c>
      <c r="J17" s="993">
        <f>H17-I17</f>
        <v>7.3999999999999995</v>
      </c>
      <c r="K17" s="994">
        <f>(0.5*I17)*6/10</f>
        <v>0.83999999999999986</v>
      </c>
      <c r="L17" s="949">
        <f t="shared" si="1"/>
        <v>3.6399999999999997</v>
      </c>
      <c r="M17" s="950">
        <f>IF(K17&lt;&gt;0,J17/K17,"0%")</f>
        <v>8.8095238095238102</v>
      </c>
      <c r="N17" s="1703"/>
      <c r="O17" s="1634"/>
      <c r="P17" s="1635"/>
      <c r="Q17" s="995" t="s">
        <v>162</v>
      </c>
      <c r="R17" s="1445" t="s">
        <v>830</v>
      </c>
      <c r="S17" s="469" t="s">
        <v>831</v>
      </c>
    </row>
    <row r="18" spans="1:19" ht="21.4" thickBot="1" x14ac:dyDescent="0.7">
      <c r="A18" s="14"/>
      <c r="B18" s="1670" t="s">
        <v>11</v>
      </c>
      <c r="C18" s="1671"/>
      <c r="D18" s="1671"/>
      <c r="E18" s="1671"/>
      <c r="F18" s="1672"/>
      <c r="G18" s="1084"/>
      <c r="H18" s="127"/>
      <c r="I18" s="128"/>
      <c r="J18" s="997"/>
      <c r="K18" s="997"/>
      <c r="L18" s="997"/>
      <c r="M18" s="998"/>
      <c r="N18" s="911">
        <f>N19</f>
        <v>0.16049123012216188</v>
      </c>
      <c r="O18" s="912">
        <f>O19</f>
        <v>0.57318287301273241</v>
      </c>
      <c r="P18" s="913">
        <f>O18/3.571428</f>
        <v>0.1604912301221619</v>
      </c>
      <c r="Q18" s="997"/>
      <c r="R18" s="777"/>
      <c r="S18" s="778"/>
    </row>
    <row r="19" spans="1:19" ht="34.25" customHeight="1" thickBot="1" x14ac:dyDescent="0.5">
      <c r="A19" s="1617">
        <v>4</v>
      </c>
      <c r="B19" s="1618" t="s">
        <v>12</v>
      </c>
      <c r="C19" s="1678">
        <f>M5</f>
        <v>3.5714285714285716</v>
      </c>
      <c r="D19" s="999" t="s">
        <v>114</v>
      </c>
      <c r="E19" s="931">
        <f>$C$19/4</f>
        <v>0.8928571428571429</v>
      </c>
      <c r="F19" s="1000" t="s">
        <v>222</v>
      </c>
      <c r="G19" s="978">
        <f>E19/1</f>
        <v>0.8928571428571429</v>
      </c>
      <c r="H19" s="101">
        <v>12.93</v>
      </c>
      <c r="I19" s="106">
        <v>11.75</v>
      </c>
      <c r="J19" s="1001">
        <f>H19-I19</f>
        <v>1.1799999999999997</v>
      </c>
      <c r="K19" s="980">
        <f>(2*I19)*6/10</f>
        <v>14.1</v>
      </c>
      <c r="L19" s="1002">
        <f t="shared" ref="L19:L22" si="2">K19+I19</f>
        <v>25.85</v>
      </c>
      <c r="M19" s="935">
        <f>IF(K19&lt;&gt;0,J19/K19,"0%")</f>
        <v>8.368794326241133E-2</v>
      </c>
      <c r="N19" s="1721">
        <f>(((G19/C19)*M19)+((G20/C19)*M20)+((G21/C19)*M21)+((G22/C19)*M22))</f>
        <v>0.16049123012216188</v>
      </c>
      <c r="O19" s="1723">
        <f>IF((((G19/C19)*M19)+((G20/C19)*M20)+((G21/C19)*M21)+((G22/C19)*M22))&gt;=1,3.571428,IF((((G19/C19)*M19)+((G20/C19)*M20)+((G21/C19)*M21)+((G22/C19)*M22))&lt;=0,0,((((G19/C19)*M19)+((G20/C19)*M20)+((G21/C19)*M21)+((G22/C19)*M22))*3.571428)))</f>
        <v>0.57318287301273241</v>
      </c>
      <c r="P19" s="1630">
        <f>O19/3.571428</f>
        <v>0.1604912301221619</v>
      </c>
      <c r="Q19" s="1003" t="s">
        <v>163</v>
      </c>
      <c r="R19" s="157"/>
      <c r="S19" s="258"/>
    </row>
    <row r="20" spans="1:19" ht="39" customHeight="1" x14ac:dyDescent="0.45">
      <c r="A20" s="1617"/>
      <c r="B20" s="1619"/>
      <c r="C20" s="1685"/>
      <c r="D20" s="1004" t="s">
        <v>152</v>
      </c>
      <c r="E20" s="1005">
        <f>($C$19/4)</f>
        <v>0.8928571428571429</v>
      </c>
      <c r="F20" s="1006" t="s">
        <v>265</v>
      </c>
      <c r="G20" s="983">
        <f>E20/1</f>
        <v>0.8928571428571429</v>
      </c>
      <c r="H20" s="113">
        <v>67.8</v>
      </c>
      <c r="I20" s="107">
        <v>62.6</v>
      </c>
      <c r="J20" s="1007">
        <f t="shared" ref="J20:J24" si="3">H20-I20</f>
        <v>5.1999999999999957</v>
      </c>
      <c r="K20" s="987">
        <f>(100-I20)*(6/10)</f>
        <v>22.439999999999998</v>
      </c>
      <c r="L20" s="1008">
        <f t="shared" si="2"/>
        <v>85.039999999999992</v>
      </c>
      <c r="M20" s="935">
        <f>IF(K20&lt;&gt;0,J20/K20,"0%")</f>
        <v>0.23172905525846685</v>
      </c>
      <c r="N20" s="1722"/>
      <c r="O20" s="1633"/>
      <c r="P20" s="1635"/>
      <c r="Q20" s="1009" t="s">
        <v>164</v>
      </c>
      <c r="R20" s="158" t="s">
        <v>832</v>
      </c>
      <c r="S20" s="277" t="s">
        <v>833</v>
      </c>
    </row>
    <row r="21" spans="1:19" ht="56.45" customHeight="1" x14ac:dyDescent="0.45">
      <c r="A21" s="1617"/>
      <c r="B21" s="1619"/>
      <c r="C21" s="1685"/>
      <c r="D21" s="1004" t="s">
        <v>153</v>
      </c>
      <c r="E21" s="1005">
        <f t="shared" ref="E21:E22" si="4">($C$19/4)</f>
        <v>0.8928571428571429</v>
      </c>
      <c r="F21" s="1006" t="s">
        <v>155</v>
      </c>
      <c r="G21" s="983">
        <f>E21/1</f>
        <v>0.8928571428571429</v>
      </c>
      <c r="H21" s="471"/>
      <c r="I21" s="478"/>
      <c r="J21" s="1007">
        <f t="shared" si="3"/>
        <v>0</v>
      </c>
      <c r="K21" s="987">
        <f>(0.3*I21)*6/10</f>
        <v>0</v>
      </c>
      <c r="L21" s="1008">
        <f t="shared" si="2"/>
        <v>0</v>
      </c>
      <c r="M21" s="989" t="str">
        <f>IF(K21&lt;&gt;0,J21/K21,"0%")</f>
        <v>0%</v>
      </c>
      <c r="N21" s="1722"/>
      <c r="O21" s="1633"/>
      <c r="P21" s="1635"/>
      <c r="Q21" s="1009" t="s">
        <v>165</v>
      </c>
      <c r="R21" s="158" t="s">
        <v>832</v>
      </c>
      <c r="S21" s="237" t="s">
        <v>834</v>
      </c>
    </row>
    <row r="22" spans="1:19" ht="36.6" customHeight="1" thickBot="1" x14ac:dyDescent="0.5">
      <c r="A22" s="1617"/>
      <c r="B22" s="1724"/>
      <c r="C22" s="1725"/>
      <c r="D22" s="966" t="s">
        <v>154</v>
      </c>
      <c r="E22" s="1010">
        <f t="shared" si="4"/>
        <v>0.8928571428571429</v>
      </c>
      <c r="F22" s="1011" t="s">
        <v>156</v>
      </c>
      <c r="G22" s="1012">
        <f>E22/1</f>
        <v>0.8928571428571429</v>
      </c>
      <c r="H22" s="312">
        <v>36.799999999999997</v>
      </c>
      <c r="I22" s="114">
        <v>21.4</v>
      </c>
      <c r="J22" s="1013">
        <f t="shared" si="3"/>
        <v>15.399999999999999</v>
      </c>
      <c r="K22" s="994">
        <f>(100-I22)*(6/10)</f>
        <v>47.16</v>
      </c>
      <c r="L22" s="1014">
        <f t="shared" si="2"/>
        <v>68.56</v>
      </c>
      <c r="M22" s="950">
        <f>IF(K22&lt;&gt;0,J22/K22,"100%")</f>
        <v>0.32654792196776927</v>
      </c>
      <c r="N22" s="1726"/>
      <c r="O22" s="1634"/>
      <c r="P22" s="1631"/>
      <c r="Q22" s="1015" t="s">
        <v>95</v>
      </c>
      <c r="R22" s="211" t="s">
        <v>835</v>
      </c>
      <c r="S22" s="277" t="s">
        <v>836</v>
      </c>
    </row>
    <row r="23" spans="1:19" ht="20.45" customHeight="1" thickBot="1" x14ac:dyDescent="0.5">
      <c r="B23" s="1614" t="s">
        <v>13</v>
      </c>
      <c r="C23" s="1615"/>
      <c r="D23" s="1615"/>
      <c r="E23" s="1615"/>
      <c r="F23" s="1616"/>
      <c r="G23" s="1084"/>
      <c r="H23" s="127"/>
      <c r="I23" s="128"/>
      <c r="J23" s="1017"/>
      <c r="K23" s="1017"/>
      <c r="L23" s="1017"/>
      <c r="M23" s="1018"/>
      <c r="N23" s="911">
        <f>N24</f>
        <v>-0.20243833072355602</v>
      </c>
      <c r="O23" s="912">
        <f>O24</f>
        <v>0</v>
      </c>
      <c r="P23" s="913">
        <f>O23/3.571428</f>
        <v>0</v>
      </c>
      <c r="Q23" s="997"/>
      <c r="R23" s="17"/>
      <c r="S23" s="17"/>
    </row>
    <row r="24" spans="1:19" ht="36" customHeight="1" x14ac:dyDescent="0.45">
      <c r="A24" s="1617">
        <v>5</v>
      </c>
      <c r="B24" s="1618" t="s">
        <v>14</v>
      </c>
      <c r="C24" s="1678">
        <f>M5</f>
        <v>3.5714285714285716</v>
      </c>
      <c r="D24" s="999" t="s">
        <v>115</v>
      </c>
      <c r="E24" s="931">
        <f>$C$24/4</f>
        <v>0.8928571428571429</v>
      </c>
      <c r="F24" s="999" t="s">
        <v>280</v>
      </c>
      <c r="G24" s="978">
        <f>E24/1</f>
        <v>0.8928571428571429</v>
      </c>
      <c r="H24" s="308">
        <v>15.2</v>
      </c>
      <c r="I24" s="106">
        <v>11</v>
      </c>
      <c r="J24" s="979">
        <f t="shared" si="3"/>
        <v>4.1999999999999993</v>
      </c>
      <c r="K24" s="980">
        <f>(0.3*I24)*6/10</f>
        <v>1.9799999999999998</v>
      </c>
      <c r="L24" s="1002">
        <f>K24+I24</f>
        <v>12.98</v>
      </c>
      <c r="M24" s="935">
        <f t="shared" ref="M24:M31" si="5">IF(K24&lt;&gt;0,J24/K24,"0%")</f>
        <v>2.1212121212121211</v>
      </c>
      <c r="N24" s="1721">
        <f>(((G24/C24)*M24)+((G25/C24)*M25)+ ((G26/C24)*M26)+((G27/C24)*M27)+((G28/C24)*M28)+((G29/C24)*M29)+((G30/C24)*M30)+((G31/C24)*M31))</f>
        <v>-0.20243833072355602</v>
      </c>
      <c r="O24" s="1723">
        <f>IF((((G24/C24)*M24)+((G25/C24)*M25)+ ((G26/C24)*M26)+((G27/C24)*M27)+((G28/C24)*M28)+((G29/C24)*M29)+((G30/C24)*M30)+((G31/C24)*M31))&gt;=1,3.571428,IF((((G24/C24)*M24)+((G25/C24)*M25)+ ((G26/C24)*M26)+((G27/C24)*M27)+((G28/C24)*M28)+((G29/C24)*M29)+((G30/C24)*M30)+((G31/C24)*M31))&lt;=0,0,((((G24/C24)*M24)+((G25/C24)*M25)+ ((G26/C24)*M26)+((G27/C24)*M27)+((G28/C24)*M28)+((G29/C24)*M29)+((G30/C24)*M30)+((G31/C24)*M31))*3.571428)))</f>
        <v>0</v>
      </c>
      <c r="P24" s="1630">
        <f>O24/3.571428</f>
        <v>0</v>
      </c>
      <c r="Q24" s="1021" t="s">
        <v>166</v>
      </c>
      <c r="R24" s="238" t="s">
        <v>837</v>
      </c>
      <c r="S24" s="60" t="s">
        <v>838</v>
      </c>
    </row>
    <row r="25" spans="1:19" ht="19.8" customHeight="1" x14ac:dyDescent="0.45">
      <c r="A25" s="1617"/>
      <c r="B25" s="1619"/>
      <c r="C25" s="1685"/>
      <c r="D25" s="1625" t="s">
        <v>158</v>
      </c>
      <c r="E25" s="1688">
        <v>0.9</v>
      </c>
      <c r="F25" s="1004" t="s">
        <v>15</v>
      </c>
      <c r="G25" s="983">
        <f>$E$25/3</f>
        <v>0.3</v>
      </c>
      <c r="H25" s="113">
        <v>505</v>
      </c>
      <c r="I25" s="107">
        <v>220</v>
      </c>
      <c r="J25" s="1007">
        <f t="shared" ref="J25:J30" si="6">I25-H25</f>
        <v>-285</v>
      </c>
      <c r="K25" s="987">
        <f>(0.5*I25)*6/10</f>
        <v>66</v>
      </c>
      <c r="L25" s="1008">
        <f t="shared" ref="L25:L30" si="7">I25-K25</f>
        <v>154</v>
      </c>
      <c r="M25" s="989">
        <f t="shared" si="5"/>
        <v>-4.3181818181818183</v>
      </c>
      <c r="N25" s="1722"/>
      <c r="O25" s="1633"/>
      <c r="P25" s="1635"/>
      <c r="Q25" s="1023" t="s">
        <v>167</v>
      </c>
      <c r="R25" s="212" t="s">
        <v>839</v>
      </c>
      <c r="S25" s="62" t="s">
        <v>840</v>
      </c>
    </row>
    <row r="26" spans="1:19" ht="19.8" customHeight="1" x14ac:dyDescent="0.45">
      <c r="A26" s="1617"/>
      <c r="B26" s="1619"/>
      <c r="C26" s="1685"/>
      <c r="D26" s="1713"/>
      <c r="E26" s="1714"/>
      <c r="F26" s="1004" t="s">
        <v>16</v>
      </c>
      <c r="G26" s="983">
        <f t="shared" ref="G26:G27" si="8">$E$25/3</f>
        <v>0.3</v>
      </c>
      <c r="H26" s="113">
        <v>24</v>
      </c>
      <c r="I26" s="107">
        <v>24</v>
      </c>
      <c r="J26" s="1007">
        <f t="shared" si="6"/>
        <v>0</v>
      </c>
      <c r="K26" s="987">
        <f>(0.8*I26)*6/10</f>
        <v>11.520000000000001</v>
      </c>
      <c r="L26" s="1008">
        <f t="shared" si="7"/>
        <v>12.479999999999999</v>
      </c>
      <c r="M26" s="989">
        <f t="shared" si="5"/>
        <v>0</v>
      </c>
      <c r="N26" s="1722"/>
      <c r="O26" s="1633"/>
      <c r="P26" s="1635"/>
      <c r="Q26" s="1023" t="s">
        <v>168</v>
      </c>
      <c r="R26" s="240" t="s">
        <v>841</v>
      </c>
      <c r="S26" s="62" t="s">
        <v>842</v>
      </c>
    </row>
    <row r="27" spans="1:19" ht="19.8" customHeight="1" x14ac:dyDescent="0.45">
      <c r="A27" s="1617"/>
      <c r="B27" s="1619"/>
      <c r="C27" s="1685"/>
      <c r="D27" s="1713"/>
      <c r="E27" s="1714"/>
      <c r="F27" s="1004" t="s">
        <v>17</v>
      </c>
      <c r="G27" s="983">
        <f t="shared" si="8"/>
        <v>0.3</v>
      </c>
      <c r="H27" s="113">
        <v>126</v>
      </c>
      <c r="I27" s="107">
        <v>127</v>
      </c>
      <c r="J27" s="1007">
        <f t="shared" si="6"/>
        <v>1</v>
      </c>
      <c r="K27" s="987">
        <f>(0.5*I27)*(6/10)</f>
        <v>38.1</v>
      </c>
      <c r="L27" s="1008">
        <f t="shared" si="7"/>
        <v>88.9</v>
      </c>
      <c r="M27" s="989">
        <f t="shared" si="5"/>
        <v>2.6246719160104987E-2</v>
      </c>
      <c r="N27" s="1722"/>
      <c r="O27" s="1633"/>
      <c r="P27" s="1635"/>
      <c r="Q27" s="1023" t="s">
        <v>169</v>
      </c>
      <c r="R27" s="240" t="s">
        <v>843</v>
      </c>
      <c r="S27" s="62" t="s">
        <v>842</v>
      </c>
    </row>
    <row r="28" spans="1:19" ht="30.6" customHeight="1" x14ac:dyDescent="0.45">
      <c r="A28" s="22"/>
      <c r="B28" s="1619"/>
      <c r="C28" s="1685"/>
      <c r="D28" s="1625" t="s">
        <v>116</v>
      </c>
      <c r="E28" s="1688">
        <f t="shared" ref="E28:E31" si="9">$C$24/4</f>
        <v>0.8928571428571429</v>
      </c>
      <c r="F28" s="1004" t="s">
        <v>148</v>
      </c>
      <c r="G28" s="983">
        <f>$E$28/3</f>
        <v>0.29761904761904762</v>
      </c>
      <c r="H28" s="113"/>
      <c r="I28" s="107"/>
      <c r="J28" s="1007">
        <f t="shared" si="6"/>
        <v>0</v>
      </c>
      <c r="K28" s="987">
        <f>(0.5*I28)*(6/10)</f>
        <v>0</v>
      </c>
      <c r="L28" s="1008">
        <f t="shared" si="7"/>
        <v>0</v>
      </c>
      <c r="M28" s="989" t="str">
        <f t="shared" si="5"/>
        <v>0%</v>
      </c>
      <c r="N28" s="1658"/>
      <c r="O28" s="1633"/>
      <c r="P28" s="1635"/>
      <c r="Q28" s="1023" t="s">
        <v>170</v>
      </c>
      <c r="R28" s="212"/>
      <c r="S28" s="62"/>
    </row>
    <row r="29" spans="1:19" ht="20.45" customHeight="1" x14ac:dyDescent="0.45">
      <c r="A29" s="22"/>
      <c r="B29" s="1619"/>
      <c r="C29" s="1685"/>
      <c r="D29" s="1713"/>
      <c r="E29" s="1714"/>
      <c r="F29" s="1004" t="s">
        <v>149</v>
      </c>
      <c r="G29" s="983">
        <f t="shared" ref="G29:G30" si="10">$E$28/3</f>
        <v>0.29761904761904762</v>
      </c>
      <c r="H29" s="113">
        <v>90</v>
      </c>
      <c r="I29" s="107">
        <v>61</v>
      </c>
      <c r="J29" s="1007">
        <f t="shared" si="6"/>
        <v>-29</v>
      </c>
      <c r="K29" s="987">
        <f>(0.5*I29)*(6/10)</f>
        <v>18.3</v>
      </c>
      <c r="L29" s="1008">
        <f t="shared" si="7"/>
        <v>42.7</v>
      </c>
      <c r="M29" s="989">
        <f t="shared" si="5"/>
        <v>-1.5846994535519126</v>
      </c>
      <c r="N29" s="1658"/>
      <c r="O29" s="1633"/>
      <c r="P29" s="1635"/>
      <c r="Q29" s="1023" t="s">
        <v>171</v>
      </c>
      <c r="R29" s="212" t="s">
        <v>844</v>
      </c>
      <c r="S29" s="62" t="s">
        <v>840</v>
      </c>
    </row>
    <row r="30" spans="1:19" ht="20.45" customHeight="1" x14ac:dyDescent="0.45">
      <c r="A30" s="22"/>
      <c r="B30" s="1718"/>
      <c r="C30" s="1714"/>
      <c r="D30" s="1713"/>
      <c r="E30" s="1714"/>
      <c r="F30" s="1004" t="s">
        <v>150</v>
      </c>
      <c r="G30" s="983">
        <f t="shared" si="10"/>
        <v>0.29761904761904762</v>
      </c>
      <c r="H30" s="113">
        <v>156.99</v>
      </c>
      <c r="I30" s="107">
        <v>84.195999999999998</v>
      </c>
      <c r="J30" s="1007">
        <f t="shared" si="6"/>
        <v>-72.794000000000011</v>
      </c>
      <c r="K30" s="987">
        <f>(0.5*I30)*(6/10)</f>
        <v>25.258799999999997</v>
      </c>
      <c r="L30" s="1008">
        <f t="shared" si="7"/>
        <v>58.937200000000004</v>
      </c>
      <c r="M30" s="989">
        <f t="shared" si="5"/>
        <v>-2.8819262989532368</v>
      </c>
      <c r="N30" s="1658"/>
      <c r="O30" s="1633"/>
      <c r="P30" s="1635"/>
      <c r="Q30" s="1023" t="s">
        <v>172</v>
      </c>
      <c r="R30" s="212" t="s">
        <v>844</v>
      </c>
      <c r="S30" s="62" t="s">
        <v>840</v>
      </c>
    </row>
    <row r="31" spans="1:19" ht="34.9" customHeight="1" thickBot="1" x14ac:dyDescent="0.5">
      <c r="A31" s="22"/>
      <c r="B31" s="1719"/>
      <c r="C31" s="1720"/>
      <c r="D31" s="1024" t="s">
        <v>117</v>
      </c>
      <c r="E31" s="944">
        <f t="shared" si="9"/>
        <v>0.8928571428571429</v>
      </c>
      <c r="F31" s="1025" t="s">
        <v>223</v>
      </c>
      <c r="G31" s="992">
        <f>E31/1</f>
        <v>0.8928571428571429</v>
      </c>
      <c r="H31" s="475"/>
      <c r="I31" s="492"/>
      <c r="J31" s="1013">
        <f t="shared" ref="J31" si="11">H31-I31</f>
        <v>0</v>
      </c>
      <c r="K31" s="994">
        <f>(100-I31)*(6/10)</f>
        <v>60</v>
      </c>
      <c r="L31" s="1014">
        <f>K31+I31</f>
        <v>60</v>
      </c>
      <c r="M31" s="971">
        <f t="shared" si="5"/>
        <v>0</v>
      </c>
      <c r="N31" s="1659"/>
      <c r="O31" s="1634"/>
      <c r="P31" s="1631"/>
      <c r="Q31" s="1027" t="s">
        <v>95</v>
      </c>
      <c r="R31" s="241"/>
      <c r="S31" s="237" t="s">
        <v>615</v>
      </c>
    </row>
    <row r="32" spans="1:19" ht="20.45" customHeight="1" thickBot="1" x14ac:dyDescent="0.5">
      <c r="B32" s="1715" t="s">
        <v>18</v>
      </c>
      <c r="C32" s="1716"/>
      <c r="D32" s="1716"/>
      <c r="E32" s="1716"/>
      <c r="F32" s="1717"/>
      <c r="G32" s="1084"/>
      <c r="H32" s="129"/>
      <c r="I32" s="130"/>
      <c r="J32" s="1458"/>
      <c r="K32" s="1029"/>
      <c r="L32" s="1030"/>
      <c r="M32" s="1031"/>
      <c r="N32" s="911">
        <f>(N33+N34+N35+N36)/4</f>
        <v>0.33018867924528306</v>
      </c>
      <c r="O32" s="912">
        <f>(O33+O34+O35+O36)</f>
        <v>3.571428</v>
      </c>
      <c r="P32" s="913">
        <f>O32/14.285712</f>
        <v>0.25</v>
      </c>
      <c r="Q32" s="997"/>
      <c r="R32" s="16"/>
      <c r="S32" s="16"/>
    </row>
    <row r="33" spans="1:19" ht="33.6" customHeight="1" thickBot="1" x14ac:dyDescent="0.5">
      <c r="A33" s="22">
        <v>6</v>
      </c>
      <c r="B33" s="1032" t="s">
        <v>19</v>
      </c>
      <c r="C33" s="1033">
        <f>$M$5</f>
        <v>3.5714285714285716</v>
      </c>
      <c r="D33" s="1034" t="s">
        <v>287</v>
      </c>
      <c r="E33" s="1035">
        <f>C33/1</f>
        <v>3.5714285714285716</v>
      </c>
      <c r="F33" s="1032" t="s">
        <v>288</v>
      </c>
      <c r="G33" s="1033">
        <f>E33/1</f>
        <v>3.5714285714285716</v>
      </c>
      <c r="H33" s="116">
        <v>7</v>
      </c>
      <c r="I33" s="131">
        <v>5.3</v>
      </c>
      <c r="J33" s="1383">
        <f>IF(H33&lt;7,(H33-7),(H33-I33))</f>
        <v>1.7000000000000002</v>
      </c>
      <c r="K33" s="1037">
        <f>IF((7-H33&gt;=0),(7-H33),0)</f>
        <v>0</v>
      </c>
      <c r="L33" s="1038">
        <f>IF((I33&lt;7),7,I33)</f>
        <v>7</v>
      </c>
      <c r="M33" s="1039">
        <f>IF(K33&lt;&gt;0,J33/7,(1+((H33-I33)/I33)))</f>
        <v>1.3207547169811322</v>
      </c>
      <c r="N33" s="1040">
        <f>((G33/C33)*M33)</f>
        <v>1.3207547169811322</v>
      </c>
      <c r="O33" s="1041">
        <f>IF(((G33/C33)*M33)&gt;=1,3.571428,IF(((G33/C33)*M33)&lt;=0,0,((G33/C33)*M33)*3.571428))</f>
        <v>3.571428</v>
      </c>
      <c r="P33" s="913">
        <f>O33/3.571428</f>
        <v>1</v>
      </c>
      <c r="Q33" s="1042" t="s">
        <v>97</v>
      </c>
      <c r="R33" s="215" t="s">
        <v>830</v>
      </c>
      <c r="S33" s="1275" t="s">
        <v>845</v>
      </c>
    </row>
    <row r="34" spans="1:19" ht="51" customHeight="1" thickBot="1" x14ac:dyDescent="0.5">
      <c r="A34" s="22">
        <v>7</v>
      </c>
      <c r="B34" s="1032" t="s">
        <v>20</v>
      </c>
      <c r="C34" s="1033">
        <f t="shared" ref="C34:C36" si="12">$M$5</f>
        <v>3.5714285714285716</v>
      </c>
      <c r="D34" s="1032" t="s">
        <v>118</v>
      </c>
      <c r="E34" s="1035">
        <f t="shared" ref="E34:E36" si="13">C34/1</f>
        <v>3.5714285714285716</v>
      </c>
      <c r="F34" s="1032" t="s">
        <v>21</v>
      </c>
      <c r="G34" s="1033">
        <f>E34/1</f>
        <v>3.5714285714285716</v>
      </c>
      <c r="H34" s="314">
        <v>5.4</v>
      </c>
      <c r="I34" s="1043"/>
      <c r="J34" s="1385">
        <f>H34-I34</f>
        <v>5.4</v>
      </c>
      <c r="K34" s="1045">
        <f>(0.5*I34)*(6/10)</f>
        <v>0</v>
      </c>
      <c r="L34" s="1046">
        <f>K34+I34</f>
        <v>0</v>
      </c>
      <c r="M34" s="1039" t="str">
        <f>IF(K34&lt;&gt;0,J34/K34,"0%")</f>
        <v>0%</v>
      </c>
      <c r="N34" s="1040">
        <f>((G34/C34)*M34)</f>
        <v>0</v>
      </c>
      <c r="O34" s="1041">
        <f>IF(((G34/C34)*M34)&gt;=1,3.571428,IF(((G34/C34)*M34)&lt;=0,0,((G34/C34)*M34)*3.571428))</f>
        <v>0</v>
      </c>
      <c r="P34" s="913">
        <f t="shared" ref="P34:P36" si="14">O34/3.571428</f>
        <v>0</v>
      </c>
      <c r="Q34" s="1042" t="s">
        <v>173</v>
      </c>
      <c r="R34" s="245"/>
      <c r="S34" s="1275" t="s">
        <v>845</v>
      </c>
    </row>
    <row r="35" spans="1:19" ht="40.799999999999997" customHeight="1" thickBot="1" x14ac:dyDescent="0.5">
      <c r="A35" s="22">
        <v>8</v>
      </c>
      <c r="B35" s="1032" t="s">
        <v>22</v>
      </c>
      <c r="C35" s="1033">
        <f t="shared" si="12"/>
        <v>3.5714285714285716</v>
      </c>
      <c r="D35" s="1032" t="s">
        <v>119</v>
      </c>
      <c r="E35" s="1035">
        <f t="shared" si="13"/>
        <v>3.5714285714285716</v>
      </c>
      <c r="F35" s="1032" t="s">
        <v>23</v>
      </c>
      <c r="G35" s="1033">
        <f>E35/1</f>
        <v>3.5714285714285716</v>
      </c>
      <c r="H35" s="472"/>
      <c r="I35" s="511"/>
      <c r="J35" s="1389">
        <f>H35-I35</f>
        <v>0</v>
      </c>
      <c r="K35" s="1048">
        <f>IF((I35&gt;=1),0,((1-I35)*0.6))</f>
        <v>0.6</v>
      </c>
      <c r="L35" s="1038">
        <f>I35+K35</f>
        <v>0.6</v>
      </c>
      <c r="M35" s="1039">
        <f>IF(K35&lt;&gt;0,J35/K35,"0%")</f>
        <v>0</v>
      </c>
      <c r="N35" s="1040">
        <f>((G35/C35)*M35)</f>
        <v>0</v>
      </c>
      <c r="O35" s="1041">
        <f>IF(((G35/C35)*M35)&gt;=1,3.571428,IF(((G35/C35)*M35)&lt;=0,0,((G35/C35)*M35)*3.571428))</f>
        <v>0</v>
      </c>
      <c r="P35" s="913">
        <f t="shared" si="14"/>
        <v>0</v>
      </c>
      <c r="Q35" s="1042" t="s">
        <v>174</v>
      </c>
      <c r="R35" s="161"/>
      <c r="S35" s="237" t="s">
        <v>615</v>
      </c>
    </row>
    <row r="36" spans="1:19" ht="32.450000000000003" customHeight="1" thickBot="1" x14ac:dyDescent="0.5">
      <c r="A36" s="22">
        <v>9</v>
      </c>
      <c r="B36" s="1032" t="s">
        <v>24</v>
      </c>
      <c r="C36" s="1033">
        <f t="shared" si="12"/>
        <v>3.5714285714285716</v>
      </c>
      <c r="D36" s="1032" t="s">
        <v>275</v>
      </c>
      <c r="E36" s="1035">
        <f t="shared" si="13"/>
        <v>3.5714285714285716</v>
      </c>
      <c r="F36" s="1049" t="s">
        <v>25</v>
      </c>
      <c r="G36" s="1033">
        <f>E36/1</f>
        <v>3.5714285714285716</v>
      </c>
      <c r="H36" s="472"/>
      <c r="I36" s="511"/>
      <c r="J36" s="1392">
        <f>H36-I36</f>
        <v>0</v>
      </c>
      <c r="K36" s="1051">
        <f>(1*I36)*(6/10)</f>
        <v>0</v>
      </c>
      <c r="L36" s="1052">
        <f>I36+K36</f>
        <v>0</v>
      </c>
      <c r="M36" s="1039" t="str">
        <f>IF(K36&lt;&gt;0,J36/K36,"0%")</f>
        <v>0%</v>
      </c>
      <c r="N36" s="1040">
        <f>((G36/C36)*M36)</f>
        <v>0</v>
      </c>
      <c r="O36" s="1041">
        <f>IF(((G36/C36)*M36)&gt;=1,3.571428,IF(((G36/C36)*M36)&lt;=0,0,((G36/C36)*M36)*3.571428))</f>
        <v>0</v>
      </c>
      <c r="P36" s="913">
        <f t="shared" si="14"/>
        <v>0</v>
      </c>
      <c r="Q36" s="1053" t="s">
        <v>175</v>
      </c>
      <c r="R36" s="160"/>
      <c r="S36" s="237" t="s">
        <v>615</v>
      </c>
    </row>
    <row r="37" spans="1:19" ht="30.6" customHeight="1" thickBot="1" x14ac:dyDescent="0.5">
      <c r="B37" s="1710" t="s">
        <v>26</v>
      </c>
      <c r="C37" s="1711"/>
      <c r="D37" s="1711"/>
      <c r="E37" s="1711"/>
      <c r="F37" s="1712"/>
      <c r="G37" s="1069"/>
      <c r="H37" s="132"/>
      <c r="I37" s="133"/>
      <c r="J37" s="1056"/>
      <c r="K37" s="1056"/>
      <c r="L37" s="1056"/>
      <c r="M37" s="1057"/>
      <c r="N37" s="911">
        <f>N38</f>
        <v>0</v>
      </c>
      <c r="O37" s="912">
        <f>O38</f>
        <v>0</v>
      </c>
      <c r="P37" s="913">
        <f>O37/3.571428</f>
        <v>0</v>
      </c>
      <c r="Q37" s="1058"/>
      <c r="R37" s="15"/>
      <c r="S37" s="16"/>
    </row>
    <row r="38" spans="1:19" ht="25.8" customHeight="1" x14ac:dyDescent="0.45">
      <c r="A38" s="1617">
        <v>10</v>
      </c>
      <c r="B38" s="1618" t="s">
        <v>27</v>
      </c>
      <c r="C38" s="1678">
        <f>M5</f>
        <v>3.5714285714285716</v>
      </c>
      <c r="D38" s="977" t="s">
        <v>120</v>
      </c>
      <c r="E38" s="931">
        <f>$C$38/2</f>
        <v>1.7857142857142858</v>
      </c>
      <c r="F38" s="1059" t="s">
        <v>224</v>
      </c>
      <c r="G38" s="978">
        <f>E38/1</f>
        <v>1.7857142857142858</v>
      </c>
      <c r="H38" s="507"/>
      <c r="I38" s="1467"/>
      <c r="J38" s="1396">
        <f>H38-I38</f>
        <v>0</v>
      </c>
      <c r="K38" s="1061">
        <f>(1*I38)*(6/10)</f>
        <v>0</v>
      </c>
      <c r="L38" s="1062">
        <f>I38+K38</f>
        <v>0</v>
      </c>
      <c r="M38" s="935" t="str">
        <f>IF(K38&lt;&gt;0,J38/K38,"0%")</f>
        <v>0%</v>
      </c>
      <c r="N38" s="1702">
        <f>(((G38/C38)*M38)+((G39/C38)*M39))</f>
        <v>0</v>
      </c>
      <c r="O38" s="1646">
        <f>IF((((G38/C38)*M38)+((G39/C38)*M39))&gt;=1,3.57148,IF((((G38/C38)*M38)+((G39/C38)*M39))&lt;=0,0, (((G38/C38)*M38)+((G39/C38)*M39))*3.571428))</f>
        <v>0</v>
      </c>
      <c r="P38" s="1630">
        <f>O38/3.571428</f>
        <v>0</v>
      </c>
      <c r="Q38" s="1063" t="s">
        <v>176</v>
      </c>
      <c r="R38" s="69"/>
      <c r="S38" s="237" t="s">
        <v>615</v>
      </c>
    </row>
    <row r="39" spans="1:19" ht="35.25" thickBot="1" x14ac:dyDescent="0.5">
      <c r="A39" s="1617"/>
      <c r="B39" s="1619"/>
      <c r="C39" s="1685"/>
      <c r="D39" s="982" t="s">
        <v>157</v>
      </c>
      <c r="E39" s="944">
        <f>$C$38/2</f>
        <v>1.7857142857142858</v>
      </c>
      <c r="F39" s="1064" t="s">
        <v>225</v>
      </c>
      <c r="G39" s="983">
        <f>E39/1</f>
        <v>1.7857142857142858</v>
      </c>
      <c r="H39" s="470"/>
      <c r="I39" s="496"/>
      <c r="J39" s="1397">
        <f>H39-I39</f>
        <v>0</v>
      </c>
      <c r="K39" s="1066">
        <f>IF(AND(I39&gt;=10,H39&gt;=I39),0,((10-H39)*(6/10)))</f>
        <v>6</v>
      </c>
      <c r="L39" s="1067">
        <f>I39+K39</f>
        <v>6</v>
      </c>
      <c r="M39" s="950">
        <f>IF(K39&lt;&gt;0,J39/K39,"0%")</f>
        <v>0</v>
      </c>
      <c r="N39" s="1657"/>
      <c r="O39" s="1647"/>
      <c r="P39" s="1631"/>
      <c r="Q39" s="1068" t="s">
        <v>95</v>
      </c>
      <c r="R39" s="171"/>
      <c r="S39" s="237" t="s">
        <v>615</v>
      </c>
    </row>
    <row r="40" spans="1:19" ht="20.45" customHeight="1" thickBot="1" x14ac:dyDescent="0.5">
      <c r="B40" s="1679" t="s">
        <v>28</v>
      </c>
      <c r="C40" s="1680"/>
      <c r="D40" s="1680"/>
      <c r="E40" s="1704"/>
      <c r="F40" s="1681"/>
      <c r="G40" s="1069"/>
      <c r="H40" s="134"/>
      <c r="I40" s="135"/>
      <c r="J40" s="1070"/>
      <c r="K40" s="1070"/>
      <c r="L40" s="1070"/>
      <c r="M40" s="1071"/>
      <c r="N40" s="911">
        <f>N41</f>
        <v>-0.79931972789115646</v>
      </c>
      <c r="O40" s="912">
        <f>O41</f>
        <v>0</v>
      </c>
      <c r="P40" s="913">
        <f>O40/3.571428</f>
        <v>0</v>
      </c>
      <c r="Q40" s="1072"/>
      <c r="R40" s="19"/>
      <c r="S40" s="17"/>
    </row>
    <row r="41" spans="1:19" ht="47.25" x14ac:dyDescent="0.45">
      <c r="A41" s="1617">
        <v>11</v>
      </c>
      <c r="B41" s="1705" t="s">
        <v>29</v>
      </c>
      <c r="C41" s="1707">
        <f>M5</f>
        <v>3.5714285714285716</v>
      </c>
      <c r="D41" s="1073" t="s">
        <v>121</v>
      </c>
      <c r="E41" s="1074">
        <f>$C$41/2</f>
        <v>1.7857142857142858</v>
      </c>
      <c r="F41" s="956" t="s">
        <v>30</v>
      </c>
      <c r="G41" s="1075">
        <f>E41/1</f>
        <v>1.7857142857142858</v>
      </c>
      <c r="H41" s="319">
        <v>1.02</v>
      </c>
      <c r="I41" s="1351">
        <v>1.96</v>
      </c>
      <c r="J41" s="1459">
        <f>H41-I41</f>
        <v>-0.94</v>
      </c>
      <c r="K41" s="1077">
        <f>(0.5*I41)*(6/10)</f>
        <v>0.58799999999999997</v>
      </c>
      <c r="L41" s="1078">
        <f>I41+K41</f>
        <v>2.548</v>
      </c>
      <c r="M41" s="935">
        <f>IF(K41&lt;&gt;0,J41/K41,"0%")</f>
        <v>-1.5986394557823129</v>
      </c>
      <c r="N41" s="1709">
        <f>(((G41/C41)*M41)+(G42/C41)*M42)</f>
        <v>-0.79931972789115646</v>
      </c>
      <c r="O41" s="1646">
        <f>IF((((G41/C41)*M41)+((G42/C41)*M42))&gt;=1,3.57148,IF((((G41/C41)*M41)+((G42/C41)*M42))&lt;=0,0, (((G41/C41)*M41)+((G42/C41)*M42))*3.571428))</f>
        <v>0</v>
      </c>
      <c r="P41" s="1630">
        <f>O41/3.571428</f>
        <v>0</v>
      </c>
      <c r="Q41" s="1079" t="s">
        <v>177</v>
      </c>
      <c r="R41" s="217" t="s">
        <v>830</v>
      </c>
      <c r="S41" s="522" t="s">
        <v>846</v>
      </c>
    </row>
    <row r="42" spans="1:19" ht="23.65" thickBot="1" x14ac:dyDescent="0.5">
      <c r="A42" s="1617"/>
      <c r="B42" s="1706"/>
      <c r="C42" s="1708"/>
      <c r="D42" s="1080" t="s">
        <v>122</v>
      </c>
      <c r="E42" s="1010">
        <f>$C$41/2</f>
        <v>1.7857142857142858</v>
      </c>
      <c r="F42" s="966" t="s">
        <v>31</v>
      </c>
      <c r="G42" s="1081">
        <f>E42/1</f>
        <v>1.7857142857142858</v>
      </c>
      <c r="H42" s="505"/>
      <c r="I42" s="515"/>
      <c r="J42" s="1460">
        <f>H42-I42</f>
        <v>0</v>
      </c>
      <c r="K42" s="969">
        <f>(0.5*I42)*(6/10)</f>
        <v>0</v>
      </c>
      <c r="L42" s="1083">
        <f>I42+K42</f>
        <v>0</v>
      </c>
      <c r="M42" s="950" t="str">
        <f>IF(K42&lt;&gt;0,J42/K42,"0%")</f>
        <v>0%</v>
      </c>
      <c r="N42" s="1709"/>
      <c r="O42" s="1647"/>
      <c r="P42" s="1631"/>
      <c r="Q42" s="1079" t="s">
        <v>95</v>
      </c>
      <c r="R42" s="162"/>
      <c r="S42" s="237" t="s">
        <v>615</v>
      </c>
    </row>
    <row r="43" spans="1:19" ht="30.6" customHeight="1" thickBot="1" x14ac:dyDescent="0.5">
      <c r="B43" s="1670" t="s">
        <v>32</v>
      </c>
      <c r="C43" s="1671"/>
      <c r="D43" s="1671"/>
      <c r="E43" s="1671"/>
      <c r="F43" s="1672"/>
      <c r="G43" s="1084"/>
      <c r="H43" s="136"/>
      <c r="I43" s="137"/>
      <c r="J43" s="1085"/>
      <c r="K43" s="1085"/>
      <c r="L43" s="1085"/>
      <c r="M43" s="996"/>
      <c r="N43" s="911">
        <f>N44</f>
        <v>2.210294117647059</v>
      </c>
      <c r="O43" s="912">
        <f>O44</f>
        <v>3.5714800000000002</v>
      </c>
      <c r="P43" s="913">
        <f>O43/3.571428</f>
        <v>1.0000145600023296</v>
      </c>
      <c r="Q43" s="1086"/>
      <c r="R43" s="17"/>
      <c r="S43" s="17"/>
    </row>
    <row r="44" spans="1:19" ht="37.799999999999997" customHeight="1" thickBot="1" x14ac:dyDescent="0.5">
      <c r="A44" s="1617">
        <v>12</v>
      </c>
      <c r="B44" s="1624" t="s">
        <v>33</v>
      </c>
      <c r="C44" s="1678">
        <f>M5</f>
        <v>3.5714285714285716</v>
      </c>
      <c r="D44" s="999" t="s">
        <v>123</v>
      </c>
      <c r="E44" s="1087">
        <f>C44/2</f>
        <v>1.7857142857142858</v>
      </c>
      <c r="F44" s="999" t="s">
        <v>34</v>
      </c>
      <c r="G44" s="978">
        <f>$E$44/1</f>
        <v>1.7857142857142858</v>
      </c>
      <c r="H44" s="477"/>
      <c r="I44" s="491"/>
      <c r="J44" s="1088">
        <f>IF(I44=H44,(H44-30),H44-I44)</f>
        <v>-30</v>
      </c>
      <c r="K44" s="980">
        <f>IF(I44&gt;=30,0,((30-I44)*(6/10)))</f>
        <v>18</v>
      </c>
      <c r="L44" s="1089">
        <f>I44+K44</f>
        <v>18</v>
      </c>
      <c r="M44" s="950" t="str">
        <f>IF(H44=0,"0%",J44/K44)</f>
        <v>0%</v>
      </c>
      <c r="N44" s="1702">
        <f>(((G44/C44)*M44)+((G45/C44)*M45))</f>
        <v>2.210294117647059</v>
      </c>
      <c r="O44" s="1646">
        <f>IF((((G44/C44)*M44)+((G45/C44)*M45))&gt;=1,3.57148,IF((((G44/C44)*M44)+((G45/C44)*M45))&lt;=0,0, (((G44/C44)*M44)+((G45/C44)*M45))*3.571428))</f>
        <v>3.5714800000000002</v>
      </c>
      <c r="P44" s="1630">
        <f>O44/3.571428</f>
        <v>1.0000145600023296</v>
      </c>
      <c r="Q44" s="981" t="s">
        <v>178</v>
      </c>
      <c r="R44" s="163"/>
      <c r="S44" s="237" t="s">
        <v>615</v>
      </c>
    </row>
    <row r="45" spans="1:19" ht="35.25" thickBot="1" x14ac:dyDescent="0.5">
      <c r="A45" s="1617"/>
      <c r="B45" s="1626"/>
      <c r="C45" s="1686"/>
      <c r="D45" s="1024" t="s">
        <v>124</v>
      </c>
      <c r="E45" s="1090">
        <f>(C44/2)</f>
        <v>1.7857142857142858</v>
      </c>
      <c r="F45" s="1024" t="s">
        <v>35</v>
      </c>
      <c r="G45" s="992">
        <f>$E$45/1</f>
        <v>1.7857142857142858</v>
      </c>
      <c r="H45" s="99">
        <v>75.150000000000006</v>
      </c>
      <c r="I45" s="100">
        <v>75.150000000000006</v>
      </c>
      <c r="J45" s="1091">
        <f>IF(I45=H45,(H45-17),H45-I45)</f>
        <v>58.150000000000006</v>
      </c>
      <c r="K45" s="1092">
        <f>IF(I45&gt;=17,0,((17-I45)*(6/10)))</f>
        <v>0</v>
      </c>
      <c r="L45" s="1093">
        <f>I45+K45</f>
        <v>75.150000000000006</v>
      </c>
      <c r="M45" s="962">
        <f>IF(I45&gt;=17,(1+(H45-17)/17),(H45/17))</f>
        <v>4.4205882352941179</v>
      </c>
      <c r="N45" s="1703"/>
      <c r="O45" s="1647"/>
      <c r="P45" s="1631"/>
      <c r="Q45" s="995" t="s">
        <v>179</v>
      </c>
      <c r="R45" s="165" t="s">
        <v>847</v>
      </c>
      <c r="S45" s="166" t="s">
        <v>848</v>
      </c>
    </row>
    <row r="46" spans="1:19" ht="30.6" customHeight="1" thickBot="1" x14ac:dyDescent="0.5">
      <c r="B46" s="1694" t="s">
        <v>36</v>
      </c>
      <c r="C46" s="1695"/>
      <c r="D46" s="1695"/>
      <c r="E46" s="1695"/>
      <c r="F46" s="1696"/>
      <c r="G46" s="1190"/>
      <c r="H46" s="138"/>
      <c r="I46" s="139"/>
      <c r="J46" s="1461"/>
      <c r="K46" s="1097"/>
      <c r="L46" s="1097"/>
      <c r="M46" s="1098"/>
      <c r="N46" s="911">
        <f>(N47+N50+N52)/3</f>
        <v>0.9187570065229641</v>
      </c>
      <c r="O46" s="912">
        <f>(O47+O50+O52)</f>
        <v>7.1428560000000001</v>
      </c>
      <c r="P46" s="913">
        <f>O46/10.714284</f>
        <v>0.66666666666666674</v>
      </c>
      <c r="Q46" s="1099"/>
      <c r="R46" s="20"/>
      <c r="S46" s="20"/>
    </row>
    <row r="47" spans="1:19" ht="20.45" customHeight="1" thickBot="1" x14ac:dyDescent="0.5">
      <c r="B47" s="1614" t="s">
        <v>37</v>
      </c>
      <c r="C47" s="1615"/>
      <c r="D47" s="1615"/>
      <c r="E47" s="1615"/>
      <c r="F47" s="1616"/>
      <c r="G47" s="1101"/>
      <c r="H47" s="134"/>
      <c r="I47" s="135"/>
      <c r="J47" s="1102"/>
      <c r="K47" s="1102"/>
      <c r="L47" s="1102"/>
      <c r="M47" s="996"/>
      <c r="N47" s="911">
        <f>N48</f>
        <v>0</v>
      </c>
      <c r="O47" s="912">
        <f>O48</f>
        <v>0</v>
      </c>
      <c r="P47" s="913">
        <f>O47/3.571428</f>
        <v>0</v>
      </c>
      <c r="Q47" s="1086"/>
      <c r="R47" s="17"/>
      <c r="S47" s="17"/>
    </row>
    <row r="48" spans="1:19" ht="37.799999999999997" customHeight="1" x14ac:dyDescent="0.45">
      <c r="A48" s="1617">
        <v>13</v>
      </c>
      <c r="B48" s="1624" t="s">
        <v>38</v>
      </c>
      <c r="C48" s="1678">
        <f>M5</f>
        <v>3.5714285714285716</v>
      </c>
      <c r="D48" s="999" t="s">
        <v>125</v>
      </c>
      <c r="E48" s="931">
        <f>$C$48/2</f>
        <v>1.7857142857142858</v>
      </c>
      <c r="F48" s="1103" t="s">
        <v>289</v>
      </c>
      <c r="G48" s="978">
        <f>E48/1</f>
        <v>1.7857142857142858</v>
      </c>
      <c r="H48" s="477"/>
      <c r="I48" s="491"/>
      <c r="J48" s="1001">
        <f>H48-I48</f>
        <v>0</v>
      </c>
      <c r="K48" s="1105">
        <f>(0.5*I48)* (6/10)</f>
        <v>0</v>
      </c>
      <c r="L48" s="1106">
        <f>I48-K48</f>
        <v>0</v>
      </c>
      <c r="M48" s="962" t="str">
        <f>IF(K48&lt;&gt;0,J48/K48,"0%")</f>
        <v>0%</v>
      </c>
      <c r="N48" s="1700">
        <f>(((G48/C48)*M48)+((G49/C48)*M49))</f>
        <v>0</v>
      </c>
      <c r="O48" s="1646">
        <f>IF((((G48/C48)*M48)+((G49/C48)*M49))&gt;=1,3.57148,IF((((G48/C48)*M48)+((G49/C48)*M49))&lt;=0,0, (((G48/C48)*M48)+((G49/C48)*M49))*3.571428))</f>
        <v>0</v>
      </c>
      <c r="P48" s="1630">
        <f>O48/3.571428</f>
        <v>0</v>
      </c>
      <c r="Q48" s="1021" t="s">
        <v>95</v>
      </c>
      <c r="R48" s="69"/>
      <c r="S48" s="237" t="s">
        <v>615</v>
      </c>
    </row>
    <row r="49" spans="1:19" ht="30.6" customHeight="1" thickBot="1" x14ac:dyDescent="0.5">
      <c r="A49" s="1617"/>
      <c r="B49" s="1626"/>
      <c r="C49" s="1686"/>
      <c r="D49" s="1024" t="s">
        <v>126</v>
      </c>
      <c r="E49" s="944">
        <f>$C$48/2</f>
        <v>1.7857142857142858</v>
      </c>
      <c r="F49" s="1024" t="s">
        <v>290</v>
      </c>
      <c r="G49" s="992">
        <f>E49/1</f>
        <v>1.7857142857142858</v>
      </c>
      <c r="H49" s="498"/>
      <c r="I49" s="516"/>
      <c r="J49" s="1013">
        <f>H49-I49</f>
        <v>0</v>
      </c>
      <c r="K49" s="1107">
        <f>(2*I49)*(6/10)</f>
        <v>0</v>
      </c>
      <c r="L49" s="1108">
        <f>I49+K49</f>
        <v>0</v>
      </c>
      <c r="M49" s="950" t="str">
        <f>IF(K49&lt;&gt;0,J49/K49,"0%")</f>
        <v>0%</v>
      </c>
      <c r="N49" s="1701"/>
      <c r="O49" s="1647"/>
      <c r="P49" s="1631"/>
      <c r="Q49" s="1027" t="s">
        <v>95</v>
      </c>
      <c r="R49" s="162"/>
      <c r="S49" s="237" t="s">
        <v>615</v>
      </c>
    </row>
    <row r="50" spans="1:19" ht="15" customHeight="1" thickBot="1" x14ac:dyDescent="0.5">
      <c r="B50" s="1670" t="s">
        <v>39</v>
      </c>
      <c r="C50" s="1671"/>
      <c r="D50" s="1671"/>
      <c r="E50" s="1671"/>
      <c r="F50" s="1672"/>
      <c r="G50" s="1453"/>
      <c r="H50" s="140"/>
      <c r="I50" s="141"/>
      <c r="J50" s="1110"/>
      <c r="K50" s="1110"/>
      <c r="L50" s="1110"/>
      <c r="M50" s="1111"/>
      <c r="N50" s="911">
        <f>N51</f>
        <v>1.6666666666666667</v>
      </c>
      <c r="O50" s="912">
        <f>O51</f>
        <v>3.571428</v>
      </c>
      <c r="P50" s="913">
        <f>O50/3.571428</f>
        <v>1</v>
      </c>
      <c r="Q50" s="1112"/>
      <c r="R50" s="18"/>
      <c r="S50" s="18"/>
    </row>
    <row r="51" spans="1:19" ht="30.6" customHeight="1" thickBot="1" x14ac:dyDescent="0.5">
      <c r="A51" s="21">
        <v>14</v>
      </c>
      <c r="B51" s="1113" t="s">
        <v>226</v>
      </c>
      <c r="C51" s="1114">
        <f>M5</f>
        <v>3.5714285714285716</v>
      </c>
      <c r="D51" s="1115" t="s">
        <v>272</v>
      </c>
      <c r="E51" s="1116">
        <f>C51</f>
        <v>3.5714285714285716</v>
      </c>
      <c r="F51" s="1117" t="s">
        <v>266</v>
      </c>
      <c r="G51" s="1118">
        <f>E51/1</f>
        <v>3.5714285714285716</v>
      </c>
      <c r="H51" s="636">
        <v>100</v>
      </c>
      <c r="I51" s="637">
        <v>0</v>
      </c>
      <c r="J51" s="1462">
        <f>H51-I51</f>
        <v>100</v>
      </c>
      <c r="K51" s="1120">
        <f>(100-I51)*(6/10)</f>
        <v>60</v>
      </c>
      <c r="L51" s="1121">
        <f>I51+K51</f>
        <v>60</v>
      </c>
      <c r="M51" s="971">
        <f>IF(K51&lt;&gt;0,J51/K51,"100%")</f>
        <v>1.6666666666666667</v>
      </c>
      <c r="N51" s="1040">
        <f>((G51/C51)*M51)</f>
        <v>1.6666666666666667</v>
      </c>
      <c r="O51" s="1041">
        <f>IF(((G51/C51)*M51)&gt;=1,3.571428,IF(((G51/C51)*M51)&lt;=0,0,((G51/C51)*M51)*3.571428))</f>
        <v>3.571428</v>
      </c>
      <c r="P51" s="913">
        <f>O51/3.571428</f>
        <v>1</v>
      </c>
      <c r="Q51" s="1122" t="s">
        <v>95</v>
      </c>
      <c r="R51" s="167"/>
      <c r="S51" s="638" t="s">
        <v>849</v>
      </c>
    </row>
    <row r="52" spans="1:19" ht="20.45" customHeight="1" thickBot="1" x14ac:dyDescent="0.5">
      <c r="B52" s="1670" t="s">
        <v>40</v>
      </c>
      <c r="C52" s="1671"/>
      <c r="D52" s="1671"/>
      <c r="E52" s="1671"/>
      <c r="F52" s="1672"/>
      <c r="G52" s="1101"/>
      <c r="H52" s="134"/>
      <c r="I52" s="135"/>
      <c r="J52" s="1102"/>
      <c r="K52" s="1102"/>
      <c r="L52" s="1102"/>
      <c r="M52" s="1018"/>
      <c r="N52" s="911">
        <f>N53</f>
        <v>1.0896043529022252</v>
      </c>
      <c r="O52" s="912">
        <f>O53</f>
        <v>3.571428</v>
      </c>
      <c r="P52" s="913">
        <f>O52/3.571428</f>
        <v>1</v>
      </c>
      <c r="Q52" s="1123"/>
      <c r="R52" s="18"/>
      <c r="S52" s="18"/>
    </row>
    <row r="53" spans="1:19" ht="43.8" customHeight="1" x14ac:dyDescent="0.45">
      <c r="A53" s="1617">
        <v>15</v>
      </c>
      <c r="B53" s="1618" t="s">
        <v>108</v>
      </c>
      <c r="C53" s="1678">
        <f>M5</f>
        <v>3.5714285714285716</v>
      </c>
      <c r="D53" s="1124" t="s">
        <v>127</v>
      </c>
      <c r="E53" s="1125">
        <f>$C$53/5</f>
        <v>0.7142857142857143</v>
      </c>
      <c r="F53" s="1126" t="s">
        <v>41</v>
      </c>
      <c r="G53" s="978">
        <f>E53/1</f>
        <v>0.7142857142857143</v>
      </c>
      <c r="H53" s="1446"/>
      <c r="I53" s="523"/>
      <c r="J53" s="1001">
        <f>H53-I53</f>
        <v>0</v>
      </c>
      <c r="K53" s="1105">
        <f>(100-I53)*(6/10)</f>
        <v>60</v>
      </c>
      <c r="L53" s="1062">
        <f t="shared" ref="L53:L58" si="15">I53+K53</f>
        <v>60</v>
      </c>
      <c r="M53" s="935">
        <f t="shared" ref="M53:M55" si="16">IF(K53&lt;&gt;0,J53/K53,"0%")</f>
        <v>0</v>
      </c>
      <c r="N53" s="1697">
        <f>(((G53/C53)*M53)+((G54/C53)*M54)+((G55/C53)*M55)+((G56/C53)*M56)+((G57/C53)*M57)+((G58/C53)*M58))</f>
        <v>1.0896043529022252</v>
      </c>
      <c r="O53" s="1687">
        <f>IF((((G53/C53)*M53)+((G54/C53)*M54)+((G55/C53)*M55)+((G56/C53)*M56)+((G57/C53)*M57)+((G58/C53)*M58))&gt;=1,3.571428,IF((((G53/C53)*M53)+((G54/C53)*M54)+((G55/C53)*M55)+((G56/C53)*M56)+((G57/C53)*M57)+((G58/C53)*M58))&lt;=0,0,((((G53/C53)*M53)+((G54/C53)*M54)+((G55/C53)*M55)+((G56/C53)*M56)+((G57/C53)*M57)+((G58/C53)*M58))*3.571428)))</f>
        <v>3.571428</v>
      </c>
      <c r="P53" s="1630">
        <f>O53/3.571428</f>
        <v>1</v>
      </c>
      <c r="Q53" s="1127" t="s">
        <v>95</v>
      </c>
      <c r="R53" s="168"/>
      <c r="S53" s="237" t="s">
        <v>850</v>
      </c>
    </row>
    <row r="54" spans="1:19" ht="35.450000000000003" customHeight="1" x14ac:dyDescent="0.45">
      <c r="A54" s="1617"/>
      <c r="B54" s="1619"/>
      <c r="C54" s="1685"/>
      <c r="D54" s="1128" t="s">
        <v>128</v>
      </c>
      <c r="E54" s="1129">
        <f t="shared" ref="E54:E57" si="17">$C$53/5</f>
        <v>0.7142857142857143</v>
      </c>
      <c r="F54" s="1130" t="s">
        <v>42</v>
      </c>
      <c r="G54" s="983">
        <f>E54/1</f>
        <v>0.7142857142857143</v>
      </c>
      <c r="H54" s="470"/>
      <c r="I54" s="496"/>
      <c r="J54" s="1007">
        <f>H54-I54</f>
        <v>0</v>
      </c>
      <c r="K54" s="1066">
        <f>(100-I54)*(6/6)</f>
        <v>100</v>
      </c>
      <c r="L54" s="1067">
        <f>I54+K54</f>
        <v>100</v>
      </c>
      <c r="M54" s="989">
        <f t="shared" si="16"/>
        <v>0</v>
      </c>
      <c r="N54" s="1698"/>
      <c r="O54" s="1633"/>
      <c r="P54" s="1635"/>
      <c r="Q54" s="1131" t="s">
        <v>95</v>
      </c>
      <c r="R54" s="169"/>
      <c r="S54" s="237" t="s">
        <v>615</v>
      </c>
    </row>
    <row r="55" spans="1:19" ht="34.25" customHeight="1" x14ac:dyDescent="0.45">
      <c r="A55" s="1617"/>
      <c r="B55" s="1619"/>
      <c r="C55" s="1685"/>
      <c r="D55" s="1128" t="s">
        <v>129</v>
      </c>
      <c r="E55" s="1129">
        <f t="shared" si="17"/>
        <v>0.7142857142857143</v>
      </c>
      <c r="F55" s="1130" t="s">
        <v>43</v>
      </c>
      <c r="G55" s="983">
        <f>E55/1</f>
        <v>0.7142857142857143</v>
      </c>
      <c r="H55" s="470"/>
      <c r="I55" s="496"/>
      <c r="J55" s="1007">
        <f>H55-I55</f>
        <v>0</v>
      </c>
      <c r="K55" s="1066">
        <f>(100-I55)*(6/10)</f>
        <v>60</v>
      </c>
      <c r="L55" s="1067">
        <f t="shared" si="15"/>
        <v>60</v>
      </c>
      <c r="M55" s="989">
        <f t="shared" si="16"/>
        <v>0</v>
      </c>
      <c r="N55" s="1698"/>
      <c r="O55" s="1633"/>
      <c r="P55" s="1635"/>
      <c r="Q55" s="1131" t="s">
        <v>95</v>
      </c>
      <c r="R55" s="169"/>
      <c r="S55" s="237" t="s">
        <v>615</v>
      </c>
    </row>
    <row r="56" spans="1:19" ht="37.25" customHeight="1" x14ac:dyDescent="0.45">
      <c r="A56" s="1617"/>
      <c r="B56" s="1619"/>
      <c r="C56" s="1685"/>
      <c r="D56" s="1128" t="s">
        <v>130</v>
      </c>
      <c r="E56" s="1129">
        <f t="shared" si="17"/>
        <v>0.7142857142857143</v>
      </c>
      <c r="F56" s="1130" t="s">
        <v>44</v>
      </c>
      <c r="G56" s="983">
        <f>E56/1</f>
        <v>0.7142857142857143</v>
      </c>
      <c r="H56" s="470"/>
      <c r="I56" s="496"/>
      <c r="J56" s="1007">
        <f>H56-I56</f>
        <v>0</v>
      </c>
      <c r="K56" s="1132">
        <f>(0.5*I56)*(6/7)</f>
        <v>0</v>
      </c>
      <c r="L56" s="1067">
        <f t="shared" si="15"/>
        <v>0</v>
      </c>
      <c r="M56" s="989" t="str">
        <f>IF(K56&lt;&gt;0,J56/K56,"0%")</f>
        <v>0%</v>
      </c>
      <c r="N56" s="1698"/>
      <c r="O56" s="1633"/>
      <c r="P56" s="1635"/>
      <c r="Q56" s="1131" t="s">
        <v>101</v>
      </c>
      <c r="R56" s="169"/>
      <c r="S56" s="237" t="s">
        <v>615</v>
      </c>
    </row>
    <row r="57" spans="1:19" ht="22.8" customHeight="1" x14ac:dyDescent="0.45">
      <c r="A57" s="1617"/>
      <c r="B57" s="1619"/>
      <c r="C57" s="1685"/>
      <c r="D57" s="1690" t="s">
        <v>131</v>
      </c>
      <c r="E57" s="1692">
        <f t="shared" si="17"/>
        <v>0.7142857142857143</v>
      </c>
      <c r="F57" s="1130" t="s">
        <v>45</v>
      </c>
      <c r="G57" s="983">
        <f>$E$57/2</f>
        <v>0.35714285714285715</v>
      </c>
      <c r="H57" s="321">
        <v>51.3</v>
      </c>
      <c r="I57" s="107">
        <v>41.36</v>
      </c>
      <c r="J57" s="1007">
        <f t="shared" ref="J57:J58" si="18">H57-I57</f>
        <v>9.9399999999999977</v>
      </c>
      <c r="K57" s="1133">
        <f>(1*I57)*(6/10)</f>
        <v>24.815999999999999</v>
      </c>
      <c r="L57" s="1067">
        <f t="shared" si="15"/>
        <v>66.176000000000002</v>
      </c>
      <c r="M57" s="989">
        <f>IF(K57&lt;&gt;0,J57/K57,"0%")</f>
        <v>0.40054803352675683</v>
      </c>
      <c r="N57" s="1698"/>
      <c r="O57" s="1633"/>
      <c r="P57" s="1635"/>
      <c r="Q57" s="1131" t="s">
        <v>180</v>
      </c>
      <c r="R57" s="169" t="s">
        <v>851</v>
      </c>
      <c r="S57" s="169" t="s">
        <v>852</v>
      </c>
    </row>
    <row r="58" spans="1:19" ht="15" customHeight="1" thickBot="1" x14ac:dyDescent="0.5">
      <c r="A58" s="1617"/>
      <c r="B58" s="1620"/>
      <c r="C58" s="1686"/>
      <c r="D58" s="1691"/>
      <c r="E58" s="1693"/>
      <c r="F58" s="943" t="s">
        <v>46</v>
      </c>
      <c r="G58" s="992">
        <f>$E$57/2</f>
        <v>0.35714285714285715</v>
      </c>
      <c r="H58" s="312">
        <v>2.7</v>
      </c>
      <c r="I58" s="114">
        <v>0.37</v>
      </c>
      <c r="J58" s="1013">
        <f t="shared" si="18"/>
        <v>2.33</v>
      </c>
      <c r="K58" s="1107">
        <f>(1*I58)*(6/10)</f>
        <v>0.222</v>
      </c>
      <c r="L58" s="1134">
        <f t="shared" si="15"/>
        <v>0.59199999999999997</v>
      </c>
      <c r="M58" s="950">
        <f>IF(K58&lt;&gt;0,J58/K58,"0%")</f>
        <v>10.495495495495495</v>
      </c>
      <c r="N58" s="1699"/>
      <c r="O58" s="1634"/>
      <c r="P58" s="1631"/>
      <c r="Q58" s="1135" t="s">
        <v>95</v>
      </c>
      <c r="R58" s="166" t="s">
        <v>830</v>
      </c>
      <c r="S58" s="166"/>
    </row>
    <row r="59" spans="1:19" ht="23.45" customHeight="1" thickBot="1" x14ac:dyDescent="0.5">
      <c r="B59" s="1694" t="s">
        <v>47</v>
      </c>
      <c r="C59" s="1695"/>
      <c r="D59" s="1695"/>
      <c r="E59" s="1695"/>
      <c r="F59" s="1696"/>
      <c r="G59" s="1454"/>
      <c r="H59" s="142"/>
      <c r="I59" s="143"/>
      <c r="J59" s="1137"/>
      <c r="K59" s="1137"/>
      <c r="L59" s="1137"/>
      <c r="M59" s="1098"/>
      <c r="N59" s="911">
        <f>(N60+N67)/2</f>
        <v>8.3333333333333329E-2</v>
      </c>
      <c r="O59" s="912">
        <f>(O60+O67)</f>
        <v>0.59523799999999993</v>
      </c>
      <c r="P59" s="913">
        <f>O59/7.142856</f>
        <v>8.3333333333333329E-2</v>
      </c>
      <c r="Q59" s="1138"/>
      <c r="R59" s="219"/>
      <c r="S59" s="220"/>
    </row>
    <row r="60" spans="1:19" ht="22.25" customHeight="1" thickBot="1" x14ac:dyDescent="0.5">
      <c r="B60" s="1670" t="s">
        <v>48</v>
      </c>
      <c r="C60" s="1671"/>
      <c r="D60" s="1671"/>
      <c r="E60" s="1671"/>
      <c r="F60" s="1672"/>
      <c r="G60" s="1084"/>
      <c r="H60" s="136"/>
      <c r="I60" s="137"/>
      <c r="J60" s="1017"/>
      <c r="K60" s="1017"/>
      <c r="L60" s="1017"/>
      <c r="M60" s="996"/>
      <c r="N60" s="911">
        <f>N61</f>
        <v>0.16666666666666666</v>
      </c>
      <c r="O60" s="912">
        <f>O61</f>
        <v>0.59523799999999993</v>
      </c>
      <c r="P60" s="913">
        <f>O60/3.571428</f>
        <v>0.16666666666666666</v>
      </c>
      <c r="Q60" s="997"/>
      <c r="R60" s="17"/>
      <c r="S60" s="17"/>
    </row>
    <row r="61" spans="1:19" ht="39" customHeight="1" thickBot="1" x14ac:dyDescent="0.5">
      <c r="A61" s="1617">
        <v>16</v>
      </c>
      <c r="B61" s="1618" t="s">
        <v>49</v>
      </c>
      <c r="C61" s="1678">
        <f>M5</f>
        <v>3.5714285714285716</v>
      </c>
      <c r="D61" s="999" t="s">
        <v>133</v>
      </c>
      <c r="E61" s="931">
        <f>$C$61/4</f>
        <v>0.8928571428571429</v>
      </c>
      <c r="F61" s="999" t="s">
        <v>50</v>
      </c>
      <c r="G61" s="978">
        <f>E61/1</f>
        <v>0.8928571428571429</v>
      </c>
      <c r="H61" s="489"/>
      <c r="I61" s="231"/>
      <c r="J61" s="1088">
        <f>IF(I61=H61,(H61-70),H61-I61)</f>
        <v>-70</v>
      </c>
      <c r="K61" s="980">
        <f>IF(I61&gt;=70,0,((70-I61)*(6/10)))</f>
        <v>42</v>
      </c>
      <c r="L61" s="1140">
        <f t="shared" ref="L61:L66" si="19">I61+K61</f>
        <v>42</v>
      </c>
      <c r="M61" s="950" t="str">
        <f>IF(H61=0,"0%",J61/K61)</f>
        <v>0%</v>
      </c>
      <c r="N61" s="1627">
        <f>(((G61/C61)*M61)+((G62/C61)*M62)+((G63/C61)*M63)+((G64/C61)*M64)+((G65/C61)*M65)+((G66/C61)*M66))</f>
        <v>0.16666666666666666</v>
      </c>
      <c r="O61" s="1687">
        <f>IF((((G61/C61)*M61)+((G62/C61)*M62)+((G63/C61)*M63)+((G64/C61)*M64)+((G65/C61)*M65)+((G66/C61)*M66))&gt;=1,3.571428,IF((((G61/C61)*M61)+((G62/C61)*M62)+((G63/C61)*M63)+((G64/C61)*M64)+((G65/C61)*M65)+((G66/C61)*M66))&lt;=0,0,((((G61/C61)*M61)+((G62/C61)*M62)+((G63/C61)*M63)+((G64/C61)*M64)+((G65/C61)*M65)+((G66/C61)*M66))*3.571428)))</f>
        <v>0.59523799999999993</v>
      </c>
      <c r="P61" s="1630">
        <f>O61/3.571428</f>
        <v>0.16666666666666666</v>
      </c>
      <c r="Q61" s="1063" t="s">
        <v>181</v>
      </c>
      <c r="R61" s="69"/>
      <c r="S61" s="237" t="s">
        <v>615</v>
      </c>
    </row>
    <row r="62" spans="1:19" ht="58.25" customHeight="1" thickBot="1" x14ac:dyDescent="0.5">
      <c r="A62" s="1617"/>
      <c r="B62" s="1619"/>
      <c r="C62" s="1685"/>
      <c r="D62" s="1004" t="s">
        <v>134</v>
      </c>
      <c r="E62" s="1005">
        <f t="shared" ref="E62:E63" si="20">$C$61/4</f>
        <v>0.8928571428571429</v>
      </c>
      <c r="F62" s="1128" t="s">
        <v>276</v>
      </c>
      <c r="G62" s="983">
        <f>$E$62/1</f>
        <v>0.8928571428571429</v>
      </c>
      <c r="H62" s="470"/>
      <c r="I62" s="496"/>
      <c r="J62" s="1141">
        <f>IF(I62=H62,(H62-70),H62-I62)</f>
        <v>-70</v>
      </c>
      <c r="K62" s="987">
        <f t="shared" ref="K62:K63" si="21">IF(I62&gt;=70,0,((70-I62)*(6/10)))</f>
        <v>42</v>
      </c>
      <c r="L62" s="1142">
        <f t="shared" si="19"/>
        <v>42</v>
      </c>
      <c r="M62" s="950" t="str">
        <f>IF(H62=0,"0%",J62/K62)</f>
        <v>0%</v>
      </c>
      <c r="N62" s="1628"/>
      <c r="O62" s="1633"/>
      <c r="P62" s="1635"/>
      <c r="Q62" s="1068" t="s">
        <v>182</v>
      </c>
      <c r="R62" s="171"/>
      <c r="S62" s="237" t="s">
        <v>615</v>
      </c>
    </row>
    <row r="63" spans="1:19" ht="26.45" customHeight="1" thickBot="1" x14ac:dyDescent="0.5">
      <c r="A63" s="1617"/>
      <c r="B63" s="1619"/>
      <c r="C63" s="1685"/>
      <c r="D63" s="1004" t="s">
        <v>135</v>
      </c>
      <c r="E63" s="1005">
        <f t="shared" si="20"/>
        <v>0.8928571428571429</v>
      </c>
      <c r="F63" s="1004" t="s">
        <v>51</v>
      </c>
      <c r="G63" s="983">
        <f>E63/1</f>
        <v>0.8928571428571429</v>
      </c>
      <c r="H63" s="481"/>
      <c r="I63" s="482"/>
      <c r="J63" s="1141">
        <f>IF(I63=H63,(H63-70),H63-I63)</f>
        <v>-70</v>
      </c>
      <c r="K63" s="987">
        <f t="shared" si="21"/>
        <v>42</v>
      </c>
      <c r="L63" s="1142">
        <f t="shared" si="19"/>
        <v>42</v>
      </c>
      <c r="M63" s="950" t="str">
        <f>IF(H63=0,"0%",J63/K63)</f>
        <v>0%</v>
      </c>
      <c r="N63" s="1628"/>
      <c r="O63" s="1633"/>
      <c r="P63" s="1635"/>
      <c r="Q63" s="1068" t="s">
        <v>95</v>
      </c>
      <c r="R63" s="171"/>
      <c r="S63" s="237" t="s">
        <v>615</v>
      </c>
    </row>
    <row r="64" spans="1:19" ht="15" customHeight="1" thickBot="1" x14ac:dyDescent="0.5">
      <c r="A64" s="1617"/>
      <c r="B64" s="1619"/>
      <c r="C64" s="1685"/>
      <c r="D64" s="1625" t="s">
        <v>136</v>
      </c>
      <c r="E64" s="1688">
        <f>$C$61/4</f>
        <v>0.8928571428571429</v>
      </c>
      <c r="F64" s="1143" t="s">
        <v>52</v>
      </c>
      <c r="G64" s="1144">
        <f>$E$64/3</f>
        <v>0.29761904761904762</v>
      </c>
      <c r="H64" s="650">
        <v>100</v>
      </c>
      <c r="I64" s="651">
        <v>100</v>
      </c>
      <c r="J64" s="1145">
        <f t="shared" ref="J64:J66" si="22">H64-I64</f>
        <v>0</v>
      </c>
      <c r="K64" s="1146">
        <f>(100-I64)*(6/10)</f>
        <v>0</v>
      </c>
      <c r="L64" s="1142">
        <f t="shared" si="19"/>
        <v>100</v>
      </c>
      <c r="M64" s="989" t="str">
        <f t="shared" ref="M64:M66" si="23">IF(K64&lt;&gt;0,J64/K64,"100%")</f>
        <v>100%</v>
      </c>
      <c r="N64" s="1628"/>
      <c r="O64" s="1633"/>
      <c r="P64" s="1635"/>
      <c r="Q64" s="1068" t="s">
        <v>95</v>
      </c>
      <c r="R64" s="170"/>
      <c r="S64" s="526" t="s">
        <v>544</v>
      </c>
    </row>
    <row r="65" spans="1:19" ht="23.65" thickBot="1" x14ac:dyDescent="0.5">
      <c r="A65" s="1617"/>
      <c r="B65" s="1619"/>
      <c r="C65" s="1685"/>
      <c r="D65" s="1625"/>
      <c r="E65" s="1688"/>
      <c r="F65" s="1143" t="s">
        <v>53</v>
      </c>
      <c r="G65" s="1144">
        <f t="shared" ref="G65:G66" si="24">$E$64/3</f>
        <v>0.29761904761904762</v>
      </c>
      <c r="H65" s="650">
        <v>100</v>
      </c>
      <c r="I65" s="651">
        <v>100</v>
      </c>
      <c r="J65" s="1145">
        <f t="shared" si="22"/>
        <v>0</v>
      </c>
      <c r="K65" s="1146">
        <f>(100-I65)*(6/10)</f>
        <v>0</v>
      </c>
      <c r="L65" s="1142">
        <f t="shared" si="19"/>
        <v>100</v>
      </c>
      <c r="M65" s="989" t="str">
        <f t="shared" si="23"/>
        <v>100%</v>
      </c>
      <c r="N65" s="1628"/>
      <c r="O65" s="1633"/>
      <c r="P65" s="1635"/>
      <c r="Q65" s="1068" t="s">
        <v>95</v>
      </c>
      <c r="R65" s="171"/>
      <c r="S65" s="526" t="s">
        <v>544</v>
      </c>
    </row>
    <row r="66" spans="1:19" ht="27.6" customHeight="1" thickBot="1" x14ac:dyDescent="0.5">
      <c r="A66" s="1617"/>
      <c r="B66" s="1620"/>
      <c r="C66" s="1686"/>
      <c r="D66" s="1626"/>
      <c r="E66" s="1689"/>
      <c r="F66" s="1147" t="s">
        <v>54</v>
      </c>
      <c r="G66" s="1148">
        <f t="shared" si="24"/>
        <v>0.29761904761904762</v>
      </c>
      <c r="H66" s="485"/>
      <c r="I66" s="486"/>
      <c r="J66" s="1149">
        <f t="shared" si="22"/>
        <v>0</v>
      </c>
      <c r="K66" s="1150">
        <f>(100-I66)*(6/10)</f>
        <v>60</v>
      </c>
      <c r="L66" s="1151">
        <f t="shared" si="19"/>
        <v>60</v>
      </c>
      <c r="M66" s="950">
        <f t="shared" si="23"/>
        <v>0</v>
      </c>
      <c r="N66" s="1629"/>
      <c r="O66" s="1634"/>
      <c r="P66" s="1631"/>
      <c r="Q66" s="1152" t="s">
        <v>95</v>
      </c>
      <c r="R66" s="162"/>
      <c r="S66" s="282" t="s">
        <v>853</v>
      </c>
    </row>
    <row r="67" spans="1:19" ht="27" customHeight="1" thickBot="1" x14ac:dyDescent="0.5">
      <c r="B67" s="1614" t="s">
        <v>55</v>
      </c>
      <c r="C67" s="1615"/>
      <c r="D67" s="1615"/>
      <c r="E67" s="1615"/>
      <c r="F67" s="1616"/>
      <c r="G67" s="1084"/>
      <c r="H67" s="136"/>
      <c r="I67" s="137"/>
      <c r="J67" s="1085"/>
      <c r="K67" s="1085"/>
      <c r="L67" s="1085"/>
      <c r="M67" s="996"/>
      <c r="N67" s="911">
        <f>N68</f>
        <v>0</v>
      </c>
      <c r="O67" s="912">
        <f>O68</f>
        <v>0</v>
      </c>
      <c r="P67" s="913">
        <f>O67/3.571428</f>
        <v>0</v>
      </c>
      <c r="Q67" s="1153"/>
      <c r="R67" s="109"/>
      <c r="S67" s="18"/>
    </row>
    <row r="68" spans="1:19" ht="58.5" thickBot="1" x14ac:dyDescent="0.5">
      <c r="A68" s="22">
        <v>17</v>
      </c>
      <c r="B68" s="1154" t="s">
        <v>56</v>
      </c>
      <c r="C68" s="1155">
        <f>M5</f>
        <v>3.5714285714285716</v>
      </c>
      <c r="D68" s="1154" t="s">
        <v>137</v>
      </c>
      <c r="E68" s="1155">
        <f>C68</f>
        <v>3.5714285714285716</v>
      </c>
      <c r="F68" s="1154" t="s">
        <v>57</v>
      </c>
      <c r="G68" s="1455">
        <f>E68/1</f>
        <v>3.5714285714285716</v>
      </c>
      <c r="H68" s="474"/>
      <c r="I68" s="511"/>
      <c r="J68" s="1463">
        <f>IF(I68=H68,(H68-70),I68-H68)</f>
        <v>-70</v>
      </c>
      <c r="K68" s="1051">
        <f t="shared" ref="K68" si="25">IF(I68&gt;=70,0,((70-I68)*(6/10)))</f>
        <v>42</v>
      </c>
      <c r="L68" s="1158">
        <f>I68-K68</f>
        <v>-42</v>
      </c>
      <c r="M68" s="950" t="str">
        <f>IF(H68=0,"0%",J68/K68)</f>
        <v>0%</v>
      </c>
      <c r="N68" s="1159">
        <f>((G68/C68)*M68)</f>
        <v>0</v>
      </c>
      <c r="O68" s="1041">
        <f>IF(((G68/C68)*M68)&gt;=1,3.571428,IF(((G68/C68)*M68)&lt;=0,0,((G68/C68)*M68)*3.571428))</f>
        <v>0</v>
      </c>
      <c r="P68" s="913">
        <f>O68/3.571428</f>
        <v>0</v>
      </c>
      <c r="Q68" s="1160" t="s">
        <v>132</v>
      </c>
      <c r="R68" s="110"/>
      <c r="S68" s="237" t="s">
        <v>615</v>
      </c>
    </row>
    <row r="69" spans="1:19" ht="22.25" customHeight="1" thickBot="1" x14ac:dyDescent="0.5">
      <c r="B69" s="1563" t="s">
        <v>58</v>
      </c>
      <c r="C69" s="1564"/>
      <c r="D69" s="1564"/>
      <c r="E69" s="1564"/>
      <c r="F69" s="1565"/>
      <c r="G69" s="1456"/>
      <c r="H69" s="144"/>
      <c r="I69" s="145"/>
      <c r="J69" s="92"/>
      <c r="K69" s="92"/>
      <c r="L69" s="92"/>
      <c r="M69" s="1161"/>
      <c r="N69" s="911">
        <f>(N70+N72+N74)/3</f>
        <v>0.33333333333333331</v>
      </c>
      <c r="O69" s="912">
        <f>(O70+O72+O74)</f>
        <v>3.571428</v>
      </c>
      <c r="P69" s="913">
        <f>O69/10.714284</f>
        <v>0.33333333333333337</v>
      </c>
      <c r="Q69" s="886"/>
      <c r="R69" s="12"/>
      <c r="S69" s="13"/>
    </row>
    <row r="70" spans="1:19" ht="20.45" customHeight="1" thickBot="1" x14ac:dyDescent="0.5">
      <c r="B70" s="1670" t="s">
        <v>59</v>
      </c>
      <c r="C70" s="1671"/>
      <c r="D70" s="1671"/>
      <c r="E70" s="1671"/>
      <c r="F70" s="1672"/>
      <c r="G70" s="1084"/>
      <c r="H70" s="136"/>
      <c r="I70" s="137"/>
      <c r="J70" s="997"/>
      <c r="K70" s="997"/>
      <c r="L70" s="997"/>
      <c r="M70" s="1162"/>
      <c r="N70" s="911">
        <f>N71</f>
        <v>0</v>
      </c>
      <c r="O70" s="912">
        <f>O71</f>
        <v>0</v>
      </c>
      <c r="P70" s="913">
        <f t="shared" ref="P70:P78" si="26">O70/3.571428</f>
        <v>0</v>
      </c>
      <c r="Q70" s="1123"/>
      <c r="R70" s="18"/>
      <c r="S70" s="18"/>
    </row>
    <row r="71" spans="1:19" ht="52.25" customHeight="1" thickBot="1" x14ac:dyDescent="0.5">
      <c r="A71" s="22">
        <v>18</v>
      </c>
      <c r="B71" s="1163" t="s">
        <v>60</v>
      </c>
      <c r="C71" s="1164">
        <f>M5</f>
        <v>3.5714285714285716</v>
      </c>
      <c r="D71" s="1165" t="s">
        <v>138</v>
      </c>
      <c r="E71" s="1166">
        <f>C71</f>
        <v>3.5714285714285716</v>
      </c>
      <c r="F71" s="1167" t="s">
        <v>61</v>
      </c>
      <c r="G71" s="1176">
        <f>E71/1</f>
        <v>3.5714285714285716</v>
      </c>
      <c r="H71" s="472"/>
      <c r="I71" s="511"/>
      <c r="J71" s="1464">
        <f>I71-H71</f>
        <v>0</v>
      </c>
      <c r="K71" s="1048">
        <f>(0.5*I71)*0.6</f>
        <v>0</v>
      </c>
      <c r="L71" s="1158">
        <f>I71-K71</f>
        <v>0</v>
      </c>
      <c r="M71" s="950" t="str">
        <f>IF(H71=0,"0%",J71/K71)</f>
        <v>0%</v>
      </c>
      <c r="N71" s="1159">
        <f>((G71/C71)*M71)</f>
        <v>0</v>
      </c>
      <c r="O71" s="1041">
        <f>IF(((G71/C71)*M71)&gt;=1,3.571428,IF(((G71/C71)*M71)&lt;=0,0,((G71/C71)*M71)*3.571428))</f>
        <v>0</v>
      </c>
      <c r="P71" s="913">
        <f t="shared" si="26"/>
        <v>0</v>
      </c>
      <c r="Q71" s="1170" t="s">
        <v>183</v>
      </c>
      <c r="R71" s="24"/>
      <c r="S71" s="237" t="s">
        <v>615</v>
      </c>
    </row>
    <row r="72" spans="1:19" ht="20.45" customHeight="1" thickBot="1" x14ac:dyDescent="0.5">
      <c r="B72" s="1679" t="s">
        <v>277</v>
      </c>
      <c r="C72" s="1680"/>
      <c r="D72" s="1680"/>
      <c r="E72" s="1680"/>
      <c r="F72" s="1681"/>
      <c r="G72" s="1069"/>
      <c r="H72" s="134"/>
      <c r="I72" s="135"/>
      <c r="J72" s="1056"/>
      <c r="K72" s="1056"/>
      <c r="L72" s="1056"/>
      <c r="M72" s="1057"/>
      <c r="N72" s="911">
        <f>N73</f>
        <v>0</v>
      </c>
      <c r="O72" s="912">
        <f>O73</f>
        <v>0</v>
      </c>
      <c r="P72" s="913">
        <f t="shared" si="26"/>
        <v>0</v>
      </c>
      <c r="Q72" s="1171"/>
      <c r="R72" s="18"/>
      <c r="S72" s="18"/>
    </row>
    <row r="73" spans="1:19" ht="45" customHeight="1" thickBot="1" x14ac:dyDescent="0.5">
      <c r="A73" s="22">
        <v>19</v>
      </c>
      <c r="B73" s="1172" t="s">
        <v>62</v>
      </c>
      <c r="C73" s="1173">
        <f>M5</f>
        <v>3.5714285714285716</v>
      </c>
      <c r="D73" s="1174" t="s">
        <v>139</v>
      </c>
      <c r="E73" s="1173">
        <f>C73</f>
        <v>3.5714285714285716</v>
      </c>
      <c r="F73" s="1175" t="s">
        <v>63</v>
      </c>
      <c r="G73" s="1176">
        <f>E73/1</f>
        <v>3.5714285714285716</v>
      </c>
      <c r="H73" s="472"/>
      <c r="I73" s="511"/>
      <c r="J73" s="1465">
        <f>I73-H73</f>
        <v>0</v>
      </c>
      <c r="K73" s="1178">
        <f>IF(H73&gt;0,(H73),I73)</f>
        <v>0</v>
      </c>
      <c r="L73" s="1179">
        <f>I73-K73</f>
        <v>0</v>
      </c>
      <c r="M73" s="950" t="str">
        <f>IF(H73=0,"0%",J73/K73)</f>
        <v>0%</v>
      </c>
      <c r="N73" s="1159">
        <f>((G73/C73)*M73)</f>
        <v>0</v>
      </c>
      <c r="O73" s="1041">
        <f>IF(((G73/C73)*M73)&gt;=1,3.571428,IF(((G73/C73)*M73)&lt;=0,0,((G73/C73)*M73)*3.571428))</f>
        <v>0</v>
      </c>
      <c r="P73" s="913">
        <f t="shared" si="26"/>
        <v>0</v>
      </c>
      <c r="Q73" s="1180" t="s">
        <v>95</v>
      </c>
      <c r="R73" s="24"/>
      <c r="S73" s="237" t="s">
        <v>615</v>
      </c>
    </row>
    <row r="74" spans="1:19" ht="30.6" customHeight="1" thickBot="1" x14ac:dyDescent="0.5">
      <c r="B74" s="1670" t="s">
        <v>64</v>
      </c>
      <c r="C74" s="1671"/>
      <c r="D74" s="1671"/>
      <c r="E74" s="1671"/>
      <c r="F74" s="1672"/>
      <c r="G74" s="997"/>
      <c r="H74" s="136"/>
      <c r="I74" s="137"/>
      <c r="J74" s="997"/>
      <c r="K74" s="997"/>
      <c r="L74" s="997"/>
      <c r="M74" s="996"/>
      <c r="N74" s="911">
        <f>N75</f>
        <v>1</v>
      </c>
      <c r="O74" s="912">
        <f>O75</f>
        <v>3.571428</v>
      </c>
      <c r="P74" s="913">
        <f t="shared" si="26"/>
        <v>1</v>
      </c>
      <c r="Q74" s="1123"/>
      <c r="R74" s="18"/>
      <c r="S74" s="18"/>
    </row>
    <row r="75" spans="1:19" ht="29.45" customHeight="1" thickBot="1" x14ac:dyDescent="0.5">
      <c r="A75" s="22">
        <v>20</v>
      </c>
      <c r="B75" s="1172" t="s">
        <v>65</v>
      </c>
      <c r="C75" s="1035">
        <f>M5</f>
        <v>3.5714285714285716</v>
      </c>
      <c r="D75" s="1165" t="s">
        <v>140</v>
      </c>
      <c r="E75" s="1181">
        <f>C75</f>
        <v>3.5714285714285716</v>
      </c>
      <c r="F75" s="1174" t="s">
        <v>66</v>
      </c>
      <c r="G75" s="1176">
        <f>E75/1</f>
        <v>3.5714285714285716</v>
      </c>
      <c r="H75" s="326">
        <v>1</v>
      </c>
      <c r="I75" s="325">
        <v>1</v>
      </c>
      <c r="J75" s="1462">
        <f>H75-I75</f>
        <v>0</v>
      </c>
      <c r="K75" s="1120">
        <f>IF(AND(H75=0,I75=1)," 1",(H75-I75))</f>
        <v>0</v>
      </c>
      <c r="L75" s="1182">
        <f>I75+K75</f>
        <v>1</v>
      </c>
      <c r="M75" s="1183">
        <f>(IF(I75=1,1,(J75/K75)))</f>
        <v>1</v>
      </c>
      <c r="N75" s="1159">
        <f>((G75/C75)*M75)</f>
        <v>1</v>
      </c>
      <c r="O75" s="1041">
        <f>IF(((G75/C75)*M75)&gt;=1,3.571428,IF(((G75/C75)*M75)&lt;=0,0,((G75/C75)*M75)*3.571428))</f>
        <v>3.571428</v>
      </c>
      <c r="P75" s="913">
        <f t="shared" si="26"/>
        <v>1</v>
      </c>
      <c r="Q75" s="1184" t="s">
        <v>95</v>
      </c>
      <c r="R75" s="82"/>
      <c r="S75" s="110"/>
    </row>
    <row r="76" spans="1:19" ht="20.45" customHeight="1" thickBot="1" x14ac:dyDescent="0.5">
      <c r="B76" s="1682" t="s">
        <v>67</v>
      </c>
      <c r="C76" s="1683"/>
      <c r="D76" s="1683"/>
      <c r="E76" s="1683"/>
      <c r="F76" s="1684"/>
      <c r="G76" s="1186"/>
      <c r="H76" s="146"/>
      <c r="I76" s="147"/>
      <c r="J76" s="885"/>
      <c r="K76" s="885"/>
      <c r="L76" s="885"/>
      <c r="M76" s="1185"/>
      <c r="N76" s="911">
        <f t="shared" ref="N76:O77" si="27">N77</f>
        <v>0</v>
      </c>
      <c r="O76" s="912">
        <f t="shared" si="27"/>
        <v>0</v>
      </c>
      <c r="P76" s="913">
        <f t="shared" si="26"/>
        <v>0</v>
      </c>
      <c r="Q76" s="1187"/>
      <c r="R76" s="23"/>
      <c r="S76" s="23"/>
    </row>
    <row r="77" spans="1:19" ht="20.45" customHeight="1" thickBot="1" x14ac:dyDescent="0.5">
      <c r="B77" s="1670" t="s">
        <v>68</v>
      </c>
      <c r="C77" s="1671"/>
      <c r="D77" s="1671"/>
      <c r="E77" s="1671"/>
      <c r="F77" s="1672"/>
      <c r="G77" s="1084"/>
      <c r="H77" s="136"/>
      <c r="I77" s="137"/>
      <c r="J77" s="1017"/>
      <c r="K77" s="1017"/>
      <c r="L77" s="1017"/>
      <c r="M77" s="998"/>
      <c r="N77" s="911">
        <f t="shared" si="27"/>
        <v>0</v>
      </c>
      <c r="O77" s="912">
        <f t="shared" si="27"/>
        <v>0</v>
      </c>
      <c r="P77" s="913">
        <f t="shared" si="26"/>
        <v>0</v>
      </c>
      <c r="Q77" s="1123"/>
      <c r="R77" s="18"/>
      <c r="S77" s="18"/>
    </row>
    <row r="78" spans="1:19" ht="35.25" thickBot="1" x14ac:dyDescent="0.5">
      <c r="A78" s="22">
        <v>21</v>
      </c>
      <c r="B78" s="1172" t="s">
        <v>69</v>
      </c>
      <c r="C78" s="1181">
        <f>M5</f>
        <v>3.5714285714285716</v>
      </c>
      <c r="D78" s="1188" t="s">
        <v>141</v>
      </c>
      <c r="E78" s="1181">
        <f>C78</f>
        <v>3.5714285714285716</v>
      </c>
      <c r="F78" s="1188" t="s">
        <v>70</v>
      </c>
      <c r="G78" s="1457">
        <f>E78/1</f>
        <v>3.5714285714285716</v>
      </c>
      <c r="H78" s="472"/>
      <c r="I78" s="511"/>
      <c r="J78" s="1463">
        <f>IF(I78=H78,(H78-60),H78-I78)</f>
        <v>-60</v>
      </c>
      <c r="K78" s="1051">
        <f>IF(I78&gt;=60,0,((60-I78)*(6/10)))</f>
        <v>36</v>
      </c>
      <c r="L78" s="1158">
        <f t="shared" ref="L78" si="28">K78+I78</f>
        <v>36</v>
      </c>
      <c r="M78" s="1039">
        <f>IF(I78&gt;=60,(1+(H78-60)/60),(H78/L78))</f>
        <v>0</v>
      </c>
      <c r="N78" s="1159">
        <f>((G78/C78)*M78)</f>
        <v>0</v>
      </c>
      <c r="O78" s="1041">
        <f>IF(((G78/C78)*M78)&gt;=1,3.571428,IF(((G78/C78)*M78)&lt;=0,0,((G78/C78)*M78)*3.571428))</f>
        <v>0</v>
      </c>
      <c r="P78" s="913">
        <f t="shared" si="26"/>
        <v>0</v>
      </c>
      <c r="Q78" s="1189" t="s">
        <v>95</v>
      </c>
      <c r="R78" s="24"/>
      <c r="S78" s="1447" t="s">
        <v>854</v>
      </c>
    </row>
    <row r="79" spans="1:19" ht="21.6" customHeight="1" thickBot="1" x14ac:dyDescent="0.5">
      <c r="B79" s="1673" t="s">
        <v>71</v>
      </c>
      <c r="C79" s="1674"/>
      <c r="D79" s="1674"/>
      <c r="E79" s="1674"/>
      <c r="F79" s="1675"/>
      <c r="G79" s="1186"/>
      <c r="H79" s="146"/>
      <c r="I79" s="147"/>
      <c r="J79" s="1191"/>
      <c r="K79" s="1191"/>
      <c r="L79" s="1191"/>
      <c r="M79" s="1185"/>
      <c r="N79" s="911">
        <f>(N80+N86)/2</f>
        <v>-3.1574820788530467</v>
      </c>
      <c r="O79" s="912">
        <f>(O80+O86)</f>
        <v>0</v>
      </c>
      <c r="P79" s="913">
        <f>O79/10.714284</f>
        <v>0</v>
      </c>
      <c r="Q79" s="1187"/>
      <c r="R79" s="23"/>
      <c r="S79" s="23"/>
    </row>
    <row r="80" spans="1:19" ht="20.45" customHeight="1" thickBot="1" x14ac:dyDescent="0.5">
      <c r="B80" s="1614" t="s">
        <v>72</v>
      </c>
      <c r="C80" s="1615"/>
      <c r="D80" s="1615"/>
      <c r="E80" s="1615"/>
      <c r="F80" s="1616"/>
      <c r="G80" s="1016"/>
      <c r="H80" s="148"/>
      <c r="I80" s="149"/>
      <c r="J80" s="997"/>
      <c r="K80" s="997"/>
      <c r="L80" s="997"/>
      <c r="M80" s="1018"/>
      <c r="N80" s="911">
        <f>(N81+N83)/2</f>
        <v>0</v>
      </c>
      <c r="O80" s="912">
        <f>(O81+O83)</f>
        <v>0</v>
      </c>
      <c r="P80" s="913">
        <f>O80/7.142856</f>
        <v>0</v>
      </c>
      <c r="Q80" s="1192"/>
      <c r="R80" s="17"/>
      <c r="S80" s="17"/>
    </row>
    <row r="81" spans="1:19" ht="46.9" thickBot="1" x14ac:dyDescent="0.5">
      <c r="A81" s="22"/>
      <c r="B81" s="1676" t="s">
        <v>73</v>
      </c>
      <c r="C81" s="1678">
        <f>M5</f>
        <v>3.5714285714285716</v>
      </c>
      <c r="D81" s="999" t="s">
        <v>267</v>
      </c>
      <c r="E81" s="931">
        <f>$C$81/2</f>
        <v>1.7857142857142858</v>
      </c>
      <c r="F81" s="1124" t="s">
        <v>278</v>
      </c>
      <c r="G81" s="978">
        <f>E81/1</f>
        <v>1.7857142857142858</v>
      </c>
      <c r="H81" s="477"/>
      <c r="I81" s="491"/>
      <c r="J81" s="1088">
        <f>IF(I81=H81,(H81-50),H81-I81)</f>
        <v>-50</v>
      </c>
      <c r="K81" s="980">
        <f>IF(I81&gt;=50,0,((50-I81)*(6/10)))</f>
        <v>30</v>
      </c>
      <c r="L81" s="1193">
        <f>I81+K81</f>
        <v>30</v>
      </c>
      <c r="M81" s="950" t="str">
        <f>IF(H81=0,"0%",J81/K81)</f>
        <v>0%</v>
      </c>
      <c r="N81" s="1627">
        <f>(((G81/C81)*M81)+((G82/C81)*M82))</f>
        <v>0</v>
      </c>
      <c r="O81" s="1646">
        <f>IF((((G81/C81)*M81)+((G82/C81)*M82))&gt;=1,3.57148,IF((((G81/C81)*M81)+((G82/C81)*M82))&lt;=0,0, (((G81/C81)*M81)+((G82/C81)*M82))*3.571428))</f>
        <v>0</v>
      </c>
      <c r="P81" s="1630">
        <f>O81/3.571428</f>
        <v>0</v>
      </c>
      <c r="Q81" s="1194" t="s">
        <v>279</v>
      </c>
      <c r="R81" s="226"/>
      <c r="S81" s="239" t="s">
        <v>615</v>
      </c>
    </row>
    <row r="82" spans="1:19" ht="39.6" customHeight="1" thickBot="1" x14ac:dyDescent="0.5">
      <c r="A82" s="22"/>
      <c r="B82" s="1677"/>
      <c r="C82" s="1575"/>
      <c r="D82" s="1024" t="s">
        <v>268</v>
      </c>
      <c r="E82" s="944">
        <f>$C$81/2</f>
        <v>1.7857142857142858</v>
      </c>
      <c r="F82" s="1025" t="s">
        <v>74</v>
      </c>
      <c r="G82" s="992">
        <f>E82/1</f>
        <v>1.7857142857142858</v>
      </c>
      <c r="H82" s="475"/>
      <c r="I82" s="492"/>
      <c r="J82" s="1195">
        <f>IF(I82=H82,(H82-30),H82-I82)</f>
        <v>-30</v>
      </c>
      <c r="K82" s="994">
        <f>IF(I82&gt;=30,0,((30-I82)*(6/10)))</f>
        <v>18</v>
      </c>
      <c r="L82" s="1196">
        <f t="shared" ref="L82" si="29">K82+I82</f>
        <v>18</v>
      </c>
      <c r="M82" s="950">
        <f>IF(I82&gt;=30,(1+(H82-30)/30),(H82/L82))</f>
        <v>0</v>
      </c>
      <c r="N82" s="1629"/>
      <c r="O82" s="1647"/>
      <c r="P82" s="1631"/>
      <c r="Q82" s="1197" t="s">
        <v>282</v>
      </c>
      <c r="R82" s="172"/>
      <c r="S82" s="282" t="s">
        <v>615</v>
      </c>
    </row>
    <row r="83" spans="1:19" ht="60" customHeight="1" x14ac:dyDescent="0.45">
      <c r="A83" s="22"/>
      <c r="B83" s="1660" t="s">
        <v>142</v>
      </c>
      <c r="C83" s="1662">
        <f>M5</f>
        <v>3.5714285714285716</v>
      </c>
      <c r="D83" s="1198" t="s">
        <v>145</v>
      </c>
      <c r="E83" s="931">
        <f>$C$81/3</f>
        <v>1.1904761904761905</v>
      </c>
      <c r="F83" s="999" t="s">
        <v>143</v>
      </c>
      <c r="G83" s="978">
        <f>E83/1</f>
        <v>1.1904761904761905</v>
      </c>
      <c r="H83" s="846"/>
      <c r="I83" s="848"/>
      <c r="J83" s="1199">
        <f>I83-H83</f>
        <v>0</v>
      </c>
      <c r="K83" s="1077">
        <f>(0.2*I83)*(6/10)</f>
        <v>0</v>
      </c>
      <c r="L83" s="1200">
        <f>I83-K83</f>
        <v>0</v>
      </c>
      <c r="M83" s="935" t="str">
        <f>IF(K83&lt;&gt;0,J83/K83,"0%")</f>
        <v>0%</v>
      </c>
      <c r="N83" s="1665">
        <f>(((G83/C83)*M83)+((G84/C83)*M84)+((G85/C83)*M85))</f>
        <v>0</v>
      </c>
      <c r="O83" s="1632">
        <f>IF((((G83/C83)*M83)+((G84/C83)*M84)+((G85/C83)*M85))&gt;=1,3.571428,IF((((G83/C83)*M83)+((G84/C83)*M84)+((G85/C83)*M85))&lt;=0,0,(((G83/C83)*M83)+((G84/C83)*M84)+((G85/C83)*M85))*3.571428))</f>
        <v>0</v>
      </c>
      <c r="P83" s="1630">
        <f>O83/3.571428</f>
        <v>0</v>
      </c>
      <c r="Q83" s="1201" t="s">
        <v>184</v>
      </c>
      <c r="R83" s="227"/>
      <c r="S83" s="1448" t="s">
        <v>615</v>
      </c>
    </row>
    <row r="84" spans="1:19" ht="45" customHeight="1" thickBot="1" x14ac:dyDescent="0.5">
      <c r="A84" s="22"/>
      <c r="B84" s="1660"/>
      <c r="C84" s="1663"/>
      <c r="D84" s="1202" t="s">
        <v>146</v>
      </c>
      <c r="E84" s="1005">
        <f t="shared" ref="E84:E85" si="30">$C$81/3</f>
        <v>1.1904761904761905</v>
      </c>
      <c r="F84" s="1128" t="s">
        <v>283</v>
      </c>
      <c r="G84" s="983">
        <f>E84/1</f>
        <v>1.1904761904761905</v>
      </c>
      <c r="H84" s="471"/>
      <c r="I84" s="478"/>
      <c r="J84" s="1203">
        <f>I84-H84</f>
        <v>0</v>
      </c>
      <c r="K84" s="1077">
        <f>(0.5*I84)*(6/10)</f>
        <v>0</v>
      </c>
      <c r="L84" s="1204">
        <f>I84-K84</f>
        <v>0</v>
      </c>
      <c r="M84" s="950" t="str">
        <f>IF(H84=0,"0%",J84/K84)</f>
        <v>0%</v>
      </c>
      <c r="N84" s="1666"/>
      <c r="O84" s="1633"/>
      <c r="P84" s="1635"/>
      <c r="Q84" s="1205" t="s">
        <v>185</v>
      </c>
      <c r="R84" s="173"/>
      <c r="S84" s="237" t="s">
        <v>615</v>
      </c>
    </row>
    <row r="85" spans="1:19" ht="38.450000000000003" customHeight="1" thickBot="1" x14ac:dyDescent="0.5">
      <c r="A85" s="22"/>
      <c r="B85" s="1661"/>
      <c r="C85" s="1664"/>
      <c r="D85" s="1206" t="s">
        <v>147</v>
      </c>
      <c r="E85" s="944">
        <f t="shared" si="30"/>
        <v>1.1904761904761905</v>
      </c>
      <c r="F85" s="1025" t="s">
        <v>144</v>
      </c>
      <c r="G85" s="992">
        <f>E85/1</f>
        <v>1.1904761904761905</v>
      </c>
      <c r="H85" s="475"/>
      <c r="I85" s="492"/>
      <c r="J85" s="1207">
        <f>H85-I85</f>
        <v>0</v>
      </c>
      <c r="K85" s="1208">
        <f>(100-I85)*(6/10)</f>
        <v>60</v>
      </c>
      <c r="L85" s="1209">
        <f>I85+K85</f>
        <v>60</v>
      </c>
      <c r="M85" s="971">
        <f>IF(K85&lt;&gt;0,J85/K85,"0%")</f>
        <v>0</v>
      </c>
      <c r="N85" s="1667"/>
      <c r="O85" s="1634"/>
      <c r="P85" s="1631"/>
      <c r="Q85" s="1210" t="s">
        <v>284</v>
      </c>
      <c r="R85" s="256"/>
      <c r="S85" s="237" t="s">
        <v>615</v>
      </c>
    </row>
    <row r="86" spans="1:19" ht="20.45" customHeight="1" thickBot="1" x14ac:dyDescent="0.5">
      <c r="B86" s="1648" t="s">
        <v>75</v>
      </c>
      <c r="C86" s="1649"/>
      <c r="D86" s="1649"/>
      <c r="E86" s="1649"/>
      <c r="F86" s="1650"/>
      <c r="G86" s="1211"/>
      <c r="H86" s="150"/>
      <c r="I86" s="151"/>
      <c r="J86" s="1212"/>
      <c r="K86" s="1212"/>
      <c r="L86" s="1212"/>
      <c r="M86" s="1018"/>
      <c r="N86" s="911">
        <f>N87</f>
        <v>-6.3149641577060933</v>
      </c>
      <c r="O86" s="912">
        <f>O87</f>
        <v>0</v>
      </c>
      <c r="P86" s="913">
        <f>O86/3.571428</f>
        <v>0</v>
      </c>
      <c r="Q86" s="1085"/>
      <c r="R86" s="18"/>
      <c r="S86" s="18"/>
    </row>
    <row r="87" spans="1:19" ht="27.6" customHeight="1" x14ac:dyDescent="0.45">
      <c r="A87" s="1651">
        <v>24</v>
      </c>
      <c r="B87" s="1652" t="s">
        <v>76</v>
      </c>
      <c r="C87" s="1654">
        <f>M5</f>
        <v>3.5714285714285716</v>
      </c>
      <c r="D87" s="1073" t="s">
        <v>159</v>
      </c>
      <c r="E87" s="1074">
        <f>($C$87/3)</f>
        <v>1.1904761904761905</v>
      </c>
      <c r="F87" s="1213" t="s">
        <v>285</v>
      </c>
      <c r="G87" s="1214">
        <f>E87/1</f>
        <v>1.1904761904761905</v>
      </c>
      <c r="H87" s="322">
        <v>12.2</v>
      </c>
      <c r="I87" s="323">
        <v>3.1</v>
      </c>
      <c r="J87" s="1199">
        <f>I87-H87</f>
        <v>-9.1</v>
      </c>
      <c r="K87" s="1216">
        <f>(0.25*I87)*(6/10)</f>
        <v>0.46499999999999997</v>
      </c>
      <c r="L87" s="1217">
        <f>I87-K87</f>
        <v>2.6350000000000002</v>
      </c>
      <c r="M87" s="935">
        <f>IF(K87&lt;&gt;0,J87/K87,"0%")</f>
        <v>-19.56989247311828</v>
      </c>
      <c r="N87" s="1657">
        <f>(((G87/C87)*M87)+((G88/C87)*M88)+((G89/C87)*M89)+((G90/C87)*M90)+((G91/C87)*M91))</f>
        <v>-6.3149641577060933</v>
      </c>
      <c r="O87" s="1632">
        <f>IF((((G87/C87)*M87)+((G88/C87)*M88)+((G89/C87)*M89)+((G90/C87)*M90)+((G91/C87)*M91))&gt;=1,3.571428,IF((((G87/C87)*M87)+((G88/C87)*M88)+((G89/C87)*M89)+((G90/C87)*M90)+((G91/C87)*M91))&lt;=0,0,((((G87/C87)*M87)+((G88/C87)*M88)+((G89/C87)*M89)+((G90/C87)*M90)+((G91/C87)*M91))*3.571428)))</f>
        <v>0</v>
      </c>
      <c r="P87" s="1630">
        <f>O87/3.571428</f>
        <v>0</v>
      </c>
      <c r="Q87" s="1218" t="s">
        <v>186</v>
      </c>
      <c r="R87" s="176"/>
      <c r="S87" s="1449"/>
    </row>
    <row r="88" spans="1:19" ht="25.8" customHeight="1" thickBot="1" x14ac:dyDescent="0.5">
      <c r="A88" s="1651"/>
      <c r="B88" s="1652"/>
      <c r="C88" s="1655"/>
      <c r="D88" s="1668" t="s">
        <v>160</v>
      </c>
      <c r="E88" s="1669">
        <f>C87/3</f>
        <v>1.1904761904761905</v>
      </c>
      <c r="F88" s="1006" t="s">
        <v>77</v>
      </c>
      <c r="G88" s="1219">
        <f>$E$88/3</f>
        <v>0.3968253968253968</v>
      </c>
      <c r="H88" s="481"/>
      <c r="I88" s="482"/>
      <c r="J88" s="1203">
        <f>I88-H88</f>
        <v>0</v>
      </c>
      <c r="K88" s="1221">
        <f>I88*(6/10)</f>
        <v>0</v>
      </c>
      <c r="L88" s="1222">
        <f>I88-K88</f>
        <v>0</v>
      </c>
      <c r="M88" s="989" t="str">
        <f>IF(K88&lt;&gt;0,J88/K88,"0%")</f>
        <v>0%</v>
      </c>
      <c r="N88" s="1658"/>
      <c r="O88" s="1633"/>
      <c r="P88" s="1635"/>
      <c r="Q88" s="1223" t="s">
        <v>187</v>
      </c>
      <c r="R88" s="178"/>
      <c r="S88" s="282" t="s">
        <v>615</v>
      </c>
    </row>
    <row r="89" spans="1:19" ht="59.65" customHeight="1" thickBot="1" x14ac:dyDescent="0.5">
      <c r="A89" s="1651"/>
      <c r="B89" s="1652"/>
      <c r="C89" s="1655"/>
      <c r="D89" s="1668"/>
      <c r="E89" s="1669"/>
      <c r="F89" s="1006" t="s">
        <v>78</v>
      </c>
      <c r="G89" s="1219">
        <f>$E$88/3</f>
        <v>0.3968253968253968</v>
      </c>
      <c r="H89" s="481"/>
      <c r="I89" s="482"/>
      <c r="J89" s="1203">
        <f>I89-H89</f>
        <v>0</v>
      </c>
      <c r="K89" s="1221">
        <f>I89*(6/10)</f>
        <v>0</v>
      </c>
      <c r="L89" s="1222">
        <f>I89-K89</f>
        <v>0</v>
      </c>
      <c r="M89" s="989" t="str">
        <f>IF(K89&lt;&gt;0,J89/K89,"0%")</f>
        <v>0%</v>
      </c>
      <c r="N89" s="1658"/>
      <c r="O89" s="1633"/>
      <c r="P89" s="1635"/>
      <c r="Q89" s="1223" t="s">
        <v>188</v>
      </c>
      <c r="R89" s="178"/>
      <c r="S89" s="282" t="s">
        <v>615</v>
      </c>
    </row>
    <row r="90" spans="1:19" ht="26.45" customHeight="1" thickBot="1" x14ac:dyDescent="0.5">
      <c r="A90" s="1651"/>
      <c r="B90" s="1652"/>
      <c r="C90" s="1655"/>
      <c r="D90" s="1668"/>
      <c r="E90" s="1669"/>
      <c r="F90" s="1006" t="s">
        <v>79</v>
      </c>
      <c r="G90" s="1219">
        <f>$E$88/3</f>
        <v>0.3968253968253968</v>
      </c>
      <c r="H90" s="483"/>
      <c r="I90" s="484"/>
      <c r="J90" s="1203">
        <f>I90-H90</f>
        <v>0</v>
      </c>
      <c r="K90" s="1224">
        <f>(I90)*(6/10)</f>
        <v>0</v>
      </c>
      <c r="L90" s="1225">
        <f>I90-K90</f>
        <v>0</v>
      </c>
      <c r="M90" s="950" t="str">
        <f>IF(H90=0,"0%",J90/K90)</f>
        <v>0%</v>
      </c>
      <c r="N90" s="1658"/>
      <c r="O90" s="1633"/>
      <c r="P90" s="1635"/>
      <c r="Q90" s="1226" t="s">
        <v>189</v>
      </c>
      <c r="R90" s="178"/>
      <c r="S90" s="282" t="s">
        <v>615</v>
      </c>
    </row>
    <row r="91" spans="1:19" ht="40.799999999999997" customHeight="1" thickBot="1" x14ac:dyDescent="0.5">
      <c r="A91" s="1651"/>
      <c r="B91" s="1653"/>
      <c r="C91" s="1656"/>
      <c r="D91" s="991" t="s">
        <v>161</v>
      </c>
      <c r="E91" s="944">
        <f>$C$87/3</f>
        <v>1.1904761904761905</v>
      </c>
      <c r="F91" s="1227" t="s">
        <v>80</v>
      </c>
      <c r="G91" s="1228">
        <f>E91/1</f>
        <v>1.1904761904761905</v>
      </c>
      <c r="H91" s="117">
        <v>50</v>
      </c>
      <c r="I91" s="124">
        <v>50</v>
      </c>
      <c r="J91" s="1207">
        <f>H91-I91</f>
        <v>0</v>
      </c>
      <c r="K91" s="1208">
        <f>(100-I91)*(6/10)</f>
        <v>30</v>
      </c>
      <c r="L91" s="1230">
        <f>I91+K91</f>
        <v>80</v>
      </c>
      <c r="M91" s="950">
        <f>IF(I91&gt;=60,(1+(H91-60)/60),(H91/L91))</f>
        <v>0.625</v>
      </c>
      <c r="N91" s="1659"/>
      <c r="O91" s="1634"/>
      <c r="P91" s="1631"/>
      <c r="Q91" s="1231" t="s">
        <v>95</v>
      </c>
      <c r="R91" s="179"/>
      <c r="S91" s="526" t="s">
        <v>544</v>
      </c>
    </row>
    <row r="92" spans="1:19" ht="14.65" thickBot="1" x14ac:dyDescent="0.5">
      <c r="B92" s="1586" t="s">
        <v>81</v>
      </c>
      <c r="C92" s="1587"/>
      <c r="D92" s="1587"/>
      <c r="E92" s="1587"/>
      <c r="F92" s="1588"/>
      <c r="G92" s="11"/>
      <c r="H92" s="146"/>
      <c r="I92" s="147"/>
      <c r="J92" s="11"/>
      <c r="K92" s="11"/>
      <c r="L92" s="11"/>
      <c r="M92" s="223"/>
      <c r="N92" s="911">
        <f>(N93+N97)/2</f>
        <v>0.31428836863619469</v>
      </c>
      <c r="O92" s="912">
        <f>(O93+O97)</f>
        <v>2.3809519999999997</v>
      </c>
      <c r="P92" s="913">
        <f>O92/14.285712</f>
        <v>0.16666666666666666</v>
      </c>
      <c r="Q92" s="1099"/>
      <c r="R92" s="20"/>
      <c r="S92" s="23"/>
    </row>
    <row r="93" spans="1:19" ht="20.45" customHeight="1" thickBot="1" x14ac:dyDescent="0.5">
      <c r="B93" s="1614" t="s">
        <v>82</v>
      </c>
      <c r="C93" s="1615"/>
      <c r="D93" s="1615"/>
      <c r="E93" s="1615"/>
      <c r="F93" s="1616"/>
      <c r="G93" s="1084"/>
      <c r="H93" s="136"/>
      <c r="I93" s="137"/>
      <c r="J93" s="1017"/>
      <c r="K93" s="1017"/>
      <c r="L93" s="1017"/>
      <c r="M93" s="1018"/>
      <c r="N93" s="911">
        <f>N94</f>
        <v>0.66666666666666663</v>
      </c>
      <c r="O93" s="912">
        <f>O94</f>
        <v>2.3809519999999997</v>
      </c>
      <c r="P93" s="913">
        <f>O93/3.571428</f>
        <v>0.66666666666666663</v>
      </c>
      <c r="Q93" s="1086"/>
      <c r="R93" s="17"/>
      <c r="S93" s="18"/>
    </row>
    <row r="94" spans="1:19" ht="34.799999999999997" customHeight="1" x14ac:dyDescent="0.45">
      <c r="A94" s="1617">
        <v>25</v>
      </c>
      <c r="B94" s="1618" t="s">
        <v>83</v>
      </c>
      <c r="C94" s="1621">
        <f>M5</f>
        <v>3.5714285714285716</v>
      </c>
      <c r="D94" s="1624" t="s">
        <v>214</v>
      </c>
      <c r="E94" s="1087">
        <f>$C$94/3</f>
        <v>1.1904761904761905</v>
      </c>
      <c r="F94" s="999" t="s">
        <v>269</v>
      </c>
      <c r="G94" s="1232">
        <f>E94/1</f>
        <v>1.1904761904761905</v>
      </c>
      <c r="H94" s="308">
        <v>100</v>
      </c>
      <c r="I94" s="309">
        <v>100</v>
      </c>
      <c r="J94" s="1466">
        <f>H94-I94</f>
        <v>0</v>
      </c>
      <c r="K94" s="1234">
        <f>(100-I94)*(6/10)</f>
        <v>0</v>
      </c>
      <c r="L94" s="1235">
        <f>I94+K94</f>
        <v>100</v>
      </c>
      <c r="M94" s="935" t="str">
        <f>IF(K94&lt;&gt;0,J94/K94,"100%")</f>
        <v>100%</v>
      </c>
      <c r="N94" s="1627">
        <f>(((G94/C94)*M94)+((G95/C94)*M95)+((G96/C94)*M96))</f>
        <v>0.66666666666666663</v>
      </c>
      <c r="O94" s="1632">
        <f>IF((((G94/C94)*M94)+((G95/C94)*M95)+((G96/C94)*M96))&gt;=1,3.571428,IF((((G94/C94)*M94)+((G95/C94)*M95)+((G96/C94)*M96))&lt;=0,0,(((G94/C94)*M94)+((G95/C94)*M95)+((G96/C94)*M96))*3.571428))</f>
        <v>2.3809519999999997</v>
      </c>
      <c r="P94" s="1630">
        <f>O94/3.571428</f>
        <v>0.66666666666666663</v>
      </c>
      <c r="Q94" s="1236" t="s">
        <v>190</v>
      </c>
      <c r="R94" s="60"/>
      <c r="S94" s="60"/>
    </row>
    <row r="95" spans="1:19" ht="39.6" customHeight="1" thickBot="1" x14ac:dyDescent="0.5">
      <c r="A95" s="1617"/>
      <c r="B95" s="1619"/>
      <c r="C95" s="1622"/>
      <c r="D95" s="1625"/>
      <c r="E95" s="1237">
        <f t="shared" ref="E95:E96" si="31">$C$94/3</f>
        <v>1.1904761904761905</v>
      </c>
      <c r="F95" s="1128" t="s">
        <v>270</v>
      </c>
      <c r="G95" s="1219">
        <f>E95/1</f>
        <v>1.1904761904761905</v>
      </c>
      <c r="H95" s="470"/>
      <c r="I95" s="496"/>
      <c r="J95" s="1203">
        <f>IF(AND(I95&gt;1,(H95-I95=0)),(H95-1),(H95-I95))</f>
        <v>0</v>
      </c>
      <c r="K95" s="1066">
        <f>IF(AND(I95&gt;=1,H95&gt;=1),"0",((1-I95)*(6/10)))</f>
        <v>0.6</v>
      </c>
      <c r="L95" s="1238">
        <f t="shared" ref="L95:L96" si="32">I95+K95</f>
        <v>0.6</v>
      </c>
      <c r="M95" s="989">
        <f>IF(I95&gt;=1,(1+(H95-1)/1),(J95/K95))</f>
        <v>0</v>
      </c>
      <c r="N95" s="1628"/>
      <c r="O95" s="1633"/>
      <c r="P95" s="1635"/>
      <c r="Q95" s="1239" t="s">
        <v>191</v>
      </c>
      <c r="R95" s="62"/>
      <c r="S95" s="282" t="s">
        <v>615</v>
      </c>
    </row>
    <row r="96" spans="1:19" ht="41.45" customHeight="1" thickBot="1" x14ac:dyDescent="0.5">
      <c r="A96" s="1617"/>
      <c r="B96" s="1620"/>
      <c r="C96" s="1623"/>
      <c r="D96" s="1626"/>
      <c r="E96" s="1090">
        <f t="shared" si="31"/>
        <v>1.1904761904761905</v>
      </c>
      <c r="F96" s="1024" t="s">
        <v>84</v>
      </c>
      <c r="G96" s="1228">
        <f>E96/1</f>
        <v>1.1904761904761905</v>
      </c>
      <c r="H96" s="115">
        <v>100</v>
      </c>
      <c r="I96" s="114">
        <v>100</v>
      </c>
      <c r="J96" s="1207">
        <f>H96-I96</f>
        <v>0</v>
      </c>
      <c r="K96" s="1208">
        <f>(100-I96)*(6/10)</f>
        <v>0</v>
      </c>
      <c r="L96" s="1230">
        <f t="shared" si="32"/>
        <v>100</v>
      </c>
      <c r="M96" s="950" t="str">
        <f>IF(K96&lt;&gt;0,J96/K96,"100%")</f>
        <v>100%</v>
      </c>
      <c r="N96" s="1629"/>
      <c r="O96" s="1634"/>
      <c r="P96" s="1631"/>
      <c r="Q96" s="1240" t="s">
        <v>95</v>
      </c>
      <c r="R96" s="57"/>
      <c r="S96" s="57"/>
    </row>
    <row r="97" spans="1:19" ht="18" customHeight="1" thickBot="1" x14ac:dyDescent="0.5">
      <c r="B97" s="1636" t="s">
        <v>85</v>
      </c>
      <c r="C97" s="1637"/>
      <c r="D97" s="1637"/>
      <c r="E97" s="1637"/>
      <c r="F97" s="1638"/>
      <c r="G97" s="1241"/>
      <c r="H97" s="125"/>
      <c r="I97" s="126"/>
      <c r="J97" s="1242"/>
      <c r="K97" s="1242"/>
      <c r="L97" s="1242"/>
      <c r="M97" s="1243"/>
      <c r="N97" s="1244">
        <f>(N98+N99+N100)/3</f>
        <v>-3.8089929394277224E-2</v>
      </c>
      <c r="O97" s="1245">
        <f>(O98+O99+O100)</f>
        <v>0</v>
      </c>
      <c r="P97" s="913">
        <f>O97/10.714284</f>
        <v>0</v>
      </c>
      <c r="Q97" s="1246"/>
      <c r="R97" s="25"/>
      <c r="S97" s="25"/>
    </row>
    <row r="98" spans="1:19" ht="29.45" customHeight="1" thickBot="1" x14ac:dyDescent="0.5">
      <c r="A98" s="22">
        <v>26</v>
      </c>
      <c r="B98" s="1032" t="s">
        <v>86</v>
      </c>
      <c r="C98" s="1033">
        <f>$M$5</f>
        <v>3.5714285714285716</v>
      </c>
      <c r="D98" s="1032" t="s">
        <v>215</v>
      </c>
      <c r="E98" s="1033">
        <f>C98/1</f>
        <v>3.5714285714285716</v>
      </c>
      <c r="F98" s="1163" t="s">
        <v>291</v>
      </c>
      <c r="G98" s="1033">
        <f>E98/1</f>
        <v>3.5714285714285716</v>
      </c>
      <c r="H98" s="474"/>
      <c r="I98" s="511"/>
      <c r="J98" s="1463">
        <f>IF(I98=H98,(H98-10),H98-I98)</f>
        <v>-10</v>
      </c>
      <c r="K98" s="1051">
        <f>IF(I98&gt;=10,0,((10-I98)*(6/10)))</f>
        <v>6</v>
      </c>
      <c r="L98" s="1158">
        <f>I98+K98</f>
        <v>6</v>
      </c>
      <c r="M98" s="950" t="str">
        <f>IF(H98=0,"0%",J98/K98)</f>
        <v>0%</v>
      </c>
      <c r="N98" s="1159">
        <f>((G98/C98)*M98)</f>
        <v>0</v>
      </c>
      <c r="O98" s="1041">
        <f>IF(((G98/C98)*M98)&gt;=1,3.571428,IF(((G98/C98)*M98)&lt;=0,0,((G98/C98)*M98)*3.571428))</f>
        <v>0</v>
      </c>
      <c r="P98" s="913">
        <f>O98/3.571428</f>
        <v>0</v>
      </c>
      <c r="Q98" s="1249" t="s">
        <v>95</v>
      </c>
      <c r="R98" s="180"/>
      <c r="S98" s="282" t="s">
        <v>615</v>
      </c>
    </row>
    <row r="99" spans="1:19" ht="35.25" thickBot="1" x14ac:dyDescent="0.5">
      <c r="A99" s="22">
        <v>27</v>
      </c>
      <c r="B99" s="1032" t="s">
        <v>87</v>
      </c>
      <c r="C99" s="1033">
        <f>$M$5</f>
        <v>3.5714285714285716</v>
      </c>
      <c r="D99" s="1032" t="s">
        <v>216</v>
      </c>
      <c r="E99" s="1033">
        <f>C99/1</f>
        <v>3.5714285714285716</v>
      </c>
      <c r="F99" s="1163" t="s">
        <v>271</v>
      </c>
      <c r="G99" s="1033">
        <f>E99/1</f>
        <v>3.5714285714285716</v>
      </c>
      <c r="H99" s="326">
        <v>11.1</v>
      </c>
      <c r="I99" s="325">
        <v>15.2</v>
      </c>
      <c r="J99" s="1463">
        <f>IF(I99=H99,(H99-75),H99-I99)</f>
        <v>-4.0999999999999996</v>
      </c>
      <c r="K99" s="1051">
        <f>IF(I99&gt;=75,0,((75-I99)*(6/10)))</f>
        <v>35.879999999999995</v>
      </c>
      <c r="L99" s="1182">
        <f>I99+K99</f>
        <v>51.08</v>
      </c>
      <c r="M99" s="1250">
        <f>IF(I99&gt;=75,(1+(H99-75)/75),(J99/K99))</f>
        <v>-0.11426978818283166</v>
      </c>
      <c r="N99" s="1159">
        <f>((G99/C99)*M99)</f>
        <v>-0.11426978818283166</v>
      </c>
      <c r="O99" s="1041">
        <f>IF(((G99/C99)*M99)&gt;=1,3.571428,IF(((G99/C99)*M99)&lt;=0,0,((G99/C99)*M99)*3.571428))</f>
        <v>0</v>
      </c>
      <c r="P99" s="913">
        <f>O99/3.571428</f>
        <v>0</v>
      </c>
      <c r="Q99" s="1249" t="s">
        <v>192</v>
      </c>
      <c r="R99" s="229" t="s">
        <v>830</v>
      </c>
      <c r="S99" s="23"/>
    </row>
    <row r="100" spans="1:19" ht="30.75" thickBot="1" x14ac:dyDescent="0.5">
      <c r="A100" s="1617">
        <v>28</v>
      </c>
      <c r="B100" s="1639" t="s">
        <v>88</v>
      </c>
      <c r="C100" s="1641">
        <f>M5</f>
        <v>3.5714285714285716</v>
      </c>
      <c r="D100" s="1639" t="s">
        <v>217</v>
      </c>
      <c r="E100" s="1641">
        <f>C100/1</f>
        <v>3.5714285714285716</v>
      </c>
      <c r="F100" s="1124" t="s">
        <v>89</v>
      </c>
      <c r="G100" s="978">
        <f>$E$100/2</f>
        <v>1.7857142857142858</v>
      </c>
      <c r="H100" s="477"/>
      <c r="I100" s="491"/>
      <c r="J100" s="1088">
        <f>IF(I100=H100,(25-H100),I100-H100)</f>
        <v>25</v>
      </c>
      <c r="K100" s="1105">
        <f>IF(I100&lt;=25,0,((0.25*I100)*(6/10)))</f>
        <v>0</v>
      </c>
      <c r="L100" s="1253">
        <f>I100-K100</f>
        <v>0</v>
      </c>
      <c r="M100" s="950" t="str">
        <f>IF(H100=0,"0%",J100/K100)</f>
        <v>0%</v>
      </c>
      <c r="N100" s="1644">
        <f>((G100/$C$100)*M100)+((G101/$C$100)*M101)</f>
        <v>0</v>
      </c>
      <c r="O100" s="1646">
        <f>IF((((G100/C100)*M100)+((G101/C100)*M101))&gt;=1,3.57148,IF((((G100/C100)*M100)+((G101/C100)*M101))&lt;=0,0, (((G100/C100)*M100)+((G101/C100)*M101))*3.571428))</f>
        <v>0</v>
      </c>
      <c r="P100" s="1630">
        <f>O100/3.571428</f>
        <v>0</v>
      </c>
      <c r="Q100" s="1254" t="s">
        <v>193</v>
      </c>
      <c r="R100" s="1450"/>
      <c r="S100" s="282" t="s">
        <v>615</v>
      </c>
    </row>
    <row r="101" spans="1:19" ht="38.450000000000003" customHeight="1" thickBot="1" x14ac:dyDescent="0.5">
      <c r="A101" s="1617"/>
      <c r="B101" s="1640"/>
      <c r="C101" s="1642"/>
      <c r="D101" s="1640"/>
      <c r="E101" s="1643"/>
      <c r="F101" s="1024" t="s">
        <v>90</v>
      </c>
      <c r="G101" s="992">
        <f>$E$100/2</f>
        <v>1.7857142857142858</v>
      </c>
      <c r="H101" s="475"/>
      <c r="I101" s="492"/>
      <c r="J101" s="1195">
        <f>IF(I101=H101,(H101-25),H101-I101)</f>
        <v>-25</v>
      </c>
      <c r="K101" s="994">
        <f>IF(I101&gt;=25,0,((25-I101)*(6/10)))</f>
        <v>15</v>
      </c>
      <c r="L101" s="1256">
        <f t="shared" ref="L101" si="33">K101+I101</f>
        <v>15</v>
      </c>
      <c r="M101" s="950" t="str">
        <f>IF(H101=0,"0%",J101/K101)</f>
        <v>0%</v>
      </c>
      <c r="N101" s="1645"/>
      <c r="O101" s="1647"/>
      <c r="P101" s="1631"/>
      <c r="Q101" s="1257" t="s">
        <v>95</v>
      </c>
      <c r="R101" s="181"/>
      <c r="S101" s="282" t="s">
        <v>615</v>
      </c>
    </row>
    <row r="102" spans="1:19" ht="34.25" customHeight="1" thickBot="1" x14ac:dyDescent="0.5">
      <c r="B102" s="1258" t="s">
        <v>194</v>
      </c>
      <c r="C102" s="1259">
        <f>C11+C13+C15+C19+C24+C33+C34+C35+C36+C38+C41+C44+C48+C51+C53+C61+C68+C71+C73+C75+C78+C81+C83+C87+C94+C98+C99+C100</f>
        <v>99.999999999999972</v>
      </c>
      <c r="D102" s="1260"/>
      <c r="E102" s="1259">
        <f>E11+E12+E13+E14+E15+E19+E20+E21+E22+E24+E25+E28+E31+E33+E34+E35+E36+E38+E39+E41+E42+E44+E45+E48+E49++E51+E53+E54+E55+E56+E57+E61+E62+E63+E64+E68+E71+E73+E75+E78+E81++E82+E83+E84+E85+E87+E88+E91+E94+E95+E96+E98+E99+E100</f>
        <v>100.00714285714285</v>
      </c>
      <c r="F102" s="1261"/>
      <c r="G102" s="1259">
        <f>G11+G12+G13+G14+G15+G16+G17+G19+G20+G21+G22+G24+G25+G26+G27+G28+G29+G30+G31+G33+G34+G35+G36+G38+G39+G41+G42+G44+G45+G48+G49+G51+G53+G54+G55+G56+G57+G58+G61+G62+G63+G64+G65+G66+G68+G71+G73+G75+G78+G81+G82+G83+G84+G85+G87+G88+G89+G90+G91+G94+G95+G96+G98+G99+G100+G101</f>
        <v>100.00714285714285</v>
      </c>
      <c r="H102" s="1262"/>
      <c r="I102" s="1263"/>
      <c r="J102" s="1262"/>
      <c r="K102" s="1264"/>
      <c r="L102" s="1261"/>
      <c r="M102" s="1265"/>
      <c r="N102" s="1266"/>
      <c r="O102" s="1267"/>
      <c r="P102" s="1267"/>
      <c r="Q102" s="1268"/>
      <c r="R102" s="26"/>
      <c r="S102" s="27"/>
    </row>
    <row r="104" spans="1:19" ht="15.75" x14ac:dyDescent="0.5">
      <c r="B104" s="28"/>
    </row>
    <row r="107" spans="1:19" ht="15.75" x14ac:dyDescent="0.5">
      <c r="B107" s="28"/>
    </row>
    <row r="108" spans="1:19" x14ac:dyDescent="0.45">
      <c r="B108" s="29"/>
    </row>
    <row r="109" spans="1:19" x14ac:dyDescent="0.45">
      <c r="B109" s="29"/>
    </row>
    <row r="111" spans="1:19" x14ac:dyDescent="0.45">
      <c r="E111"/>
      <c r="F111" s="1269" t="s">
        <v>196</v>
      </c>
    </row>
    <row r="112" spans="1:19" x14ac:dyDescent="0.45">
      <c r="E112" s="1270">
        <v>1</v>
      </c>
      <c r="F112" s="1270" t="s">
        <v>197</v>
      </c>
    </row>
    <row r="113" spans="5:6" x14ac:dyDescent="0.45">
      <c r="E113" s="1270">
        <v>2</v>
      </c>
      <c r="F113" s="1270" t="s">
        <v>227</v>
      </c>
    </row>
    <row r="114" spans="5:6" x14ac:dyDescent="0.45">
      <c r="E114" s="1270">
        <v>3</v>
      </c>
      <c r="F114" s="1270" t="s">
        <v>228</v>
      </c>
    </row>
    <row r="115" spans="5:6" x14ac:dyDescent="0.45">
      <c r="E115" s="1270">
        <v>4</v>
      </c>
      <c r="F115" s="1270" t="s">
        <v>229</v>
      </c>
    </row>
    <row r="116" spans="5:6" x14ac:dyDescent="0.45">
      <c r="E116" s="1270">
        <v>5</v>
      </c>
      <c r="F116" s="1270" t="s">
        <v>198</v>
      </c>
    </row>
    <row r="117" spans="5:6" x14ac:dyDescent="0.45">
      <c r="E117" s="1270">
        <v>6</v>
      </c>
      <c r="F117" s="1270" t="s">
        <v>230</v>
      </c>
    </row>
    <row r="118" spans="5:6" x14ac:dyDescent="0.45">
      <c r="E118" s="1270">
        <v>7</v>
      </c>
      <c r="F118" s="1270" t="s">
        <v>231</v>
      </c>
    </row>
    <row r="119" spans="5:6" x14ac:dyDescent="0.45">
      <c r="E119" s="1270">
        <v>8</v>
      </c>
      <c r="F119" s="1270" t="s">
        <v>199</v>
      </c>
    </row>
    <row r="120" spans="5:6" x14ac:dyDescent="0.45">
      <c r="E120" s="1270">
        <v>9</v>
      </c>
      <c r="F120" s="1270" t="s">
        <v>200</v>
      </c>
    </row>
    <row r="121" spans="5:6" x14ac:dyDescent="0.45">
      <c r="E121" s="1270">
        <v>10</v>
      </c>
      <c r="F121" s="1270" t="s">
        <v>201</v>
      </c>
    </row>
    <row r="122" spans="5:6" x14ac:dyDescent="0.45">
      <c r="E122" s="1270">
        <v>11</v>
      </c>
      <c r="F122" s="1270" t="s">
        <v>232</v>
      </c>
    </row>
    <row r="123" spans="5:6" x14ac:dyDescent="0.45">
      <c r="E123" s="1270">
        <v>12</v>
      </c>
      <c r="F123" s="1270" t="s">
        <v>202</v>
      </c>
    </row>
    <row r="124" spans="5:6" x14ac:dyDescent="0.45">
      <c r="E124" s="1270">
        <f t="shared" ref="E124:E145" si="34">E123+1</f>
        <v>13</v>
      </c>
      <c r="F124" s="1270" t="s">
        <v>203</v>
      </c>
    </row>
    <row r="125" spans="5:6" x14ac:dyDescent="0.45">
      <c r="E125" s="1270">
        <v>14</v>
      </c>
      <c r="F125" s="1270" t="s">
        <v>233</v>
      </c>
    </row>
    <row r="126" spans="5:6" x14ac:dyDescent="0.45">
      <c r="E126" s="1270">
        <v>15</v>
      </c>
      <c r="F126" s="1270" t="s">
        <v>234</v>
      </c>
    </row>
    <row r="127" spans="5:6" x14ac:dyDescent="0.45">
      <c r="E127" s="1270">
        <v>16</v>
      </c>
      <c r="F127" s="1270" t="s">
        <v>213</v>
      </c>
    </row>
    <row r="128" spans="5:6" x14ac:dyDescent="0.45">
      <c r="E128" s="1270">
        <v>17</v>
      </c>
      <c r="F128" s="1270" t="s">
        <v>235</v>
      </c>
    </row>
    <row r="129" spans="5:6" x14ac:dyDescent="0.45">
      <c r="E129" s="1270">
        <v>18</v>
      </c>
      <c r="F129" s="1270" t="s">
        <v>263</v>
      </c>
    </row>
    <row r="130" spans="5:6" x14ac:dyDescent="0.45">
      <c r="E130" s="1270">
        <v>19</v>
      </c>
      <c r="F130" s="1270" t="s">
        <v>204</v>
      </c>
    </row>
    <row r="131" spans="5:6" x14ac:dyDescent="0.45">
      <c r="E131" s="1270">
        <v>20</v>
      </c>
      <c r="F131" s="1270" t="s">
        <v>236</v>
      </c>
    </row>
    <row r="132" spans="5:6" x14ac:dyDescent="0.45">
      <c r="E132" s="1270">
        <v>21</v>
      </c>
      <c r="F132" s="1270" t="s">
        <v>237</v>
      </c>
    </row>
    <row r="133" spans="5:6" x14ac:dyDescent="0.45">
      <c r="E133" s="1270">
        <v>22</v>
      </c>
      <c r="F133" s="1270" t="s">
        <v>238</v>
      </c>
    </row>
    <row r="134" spans="5:6" x14ac:dyDescent="0.45">
      <c r="E134" s="1270">
        <v>23</v>
      </c>
      <c r="F134" s="1270" t="s">
        <v>205</v>
      </c>
    </row>
    <row r="135" spans="5:6" x14ac:dyDescent="0.45">
      <c r="E135" s="1270">
        <v>24</v>
      </c>
      <c r="F135" s="1270" t="s">
        <v>239</v>
      </c>
    </row>
    <row r="136" spans="5:6" x14ac:dyDescent="0.45">
      <c r="E136" s="1270">
        <v>25</v>
      </c>
      <c r="F136" s="1270" t="s">
        <v>240</v>
      </c>
    </row>
    <row r="137" spans="5:6" x14ac:dyDescent="0.45">
      <c r="E137" s="1270">
        <v>26</v>
      </c>
      <c r="F137" s="1270" t="s">
        <v>241</v>
      </c>
    </row>
    <row r="138" spans="5:6" x14ac:dyDescent="0.45">
      <c r="E138" s="1270">
        <v>27</v>
      </c>
      <c r="F138" s="1270" t="s">
        <v>206</v>
      </c>
    </row>
    <row r="139" spans="5:6" x14ac:dyDescent="0.45">
      <c r="E139" s="1270">
        <v>28</v>
      </c>
      <c r="F139" s="1270" t="s">
        <v>242</v>
      </c>
    </row>
    <row r="140" spans="5:6" x14ac:dyDescent="0.45">
      <c r="E140" s="1270">
        <v>29</v>
      </c>
      <c r="F140" s="1270" t="s">
        <v>243</v>
      </c>
    </row>
    <row r="141" spans="5:6" x14ac:dyDescent="0.45">
      <c r="E141" s="1270">
        <v>30</v>
      </c>
      <c r="F141" s="1270" t="s">
        <v>244</v>
      </c>
    </row>
    <row r="142" spans="5:6" x14ac:dyDescent="0.45">
      <c r="E142" s="1270">
        <v>31</v>
      </c>
      <c r="F142" s="1270" t="s">
        <v>245</v>
      </c>
    </row>
    <row r="143" spans="5:6" x14ac:dyDescent="0.45">
      <c r="E143" s="1270">
        <v>32</v>
      </c>
      <c r="F143" s="1270" t="s">
        <v>246</v>
      </c>
    </row>
    <row r="144" spans="5:6" x14ac:dyDescent="0.45">
      <c r="E144" s="1270">
        <v>33</v>
      </c>
      <c r="F144" s="1270" t="s">
        <v>207</v>
      </c>
    </row>
    <row r="145" spans="5:6" x14ac:dyDescent="0.45">
      <c r="E145" s="1270">
        <f t="shared" si="34"/>
        <v>34</v>
      </c>
      <c r="F145" s="1270" t="s">
        <v>208</v>
      </c>
    </row>
    <row r="146" spans="5:6" x14ac:dyDescent="0.45">
      <c r="E146" s="1270">
        <v>35</v>
      </c>
      <c r="F146" s="1270" t="s">
        <v>247</v>
      </c>
    </row>
    <row r="147" spans="5:6" x14ac:dyDescent="0.45">
      <c r="E147" s="1270">
        <v>36</v>
      </c>
      <c r="F147" s="1270" t="s">
        <v>248</v>
      </c>
    </row>
    <row r="148" spans="5:6" x14ac:dyDescent="0.45">
      <c r="E148" s="1270">
        <v>36</v>
      </c>
      <c r="F148" s="1270" t="s">
        <v>249</v>
      </c>
    </row>
    <row r="149" spans="5:6" x14ac:dyDescent="0.45">
      <c r="E149" s="1270">
        <v>38</v>
      </c>
      <c r="F149" s="1270" t="s">
        <v>250</v>
      </c>
    </row>
    <row r="150" spans="5:6" x14ac:dyDescent="0.45">
      <c r="E150" s="1270">
        <v>39</v>
      </c>
      <c r="F150" s="1270" t="s">
        <v>251</v>
      </c>
    </row>
    <row r="151" spans="5:6" x14ac:dyDescent="0.45">
      <c r="E151" s="1270">
        <v>40</v>
      </c>
      <c r="F151" s="1270" t="s">
        <v>209</v>
      </c>
    </row>
    <row r="152" spans="5:6" x14ac:dyDescent="0.45">
      <c r="E152" s="1270">
        <v>41</v>
      </c>
      <c r="F152" s="1270" t="s">
        <v>264</v>
      </c>
    </row>
    <row r="153" spans="5:6" x14ac:dyDescent="0.45">
      <c r="E153" s="1270">
        <v>42</v>
      </c>
      <c r="F153" s="1270" t="s">
        <v>252</v>
      </c>
    </row>
    <row r="154" spans="5:6" x14ac:dyDescent="0.45">
      <c r="E154" s="1270">
        <v>43</v>
      </c>
      <c r="F154" s="1270" t="s">
        <v>253</v>
      </c>
    </row>
    <row r="155" spans="5:6" x14ac:dyDescent="0.45">
      <c r="E155" s="1270">
        <v>44</v>
      </c>
      <c r="F155" s="1270" t="s">
        <v>254</v>
      </c>
    </row>
    <row r="156" spans="5:6" x14ac:dyDescent="0.45">
      <c r="E156" s="1270">
        <v>45</v>
      </c>
      <c r="F156" s="1270" t="s">
        <v>210</v>
      </c>
    </row>
    <row r="157" spans="5:6" x14ac:dyDescent="0.45">
      <c r="E157" s="1270">
        <v>46</v>
      </c>
      <c r="F157" s="1270" t="s">
        <v>255</v>
      </c>
    </row>
    <row r="158" spans="5:6" x14ac:dyDescent="0.45">
      <c r="E158" s="1270">
        <v>47</v>
      </c>
      <c r="F158" s="1270" t="s">
        <v>211</v>
      </c>
    </row>
    <row r="159" spans="5:6" x14ac:dyDescent="0.45">
      <c r="E159" s="1270">
        <v>48</v>
      </c>
      <c r="F159" s="1270" t="s">
        <v>256</v>
      </c>
    </row>
    <row r="160" spans="5:6" x14ac:dyDescent="0.45">
      <c r="E160" s="1270">
        <v>49</v>
      </c>
      <c r="F160" s="1270" t="s">
        <v>257</v>
      </c>
    </row>
    <row r="161" spans="5:6" x14ac:dyDescent="0.45">
      <c r="E161" s="1270">
        <v>50</v>
      </c>
      <c r="F161" s="1270" t="s">
        <v>260</v>
      </c>
    </row>
    <row r="162" spans="5:6" x14ac:dyDescent="0.45">
      <c r="E162" s="1270">
        <v>51</v>
      </c>
      <c r="F162" s="1270" t="s">
        <v>258</v>
      </c>
    </row>
    <row r="163" spans="5:6" x14ac:dyDescent="0.45">
      <c r="E163" s="1270">
        <v>52</v>
      </c>
      <c r="F163" s="1270" t="s">
        <v>212</v>
      </c>
    </row>
    <row r="164" spans="5:6" x14ac:dyDescent="0.45">
      <c r="E164" s="1270">
        <v>53</v>
      </c>
      <c r="F164" s="1270" t="s">
        <v>259</v>
      </c>
    </row>
    <row r="165" spans="5:6" x14ac:dyDescent="0.45">
      <c r="E165" s="1270">
        <v>54</v>
      </c>
      <c r="F165" s="1270" t="s">
        <v>261</v>
      </c>
    </row>
    <row r="166" spans="5:6" x14ac:dyDescent="0.45">
      <c r="E166" s="1270">
        <v>55</v>
      </c>
      <c r="F166" s="1270" t="s">
        <v>262</v>
      </c>
    </row>
    <row r="167" spans="5:6" x14ac:dyDescent="0.45">
      <c r="E167"/>
      <c r="F167"/>
    </row>
    <row r="168" spans="5:6" x14ac:dyDescent="0.45">
      <c r="E168"/>
      <c r="F168"/>
    </row>
  </sheetData>
  <sheetProtection algorithmName="SHA-512" hashValue="cjQutv7vS0c3FXIhO0mpQSRbH0A7/hkaechtvfNoS0u9XQ36M4hMyxIOjmpOJM7388IwM0Nfg4rtJZM5ghlnew==" saltValue="UgIckEdoKDMAZ3/7VUSYJQ==" spinCount="100000" sheet="1" objects="1" scenarios="1"/>
  <mergeCells count="140">
    <mergeCell ref="K4:M4"/>
    <mergeCell ref="B5:K5"/>
    <mergeCell ref="B6:F6"/>
    <mergeCell ref="B7:F7"/>
    <mergeCell ref="B9:F9"/>
    <mergeCell ref="B10:F10"/>
    <mergeCell ref="A13:A14"/>
    <mergeCell ref="B13:B14"/>
    <mergeCell ref="C13:C14"/>
    <mergeCell ref="N13:N14"/>
    <mergeCell ref="O13:O14"/>
    <mergeCell ref="P13:P14"/>
    <mergeCell ref="A11:A12"/>
    <mergeCell ref="B11:B12"/>
    <mergeCell ref="C11:C12"/>
    <mergeCell ref="N11:N12"/>
    <mergeCell ref="O11:O12"/>
    <mergeCell ref="P11:P1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B37:F37"/>
    <mergeCell ref="A38:A39"/>
    <mergeCell ref="B38:B39"/>
    <mergeCell ref="C38:C39"/>
    <mergeCell ref="N38:N39"/>
    <mergeCell ref="O38:O39"/>
    <mergeCell ref="P24:P31"/>
    <mergeCell ref="D25:D27"/>
    <mergeCell ref="E25:E27"/>
    <mergeCell ref="D28:D30"/>
    <mergeCell ref="E28:E30"/>
    <mergeCell ref="B32:F32"/>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77:F77"/>
    <mergeCell ref="B79:F79"/>
    <mergeCell ref="B80:F80"/>
    <mergeCell ref="B81:B82"/>
    <mergeCell ref="C81:C82"/>
    <mergeCell ref="N81:N82"/>
    <mergeCell ref="B67:F67"/>
    <mergeCell ref="B69:F69"/>
    <mergeCell ref="B70:F70"/>
    <mergeCell ref="B72:F72"/>
    <mergeCell ref="B74:F74"/>
    <mergeCell ref="B76:F76"/>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69 O10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59 O80">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96E4A5B2-9BF0-4333-B4EC-9EE6FCD3C5E9}">
      <formula1>$F$112:$F$166</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B5A0B6-26E0-4B61-8FE9-C980F33022EF}">
  <dimension ref="B1:P24"/>
  <sheetViews>
    <sheetView topLeftCell="F2" workbookViewId="0">
      <selection activeCell="Q10" sqref="Q10"/>
    </sheetView>
  </sheetViews>
  <sheetFormatPr defaultColWidth="8.86328125" defaultRowHeight="14.25" x14ac:dyDescent="0.45"/>
  <cols>
    <col min="1" max="1" width="0" style="5" hidden="1" customWidth="1"/>
    <col min="2" max="2" width="14.796875" style="5" customWidth="1"/>
    <col min="3" max="3" width="14.19921875" style="5" customWidth="1"/>
    <col min="4" max="4" width="72.1328125" style="5" hidden="1" customWidth="1"/>
    <col min="5" max="5" width="15.73046875" style="5" customWidth="1"/>
    <col min="6" max="6" width="38.6640625" style="5" customWidth="1"/>
    <col min="7" max="7" width="36.59765625" style="30" customWidth="1"/>
    <col min="8" max="8" width="16.1328125" style="5" customWidth="1"/>
    <col min="9" max="9" width="4.86328125" style="5" customWidth="1"/>
    <col min="10" max="10" width="8.86328125" style="30"/>
    <col min="11" max="15" width="0" style="30" hidden="1" customWidth="1"/>
    <col min="16" max="16" width="8.86328125" style="30"/>
    <col min="17" max="19" width="28.46484375" style="5" customWidth="1"/>
    <col min="20" max="16384" width="8.86328125" style="5"/>
  </cols>
  <sheetData>
    <row r="1" spans="2:5" ht="22.5" customHeight="1" thickBot="1" x14ac:dyDescent="0.55000000000000004">
      <c r="B1" s="629" t="s">
        <v>576</v>
      </c>
      <c r="C1" s="530" t="s">
        <v>575</v>
      </c>
      <c r="D1" s="540" t="s">
        <v>574</v>
      </c>
      <c r="E1" s="530" t="s">
        <v>547</v>
      </c>
    </row>
    <row r="2" spans="2:5" ht="22.5" customHeight="1" x14ac:dyDescent="0.45">
      <c r="B2" s="620" t="s">
        <v>548</v>
      </c>
      <c r="C2" s="621" t="s">
        <v>556</v>
      </c>
      <c r="D2" s="622" t="s">
        <v>1</v>
      </c>
      <c r="E2" s="623">
        <f>'Initial Analysis Table'!E3</f>
        <v>0.61192517139664782</v>
      </c>
    </row>
    <row r="3" spans="2:5" ht="22.5" customHeight="1" x14ac:dyDescent="0.45">
      <c r="B3" s="624" t="s">
        <v>548</v>
      </c>
      <c r="C3" s="618" t="s">
        <v>557</v>
      </c>
      <c r="D3" s="619" t="s">
        <v>11</v>
      </c>
      <c r="E3" s="625">
        <f>'Initial Analysis Table'!E4</f>
        <v>0.24051739351608678</v>
      </c>
    </row>
    <row r="4" spans="2:5" ht="22.5" customHeight="1" x14ac:dyDescent="0.45">
      <c r="B4" s="624" t="s">
        <v>548</v>
      </c>
      <c r="C4" s="618" t="s">
        <v>558</v>
      </c>
      <c r="D4" s="619" t="s">
        <v>13</v>
      </c>
      <c r="E4" s="625">
        <f>'Initial Analysis Table'!E5</f>
        <v>0.4885352903509016</v>
      </c>
    </row>
    <row r="5" spans="2:5" ht="22.5" customHeight="1" x14ac:dyDescent="0.45">
      <c r="B5" s="624" t="s">
        <v>548</v>
      </c>
      <c r="C5" s="618" t="s">
        <v>559</v>
      </c>
      <c r="D5" s="619" t="s">
        <v>18</v>
      </c>
      <c r="E5" s="625">
        <f>'Initial Analysis Table'!E6</f>
        <v>0.18749360558000125</v>
      </c>
    </row>
    <row r="6" spans="2:5" ht="22.5" customHeight="1" x14ac:dyDescent="0.45">
      <c r="B6" s="624" t="s">
        <v>548</v>
      </c>
      <c r="C6" s="618" t="s">
        <v>560</v>
      </c>
      <c r="D6" s="619" t="s">
        <v>26</v>
      </c>
      <c r="E6" s="625">
        <f>'Initial Analysis Table'!E7</f>
        <v>3.4681364368655702E-2</v>
      </c>
    </row>
    <row r="7" spans="2:5" ht="22.5" customHeight="1" x14ac:dyDescent="0.45">
      <c r="B7" s="624" t="s">
        <v>548</v>
      </c>
      <c r="C7" s="618" t="s">
        <v>561</v>
      </c>
      <c r="D7" s="619" t="s">
        <v>28</v>
      </c>
      <c r="E7" s="625">
        <f>'Initial Analysis Table'!E8</f>
        <v>0.29480444946667234</v>
      </c>
    </row>
    <row r="8" spans="2:5" ht="22.5" customHeight="1" x14ac:dyDescent="0.45">
      <c r="B8" s="624" t="s">
        <v>548</v>
      </c>
      <c r="C8" s="618" t="s">
        <v>562</v>
      </c>
      <c r="D8" s="619" t="s">
        <v>32</v>
      </c>
      <c r="E8" s="625">
        <f>'Initial Analysis Table'!E9</f>
        <v>0.23957751358331125</v>
      </c>
    </row>
    <row r="9" spans="2:5" ht="20.350000000000001" customHeight="1" x14ac:dyDescent="0.45">
      <c r="B9" s="624" t="s">
        <v>548</v>
      </c>
      <c r="C9" s="618" t="s">
        <v>563</v>
      </c>
      <c r="D9" s="619" t="s">
        <v>37</v>
      </c>
      <c r="E9" s="625">
        <f>'Initial Analysis Table'!E11</f>
        <v>9.1080500424014013E-2</v>
      </c>
    </row>
    <row r="10" spans="2:5" ht="20.350000000000001" customHeight="1" x14ac:dyDescent="0.45">
      <c r="B10" s="624" t="s">
        <v>548</v>
      </c>
      <c r="C10" s="618" t="s">
        <v>564</v>
      </c>
      <c r="D10" s="619" t="s">
        <v>39</v>
      </c>
      <c r="E10" s="625">
        <f>'Initial Analysis Table'!E12</f>
        <v>0.9545454545454547</v>
      </c>
    </row>
    <row r="11" spans="2:5" ht="20.350000000000001" customHeight="1" x14ac:dyDescent="0.45">
      <c r="B11" s="624" t="s">
        <v>548</v>
      </c>
      <c r="C11" s="618" t="s">
        <v>565</v>
      </c>
      <c r="D11" s="619" t="s">
        <v>40</v>
      </c>
      <c r="E11" s="625">
        <f>'Initial Analysis Table'!E13</f>
        <v>0.43671453672014204</v>
      </c>
    </row>
    <row r="12" spans="2:5" ht="21.85" customHeight="1" x14ac:dyDescent="0.45">
      <c r="B12" s="624" t="s">
        <v>548</v>
      </c>
      <c r="C12" s="618" t="s">
        <v>566</v>
      </c>
      <c r="D12" s="619" t="s">
        <v>48</v>
      </c>
      <c r="E12" s="625">
        <f>'Initial Analysis Table'!E15</f>
        <v>0.39657006842609716</v>
      </c>
    </row>
    <row r="13" spans="2:5" ht="21.85" customHeight="1" x14ac:dyDescent="0.45">
      <c r="B13" s="624" t="s">
        <v>548</v>
      </c>
      <c r="C13" s="618" t="s">
        <v>567</v>
      </c>
      <c r="D13" s="619" t="s">
        <v>595</v>
      </c>
      <c r="E13" s="625">
        <f>'Initial Analysis Table'!E16</f>
        <v>1.0858802061713031E-2</v>
      </c>
    </row>
    <row r="14" spans="2:5" ht="21.85" customHeight="1" x14ac:dyDescent="0.45">
      <c r="B14" s="624" t="s">
        <v>548</v>
      </c>
      <c r="C14" s="618" t="s">
        <v>568</v>
      </c>
      <c r="D14" s="619" t="s">
        <v>59</v>
      </c>
      <c r="E14" s="625">
        <f>'Initial Analysis Table'!E18</f>
        <v>0.27272727272727271</v>
      </c>
    </row>
    <row r="15" spans="2:5" ht="21.85" customHeight="1" x14ac:dyDescent="0.45">
      <c r="B15" s="624" t="s">
        <v>548</v>
      </c>
      <c r="C15" s="618" t="s">
        <v>569</v>
      </c>
      <c r="D15" s="619" t="s">
        <v>597</v>
      </c>
      <c r="E15" s="625">
        <f>'Initial Analysis Table'!E19</f>
        <v>0.54545454545454541</v>
      </c>
    </row>
    <row r="16" spans="2:5" ht="21.85" customHeight="1" x14ac:dyDescent="0.45">
      <c r="B16" s="624" t="s">
        <v>548</v>
      </c>
      <c r="C16" s="618" t="s">
        <v>570</v>
      </c>
      <c r="D16" s="619" t="s">
        <v>64</v>
      </c>
      <c r="E16" s="625">
        <f>'Initial Analysis Table'!E20</f>
        <v>0.81818181818181823</v>
      </c>
    </row>
    <row r="17" spans="2:5" ht="21.85" customHeight="1" x14ac:dyDescent="0.45">
      <c r="B17" s="624" t="s">
        <v>548</v>
      </c>
      <c r="C17" s="618" t="s">
        <v>571</v>
      </c>
      <c r="D17" s="619" t="s">
        <v>599</v>
      </c>
      <c r="E17" s="625">
        <f>'Initial Analysis Table'!E22</f>
        <v>8.1168831168831168E-2</v>
      </c>
    </row>
    <row r="18" spans="2:5" ht="21.85" customHeight="1" x14ac:dyDescent="0.45">
      <c r="B18" s="624" t="s">
        <v>548</v>
      </c>
      <c r="C18" s="618" t="s">
        <v>572</v>
      </c>
      <c r="D18" s="619" t="s">
        <v>72</v>
      </c>
      <c r="E18" s="625">
        <f>'Initial Analysis Table'!E24</f>
        <v>0.33534166206792926</v>
      </c>
    </row>
    <row r="19" spans="2:5" ht="21.85" customHeight="1" thickBot="1" x14ac:dyDescent="0.5">
      <c r="B19" s="626" t="s">
        <v>548</v>
      </c>
      <c r="C19" s="627" t="s">
        <v>573</v>
      </c>
      <c r="D19" s="628" t="s">
        <v>75</v>
      </c>
      <c r="E19" s="466">
        <f>'Initial Analysis Table'!E25</f>
        <v>0.48902975905712476</v>
      </c>
    </row>
    <row r="20" spans="2:5" ht="24.85" hidden="1" customHeight="1" x14ac:dyDescent="0.5">
      <c r="B20" s="616" t="s">
        <v>548</v>
      </c>
      <c r="C20" s="542" t="s">
        <v>573</v>
      </c>
      <c r="D20" s="292" t="s">
        <v>82</v>
      </c>
      <c r="E20" s="617">
        <f>'Continental Level Dashboard'!F94</f>
        <v>0.4277879808182839</v>
      </c>
    </row>
    <row r="21" spans="2:5" ht="24.85" hidden="1" customHeight="1" x14ac:dyDescent="0.45">
      <c r="B21" s="494" t="s">
        <v>548</v>
      </c>
      <c r="C21" s="469" t="s">
        <v>573</v>
      </c>
      <c r="D21" s="266" t="s">
        <v>602</v>
      </c>
      <c r="E21" s="194">
        <f>'Continental Level Dashboard'!F98</f>
        <v>0.18519723053544282</v>
      </c>
    </row>
    <row r="22" spans="2:5" ht="24.85" customHeight="1" thickBot="1" x14ac:dyDescent="0.5">
      <c r="B22" s="5" t="s">
        <v>548</v>
      </c>
      <c r="C22" s="5" t="s">
        <v>720</v>
      </c>
      <c r="D22" s="531"/>
      <c r="E22" s="466">
        <f>'Initial Analysis Table'!E27</f>
        <v>0.4277879808182839</v>
      </c>
    </row>
    <row r="23" spans="2:5" ht="24.85" customHeight="1" thickBot="1" x14ac:dyDescent="0.5">
      <c r="B23" s="5" t="s">
        <v>548</v>
      </c>
      <c r="C23" s="5" t="s">
        <v>721</v>
      </c>
      <c r="D23" s="531"/>
      <c r="E23" s="466">
        <f>'Initial Analysis Table'!E28</f>
        <v>0.18519723053544282</v>
      </c>
    </row>
    <row r="24" spans="2:5" ht="24.85" customHeight="1" x14ac:dyDescent="0.45">
      <c r="D24" s="531"/>
      <c r="E24" s="532"/>
    </row>
  </sheetData>
  <conditionalFormatting sqref="E2:E21">
    <cfRule type="colorScale" priority="3">
      <colorScale>
        <cfvo type="num" val="0"/>
        <cfvo type="num" val="0.6"/>
        <cfvo type="num" val="1"/>
        <color rgb="FFFF0000"/>
        <color rgb="FFFFFF00"/>
        <color rgb="FF92FB4B"/>
      </colorScale>
    </cfRule>
  </conditionalFormatting>
  <conditionalFormatting sqref="E22">
    <cfRule type="colorScale" priority="2">
      <colorScale>
        <cfvo type="num" val="0"/>
        <cfvo type="num" val="0.6"/>
        <cfvo type="num" val="1"/>
        <color rgb="FFFF0000"/>
        <color rgb="FFFFFF00"/>
        <color rgb="FF92FB4B"/>
      </colorScale>
    </cfRule>
  </conditionalFormatting>
  <conditionalFormatting sqref="E23">
    <cfRule type="colorScale" priority="1">
      <colorScale>
        <cfvo type="num" val="0"/>
        <cfvo type="num" val="0.6"/>
        <cfvo type="num" val="1"/>
        <color rgb="FFFF0000"/>
        <color rgb="FFFFFF00"/>
        <color rgb="FF92FB4B"/>
      </colorScale>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B88EB-6562-4DFF-A761-0C5719E7760C}">
  <dimension ref="B1:P31"/>
  <sheetViews>
    <sheetView topLeftCell="B16" zoomScaleNormal="100" workbookViewId="0">
      <selection activeCell="E19" sqref="E19"/>
    </sheetView>
  </sheetViews>
  <sheetFormatPr defaultColWidth="8.86328125" defaultRowHeight="14.25" x14ac:dyDescent="0.45"/>
  <cols>
    <col min="1" max="1" width="0" style="5" hidden="1" customWidth="1"/>
    <col min="2" max="2" width="14.796875" style="5" customWidth="1"/>
    <col min="3" max="3" width="14.19921875" style="5" customWidth="1"/>
    <col min="4" max="4" width="72.1328125" style="5" customWidth="1"/>
    <col min="5" max="5" width="15.73046875" style="5" customWidth="1"/>
    <col min="6" max="6" width="38.6640625" style="5" customWidth="1"/>
    <col min="7" max="7" width="36.59765625" style="30" customWidth="1"/>
    <col min="8" max="8" width="16.1328125" style="5" customWidth="1"/>
    <col min="9" max="9" width="4.86328125" style="5" customWidth="1"/>
    <col min="10" max="10" width="8.86328125" style="30"/>
    <col min="11" max="15" width="0" style="30" hidden="1" customWidth="1"/>
    <col min="16" max="16" width="8.86328125" style="30"/>
    <col min="17" max="19" width="28.46484375" style="5" customWidth="1"/>
    <col min="20" max="16384" width="8.86328125" style="5"/>
  </cols>
  <sheetData>
    <row r="1" spans="2:5" ht="22.5" customHeight="1" thickBot="1" x14ac:dyDescent="0.55000000000000004">
      <c r="B1" s="534" t="s">
        <v>576</v>
      </c>
      <c r="C1" s="530" t="s">
        <v>575</v>
      </c>
      <c r="D1" s="540" t="s">
        <v>574</v>
      </c>
      <c r="E1" s="530" t="s">
        <v>547</v>
      </c>
    </row>
    <row r="2" spans="2:5" ht="22.5" customHeight="1" thickBot="1" x14ac:dyDescent="0.5">
      <c r="B2" s="535" t="s">
        <v>546</v>
      </c>
      <c r="C2" s="541" t="s">
        <v>549</v>
      </c>
      <c r="D2" s="611" t="s">
        <v>592</v>
      </c>
      <c r="E2" s="194">
        <f>'Continental Level Dashboard'!F10</f>
        <v>0.32304923683604103</v>
      </c>
    </row>
    <row r="3" spans="2:5" ht="22.5" customHeight="1" thickBot="1" x14ac:dyDescent="0.5">
      <c r="B3" s="536" t="s">
        <v>548</v>
      </c>
      <c r="C3" s="542" t="s">
        <v>556</v>
      </c>
      <c r="D3" s="292" t="s">
        <v>1</v>
      </c>
      <c r="E3" s="194">
        <f>'Continental Level Dashboard'!F11</f>
        <v>0.61192517139664782</v>
      </c>
    </row>
    <row r="4" spans="2:5" ht="22.5" customHeight="1" thickBot="1" x14ac:dyDescent="0.5">
      <c r="B4" s="537" t="s">
        <v>548</v>
      </c>
      <c r="C4" s="468" t="s">
        <v>557</v>
      </c>
      <c r="D4" s="277" t="s">
        <v>11</v>
      </c>
      <c r="E4" s="194">
        <f>'Continental Level Dashboard'!F19</f>
        <v>0.24051739351608678</v>
      </c>
    </row>
    <row r="5" spans="2:5" ht="22.5" customHeight="1" thickBot="1" x14ac:dyDescent="0.5">
      <c r="B5" s="537" t="s">
        <v>548</v>
      </c>
      <c r="C5" s="468" t="s">
        <v>558</v>
      </c>
      <c r="D5" s="277" t="s">
        <v>13</v>
      </c>
      <c r="E5" s="194">
        <f>'Continental Level Dashboard'!F24</f>
        <v>0.4885352903509016</v>
      </c>
    </row>
    <row r="6" spans="2:5" ht="22.5" customHeight="1" thickBot="1" x14ac:dyDescent="0.5">
      <c r="B6" s="537" t="s">
        <v>548</v>
      </c>
      <c r="C6" s="468" t="s">
        <v>559</v>
      </c>
      <c r="D6" s="277" t="s">
        <v>18</v>
      </c>
      <c r="E6" s="194">
        <f>'Continental Level Dashboard'!F33</f>
        <v>0.18749360558000125</v>
      </c>
    </row>
    <row r="7" spans="2:5" ht="22.5" customHeight="1" thickBot="1" x14ac:dyDescent="0.5">
      <c r="B7" s="537" t="s">
        <v>548</v>
      </c>
      <c r="C7" s="468" t="s">
        <v>560</v>
      </c>
      <c r="D7" s="277" t="s">
        <v>26</v>
      </c>
      <c r="E7" s="194">
        <f>'Continental Level Dashboard'!F38</f>
        <v>3.4681364368655702E-2</v>
      </c>
    </row>
    <row r="8" spans="2:5" ht="22.5" customHeight="1" thickBot="1" x14ac:dyDescent="0.5">
      <c r="B8" s="537" t="s">
        <v>548</v>
      </c>
      <c r="C8" s="468" t="s">
        <v>561</v>
      </c>
      <c r="D8" s="277" t="s">
        <v>28</v>
      </c>
      <c r="E8" s="194">
        <f>'Continental Level Dashboard'!F41</f>
        <v>0.29480444946667234</v>
      </c>
    </row>
    <row r="9" spans="2:5" ht="22.5" customHeight="1" thickBot="1" x14ac:dyDescent="0.5">
      <c r="B9" s="538" t="s">
        <v>548</v>
      </c>
      <c r="C9" s="543" t="s">
        <v>562</v>
      </c>
      <c r="D9" s="612" t="s">
        <v>32</v>
      </c>
      <c r="E9" s="194">
        <f>'Continental Level Dashboard'!F44</f>
        <v>0.23957751358331125</v>
      </c>
    </row>
    <row r="10" spans="2:5" ht="35.25" customHeight="1" thickBot="1" x14ac:dyDescent="0.5">
      <c r="B10" s="535" t="s">
        <v>546</v>
      </c>
      <c r="C10" s="541" t="s">
        <v>550</v>
      </c>
      <c r="D10" s="611" t="s">
        <v>593</v>
      </c>
      <c r="E10" s="194">
        <f>'Continental Level Dashboard'!F47</f>
        <v>0.49411349722987025</v>
      </c>
    </row>
    <row r="11" spans="2:5" ht="20.350000000000001" customHeight="1" thickBot="1" x14ac:dyDescent="0.5">
      <c r="B11" s="536" t="s">
        <v>548</v>
      </c>
      <c r="C11" s="544" t="s">
        <v>563</v>
      </c>
      <c r="D11" s="292" t="s">
        <v>37</v>
      </c>
      <c r="E11" s="194">
        <f>'Continental Level Dashboard'!F48</f>
        <v>9.1080500424014013E-2</v>
      </c>
    </row>
    <row r="12" spans="2:5" ht="20.350000000000001" customHeight="1" thickBot="1" x14ac:dyDescent="0.5">
      <c r="B12" s="537" t="s">
        <v>548</v>
      </c>
      <c r="C12" s="544" t="s">
        <v>564</v>
      </c>
      <c r="D12" s="292" t="s">
        <v>39</v>
      </c>
      <c r="E12" s="194">
        <f>'Continental Level Dashboard'!F51</f>
        <v>0.9545454545454547</v>
      </c>
    </row>
    <row r="13" spans="2:5" ht="20.350000000000001" customHeight="1" thickBot="1" x14ac:dyDescent="0.5">
      <c r="B13" s="538" t="s">
        <v>548</v>
      </c>
      <c r="C13" s="544" t="s">
        <v>565</v>
      </c>
      <c r="D13" s="613" t="s">
        <v>40</v>
      </c>
      <c r="E13" s="194">
        <f>'Continental Level Dashboard'!F53</f>
        <v>0.43671453672014204</v>
      </c>
    </row>
    <row r="14" spans="2:5" ht="21.85" customHeight="1" thickBot="1" x14ac:dyDescent="0.5">
      <c r="B14" s="535" t="s">
        <v>546</v>
      </c>
      <c r="C14" s="541" t="s">
        <v>551</v>
      </c>
      <c r="D14" s="611" t="s">
        <v>594</v>
      </c>
      <c r="E14" s="194">
        <f>'Continental Level Dashboard'!F60</f>
        <v>0.20371443524390509</v>
      </c>
    </row>
    <row r="15" spans="2:5" ht="21.85" customHeight="1" thickBot="1" x14ac:dyDescent="0.5">
      <c r="B15" s="536" t="s">
        <v>548</v>
      </c>
      <c r="C15" s="544" t="s">
        <v>566</v>
      </c>
      <c r="D15" s="292" t="s">
        <v>48</v>
      </c>
      <c r="E15" s="194">
        <f>'Continental Level Dashboard'!F61</f>
        <v>0.39657006842609716</v>
      </c>
    </row>
    <row r="16" spans="2:5" ht="21.85" customHeight="1" thickBot="1" x14ac:dyDescent="0.5">
      <c r="B16" s="538" t="s">
        <v>548</v>
      </c>
      <c r="C16" s="544" t="s">
        <v>567</v>
      </c>
      <c r="D16" s="612" t="s">
        <v>595</v>
      </c>
      <c r="E16" s="194">
        <f>'Continental Level Dashboard'!F68</f>
        <v>1.0858802061713031E-2</v>
      </c>
    </row>
    <row r="17" spans="2:5" ht="21.85" customHeight="1" thickBot="1" x14ac:dyDescent="0.5">
      <c r="B17" s="535" t="s">
        <v>546</v>
      </c>
      <c r="C17" s="541" t="s">
        <v>552</v>
      </c>
      <c r="D17" s="611" t="s">
        <v>596</v>
      </c>
      <c r="E17" s="194">
        <f>'Continental Level Dashboard'!F70</f>
        <v>0.54545454545454553</v>
      </c>
    </row>
    <row r="18" spans="2:5" ht="21.85" customHeight="1" thickBot="1" x14ac:dyDescent="0.5">
      <c r="B18" s="536" t="s">
        <v>548</v>
      </c>
      <c r="C18" s="542" t="s">
        <v>568</v>
      </c>
      <c r="D18" s="292" t="s">
        <v>59</v>
      </c>
      <c r="E18" s="194">
        <f>'Continental Level Dashboard'!F71</f>
        <v>0.27272727272727271</v>
      </c>
    </row>
    <row r="19" spans="2:5" ht="21.85" customHeight="1" thickBot="1" x14ac:dyDescent="0.5">
      <c r="B19" s="537" t="s">
        <v>548</v>
      </c>
      <c r="C19" s="468" t="s">
        <v>569</v>
      </c>
      <c r="D19" s="277" t="s">
        <v>597</v>
      </c>
      <c r="E19" s="194">
        <f>'Continental Level Dashboard'!F73</f>
        <v>0.54545454545454541</v>
      </c>
    </row>
    <row r="20" spans="2:5" ht="21.85" customHeight="1" thickBot="1" x14ac:dyDescent="0.5">
      <c r="B20" s="538" t="s">
        <v>548</v>
      </c>
      <c r="C20" s="543" t="s">
        <v>570</v>
      </c>
      <c r="D20" s="612" t="s">
        <v>64</v>
      </c>
      <c r="E20" s="194">
        <f>'Continental Level Dashboard'!F75</f>
        <v>0.81818181818181823</v>
      </c>
    </row>
    <row r="21" spans="2:5" ht="21.85" customHeight="1" thickBot="1" x14ac:dyDescent="0.5">
      <c r="B21" s="535" t="s">
        <v>546</v>
      </c>
      <c r="C21" s="541" t="s">
        <v>553</v>
      </c>
      <c r="D21" s="611" t="s">
        <v>598</v>
      </c>
      <c r="E21" s="194">
        <f>'Continental Level Dashboard'!F77</f>
        <v>8.1168831168831168E-2</v>
      </c>
    </row>
    <row r="22" spans="2:5" ht="21.85" customHeight="1" thickBot="1" x14ac:dyDescent="0.5">
      <c r="B22" s="539" t="s">
        <v>548</v>
      </c>
      <c r="C22" s="544" t="s">
        <v>571</v>
      </c>
      <c r="D22" s="613" t="s">
        <v>599</v>
      </c>
      <c r="E22" s="194">
        <f>'Continental Level Dashboard'!F78</f>
        <v>8.1168831168831168E-2</v>
      </c>
    </row>
    <row r="23" spans="2:5" ht="21.85" customHeight="1" thickBot="1" x14ac:dyDescent="0.5">
      <c r="B23" s="535" t="s">
        <v>546</v>
      </c>
      <c r="C23" s="541" t="s">
        <v>554</v>
      </c>
      <c r="D23" s="611" t="s">
        <v>600</v>
      </c>
      <c r="E23" s="194">
        <f>'Continental Level Dashboard'!F80</f>
        <v>0.38657102773099444</v>
      </c>
    </row>
    <row r="24" spans="2:5" ht="21.85" customHeight="1" thickBot="1" x14ac:dyDescent="0.5">
      <c r="B24" s="536" t="s">
        <v>548</v>
      </c>
      <c r="C24" s="542" t="s">
        <v>572</v>
      </c>
      <c r="D24" s="613" t="s">
        <v>72</v>
      </c>
      <c r="E24" s="194">
        <f>'Continental Level Dashboard'!F81</f>
        <v>0.33534166206792926</v>
      </c>
    </row>
    <row r="25" spans="2:5" ht="21.85" customHeight="1" thickBot="1" x14ac:dyDescent="0.5">
      <c r="B25" s="538" t="s">
        <v>548</v>
      </c>
      <c r="C25" s="543" t="s">
        <v>573</v>
      </c>
      <c r="D25" s="612" t="s">
        <v>75</v>
      </c>
      <c r="E25" s="194">
        <f>'Continental Level Dashboard'!F87</f>
        <v>0.48902975905712476</v>
      </c>
    </row>
    <row r="26" spans="2:5" ht="38.65" customHeight="1" thickBot="1" x14ac:dyDescent="0.5">
      <c r="B26" s="535" t="s">
        <v>546</v>
      </c>
      <c r="C26" s="541" t="s">
        <v>555</v>
      </c>
      <c r="D26" s="611" t="s">
        <v>601</v>
      </c>
      <c r="E26" s="194">
        <f>'Continental Level Dashboard'!F93</f>
        <v>0.24584491810615308</v>
      </c>
    </row>
    <row r="27" spans="2:5" ht="22.25" customHeight="1" thickBot="1" x14ac:dyDescent="0.5">
      <c r="B27" s="493" t="s">
        <v>548</v>
      </c>
      <c r="C27" s="533" t="s">
        <v>720</v>
      </c>
      <c r="D27" s="258" t="s">
        <v>82</v>
      </c>
      <c r="E27" s="194">
        <f>'Continental Level Dashboard'!F94</f>
        <v>0.4277879808182839</v>
      </c>
    </row>
    <row r="28" spans="2:5" ht="22.25" customHeight="1" thickBot="1" x14ac:dyDescent="0.5">
      <c r="B28" s="494" t="s">
        <v>548</v>
      </c>
      <c r="C28" s="469" t="s">
        <v>721</v>
      </c>
      <c r="D28" s="266" t="s">
        <v>602</v>
      </c>
      <c r="E28" s="194">
        <f>'Continental Level Dashboard'!F98</f>
        <v>0.18519723053544282</v>
      </c>
    </row>
    <row r="29" spans="2:5" ht="24.85" customHeight="1" x14ac:dyDescent="0.45">
      <c r="D29" s="531"/>
      <c r="E29" s="532"/>
    </row>
    <row r="30" spans="2:5" ht="24.85" customHeight="1" x14ac:dyDescent="0.45">
      <c r="D30" s="531"/>
      <c r="E30" s="532"/>
    </row>
    <row r="31" spans="2:5" ht="24.85" customHeight="1" x14ac:dyDescent="0.45">
      <c r="D31" s="531"/>
      <c r="E31" s="532"/>
    </row>
  </sheetData>
  <conditionalFormatting sqref="E2:E28">
    <cfRule type="colorScale" priority="1">
      <colorScale>
        <cfvo type="num" val="0"/>
        <cfvo type="num" val="0.6"/>
        <cfvo type="num" val="1"/>
        <color rgb="FFFF0000"/>
        <color rgb="FFFFFF00"/>
        <color rgb="FF92FB4B"/>
      </colorScale>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08"/>
  <sheetViews>
    <sheetView topLeftCell="B1" zoomScale="70" zoomScaleNormal="70" workbookViewId="0">
      <selection activeCell="F6" sqref="F6"/>
    </sheetView>
  </sheetViews>
  <sheetFormatPr defaultColWidth="8.86328125" defaultRowHeight="14.25" x14ac:dyDescent="0.45"/>
  <cols>
    <col min="1" max="1" width="0" style="5" hidden="1" customWidth="1"/>
    <col min="2" max="2" width="24" style="5" customWidth="1"/>
    <col min="3" max="3" width="41.86328125" style="5" customWidth="1"/>
    <col min="4" max="4" width="38.6640625" style="5" customWidth="1"/>
    <col min="5" max="5" width="36.59765625" style="30" customWidth="1"/>
    <col min="6" max="6" width="16.1328125" style="5" customWidth="1"/>
    <col min="7" max="7" width="4.86328125" style="5" customWidth="1"/>
    <col min="8" max="8" width="8.86328125" style="30"/>
    <col min="9" max="13" width="0" style="30" hidden="1" customWidth="1"/>
    <col min="14" max="14" width="8.86328125" style="30"/>
    <col min="15" max="17" width="28.46484375" style="5" customWidth="1"/>
    <col min="18" max="16384" width="8.86328125" style="5"/>
  </cols>
  <sheetData>
    <row r="1" spans="1:14" x14ac:dyDescent="0.45">
      <c r="B1" s="413"/>
      <c r="C1" s="414"/>
      <c r="D1" s="414"/>
      <c r="E1" s="415"/>
      <c r="F1" s="416"/>
    </row>
    <row r="2" spans="1:14" ht="46.15" customHeight="1" x14ac:dyDescent="0.45">
      <c r="B2" s="1576" t="s">
        <v>534</v>
      </c>
      <c r="C2" s="1577"/>
      <c r="D2" s="1577"/>
      <c r="E2" s="1577"/>
      <c r="F2" s="1578"/>
    </row>
    <row r="3" spans="1:14" x14ac:dyDescent="0.45">
      <c r="B3" s="398"/>
      <c r="C3" s="399"/>
      <c r="D3" s="400"/>
      <c r="E3" s="399"/>
      <c r="F3" s="401"/>
    </row>
    <row r="4" spans="1:14" ht="26.45" customHeight="1" x14ac:dyDescent="0.45">
      <c r="B4" s="398"/>
      <c r="C4" s="1492" t="s">
        <v>722</v>
      </c>
      <c r="D4" s="1493"/>
      <c r="E4" s="399"/>
      <c r="F4" s="402"/>
    </row>
    <row r="5" spans="1:14" ht="18.399999999999999" thickBot="1" x14ac:dyDescent="0.6">
      <c r="B5" s="1482"/>
      <c r="C5" s="1483"/>
      <c r="D5" s="1483"/>
      <c r="E5" s="399"/>
      <c r="F5" s="401"/>
    </row>
    <row r="6" spans="1:14" ht="23.65" thickBot="1" x14ac:dyDescent="0.75">
      <c r="B6" s="403"/>
      <c r="C6" s="404"/>
      <c r="D6" s="404"/>
      <c r="E6" s="409" t="s">
        <v>364</v>
      </c>
      <c r="F6" s="195">
        <f>'Continental Dboard Targets'!G6</f>
        <v>0.34382085310865373</v>
      </c>
    </row>
    <row r="7" spans="1:14" ht="18.399999999999999" thickBot="1" x14ac:dyDescent="0.6">
      <c r="B7" s="405"/>
      <c r="C7" s="406"/>
      <c r="D7" s="406"/>
      <c r="E7" s="407"/>
      <c r="F7" s="408"/>
    </row>
    <row r="8" spans="1:14" ht="6.75" customHeight="1" thickBot="1" x14ac:dyDescent="0.5">
      <c r="B8" s="1484"/>
      <c r="C8" s="1485"/>
      <c r="D8" s="1486"/>
      <c r="E8" s="412"/>
      <c r="F8" s="417"/>
    </row>
    <row r="9" spans="1:14" ht="25.25" customHeight="1" thickBot="1" x14ac:dyDescent="0.5">
      <c r="B9" s="410" t="s">
        <v>2</v>
      </c>
      <c r="C9" s="410" t="s">
        <v>3</v>
      </c>
      <c r="D9" s="410" t="s">
        <v>535</v>
      </c>
      <c r="E9" s="410" t="s">
        <v>102</v>
      </c>
      <c r="F9" s="411" t="s">
        <v>536</v>
      </c>
      <c r="I9" s="52" t="s">
        <v>151</v>
      </c>
      <c r="J9" s="53"/>
      <c r="K9" s="53"/>
      <c r="L9" s="53"/>
      <c r="M9" s="54"/>
    </row>
    <row r="10" spans="1:14" ht="25.25" customHeight="1" thickBot="1" x14ac:dyDescent="0.5">
      <c r="B10" s="1487" t="s">
        <v>0</v>
      </c>
      <c r="C10" s="1488"/>
      <c r="D10" s="1489"/>
      <c r="E10" s="184"/>
      <c r="F10" s="194">
        <f>'Continental Dboard Targets'!G10</f>
        <v>0.32304923683604103</v>
      </c>
      <c r="I10" s="185"/>
      <c r="J10" s="186"/>
      <c r="K10" s="186"/>
      <c r="L10" s="186"/>
      <c r="M10" s="187"/>
    </row>
    <row r="11" spans="1:14" s="109" customFormat="1" ht="25.25" customHeight="1" thickBot="1" x14ac:dyDescent="0.5">
      <c r="B11" s="1490" t="s">
        <v>1</v>
      </c>
      <c r="C11" s="1491"/>
      <c r="D11" s="1491"/>
      <c r="E11" s="763"/>
      <c r="F11" s="194">
        <f>'Continental Dboard Targets'!G11</f>
        <v>0.61192517139664782</v>
      </c>
      <c r="H11" s="189"/>
      <c r="I11" s="190"/>
      <c r="J11" s="191"/>
      <c r="K11" s="191"/>
      <c r="L11" s="191"/>
      <c r="M11" s="192"/>
      <c r="N11" s="189"/>
    </row>
    <row r="12" spans="1:14" ht="27.6" customHeight="1" x14ac:dyDescent="0.45">
      <c r="A12" s="1494">
        <v>1</v>
      </c>
      <c r="B12" s="1503" t="s">
        <v>4</v>
      </c>
      <c r="C12" s="561" t="s">
        <v>111</v>
      </c>
      <c r="D12" s="59" t="s">
        <v>5</v>
      </c>
      <c r="E12" s="557" t="s">
        <v>97</v>
      </c>
      <c r="F12" s="1505">
        <f>'Continental Dboard Targets'!G12:G13</f>
        <v>0.56849153929664242</v>
      </c>
      <c r="I12" s="31" t="s">
        <v>109</v>
      </c>
      <c r="J12" s="32" t="e">
        <f>#REF!</f>
        <v>#REF!</v>
      </c>
      <c r="K12" s="33"/>
      <c r="L12" s="33"/>
      <c r="M12" s="34"/>
    </row>
    <row r="13" spans="1:14" ht="27" customHeight="1" thickBot="1" x14ac:dyDescent="0.5">
      <c r="A13" s="1494"/>
      <c r="B13" s="1504"/>
      <c r="C13" s="562" t="s">
        <v>112</v>
      </c>
      <c r="D13" s="61" t="s">
        <v>281</v>
      </c>
      <c r="E13" s="553" t="s">
        <v>98</v>
      </c>
      <c r="F13" s="1506"/>
      <c r="I13" s="35">
        <v>0.02</v>
      </c>
      <c r="J13" s="36" t="e">
        <f>(J12-(J12*I13))</f>
        <v>#REF!</v>
      </c>
      <c r="K13" s="36" t="e">
        <f>J12-(I13*J12)</f>
        <v>#REF!</v>
      </c>
      <c r="L13" s="33"/>
      <c r="M13" s="34"/>
    </row>
    <row r="14" spans="1:14" ht="32.450000000000003" customHeight="1" x14ac:dyDescent="0.45">
      <c r="A14" s="1494">
        <v>2</v>
      </c>
      <c r="B14" s="1507" t="s">
        <v>6</v>
      </c>
      <c r="C14" s="563" t="s">
        <v>273</v>
      </c>
      <c r="D14" s="564" t="s">
        <v>7</v>
      </c>
      <c r="E14" s="554" t="s">
        <v>99</v>
      </c>
      <c r="F14" s="1509">
        <f>'Continental Dboard Targets'!G14:G15</f>
        <v>0.35984199031507558</v>
      </c>
      <c r="I14" s="35">
        <v>0.02</v>
      </c>
      <c r="J14" s="36" t="e">
        <f>(#REF!-(#REF!*I14))</f>
        <v>#REF!</v>
      </c>
      <c r="K14" s="36" t="e">
        <f>(J12-(I13*J12))-((J12-(I13*J12))*0.02)-(((J12-(I13*J12))-((J12-(I13*J12))*0.02))*0.02)-(((J12-(I13*J12))-((J12-(I13*J12))*0.02)-(((J12-(I13*J12))-((J12-(I13*J12))*0.02))*0.02))*0.02)</f>
        <v>#REF!</v>
      </c>
      <c r="L14" s="37" t="e">
        <f>(J12-J15)/J12</f>
        <v>#REF!</v>
      </c>
      <c r="M14" s="34"/>
    </row>
    <row r="15" spans="1:14" ht="33" customHeight="1" thickBot="1" x14ac:dyDescent="0.5">
      <c r="A15" s="1494"/>
      <c r="B15" s="1508"/>
      <c r="C15" s="563" t="s">
        <v>274</v>
      </c>
      <c r="D15" s="564" t="s">
        <v>8</v>
      </c>
      <c r="E15" s="555" t="s">
        <v>100</v>
      </c>
      <c r="F15" s="1510"/>
      <c r="I15" s="38">
        <v>0.02</v>
      </c>
      <c r="J15" s="39" t="e">
        <f>(#REF!-(#REF!*I15))</f>
        <v>#REF!</v>
      </c>
      <c r="K15" s="39" t="e">
        <f>(J12-(I13*J12))-((J12-(I13*J12))*0.02)-(((J12-(I13*J12))-((J12-(I13*J12))*0.02))*0.02)-(((J12-(I13*J12))-((J12-(I13*J12))*0.02)-(((J12-(I13*J12))-((J12-(I13*J12))*0.02))*0.02))*0.02)-(((J12-(I13*J12))-((J12-(I13*J12))*0.02)-(((J12-(I13*J12))-((J12-(I13*J12))*0.02))*0.02)-(((J12-(I13*J12))-((J12-(I13*J12))*0.02)-(((J12-(I13*J12))-((J12-(I13*J13))*0.02))*0.02))*0.02))*0.02)-(((J12-(I13*J12))-((J12-(I13*J12))*0.02)-(((J12-(I13*J12))-((J12-(I13*J12))*0.02))*0.02)-(((J12-(I13*J12))-((J12-(I13*J12))*0.02)-(((J12-(I13*J12))-((J12-(I13*J12))*0.02))*0.02))*0.02)-(((J12-(I13*J12))-((J12-(I13*J12))*0.02)-(((J12-(I13*J12))-((J12-(I13*J12))*0.02))*0.02)-(((J12-(I13*J12))-((J12-(I13*J12))*0.02)-(((J12-(I13*J12))-((J12-(I13*J12))*0.02))*0.02))*0.02))*0.02))*0.02)</f>
        <v>#REF!</v>
      </c>
      <c r="L15" s="40" t="e">
        <f>J12-K15</f>
        <v>#REF!</v>
      </c>
      <c r="M15" s="41"/>
    </row>
    <row r="16" spans="1:14" ht="22.25" customHeight="1" x14ac:dyDescent="0.45">
      <c r="A16" s="1494">
        <v>3</v>
      </c>
      <c r="B16" s="1495" t="s">
        <v>9</v>
      </c>
      <c r="C16" s="1498" t="s">
        <v>113</v>
      </c>
      <c r="D16" s="564" t="s">
        <v>221</v>
      </c>
      <c r="E16" s="558" t="s">
        <v>101</v>
      </c>
      <c r="F16" s="1500">
        <f>'Continental Dboard Targets'!G16:G18</f>
        <v>0.90744198457822556</v>
      </c>
    </row>
    <row r="17" spans="1:6" x14ac:dyDescent="0.45">
      <c r="A17" s="1494"/>
      <c r="B17" s="1496"/>
      <c r="C17" s="1498"/>
      <c r="D17" s="564" t="s">
        <v>220</v>
      </c>
      <c r="E17" s="559" t="s">
        <v>95</v>
      </c>
      <c r="F17" s="1501"/>
    </row>
    <row r="18" spans="1:6" ht="25.25" customHeight="1" thickBot="1" x14ac:dyDescent="0.5">
      <c r="A18" s="1494"/>
      <c r="B18" s="1497"/>
      <c r="C18" s="1499"/>
      <c r="D18" s="565" t="s">
        <v>10</v>
      </c>
      <c r="E18" s="560" t="s">
        <v>162</v>
      </c>
      <c r="F18" s="1502"/>
    </row>
    <row r="19" spans="1:6" ht="26.25" customHeight="1" thickBot="1" x14ac:dyDescent="0.7">
      <c r="A19" s="14"/>
      <c r="B19" s="1490" t="s">
        <v>11</v>
      </c>
      <c r="C19" s="1511"/>
      <c r="D19" s="1512"/>
      <c r="E19" s="44"/>
      <c r="F19" s="194">
        <f>'Continental Dboard Targets'!G19</f>
        <v>0.24051739351608678</v>
      </c>
    </row>
    <row r="20" spans="1:6" ht="34.25" customHeight="1" x14ac:dyDescent="0.45">
      <c r="A20" s="1494">
        <v>4</v>
      </c>
      <c r="B20" s="1513" t="s">
        <v>12</v>
      </c>
      <c r="C20" s="58" t="s">
        <v>114</v>
      </c>
      <c r="D20" s="59" t="s">
        <v>222</v>
      </c>
      <c r="E20" s="422" t="s">
        <v>163</v>
      </c>
      <c r="F20" s="1516">
        <f>'Continental Dboard Targets'!G20:G23</f>
        <v>0.24051739351608678</v>
      </c>
    </row>
    <row r="21" spans="1:6" ht="39" customHeight="1" x14ac:dyDescent="0.45">
      <c r="A21" s="1494"/>
      <c r="B21" s="1514"/>
      <c r="C21" s="206" t="s">
        <v>152</v>
      </c>
      <c r="D21" s="61" t="s">
        <v>265</v>
      </c>
      <c r="E21" s="423" t="s">
        <v>164</v>
      </c>
      <c r="F21" s="1517"/>
    </row>
    <row r="22" spans="1:6" ht="56.45" customHeight="1" x14ac:dyDescent="0.45">
      <c r="A22" s="1494"/>
      <c r="B22" s="1514"/>
      <c r="C22" s="206" t="s">
        <v>153</v>
      </c>
      <c r="D22" s="61" t="s">
        <v>155</v>
      </c>
      <c r="E22" s="423" t="s">
        <v>165</v>
      </c>
      <c r="F22" s="1517"/>
    </row>
    <row r="23" spans="1:6" ht="36.6" customHeight="1" thickBot="1" x14ac:dyDescent="0.5">
      <c r="A23" s="1494"/>
      <c r="B23" s="1515"/>
      <c r="C23" s="64" t="s">
        <v>154</v>
      </c>
      <c r="D23" s="87" t="s">
        <v>156</v>
      </c>
      <c r="E23" s="424" t="s">
        <v>95</v>
      </c>
      <c r="F23" s="1518"/>
    </row>
    <row r="24" spans="1:6" ht="20.45" customHeight="1" thickBot="1" x14ac:dyDescent="0.5">
      <c r="B24" s="1490" t="s">
        <v>13</v>
      </c>
      <c r="C24" s="1519"/>
      <c r="D24" s="1520"/>
      <c r="E24" s="44"/>
      <c r="F24" s="194">
        <f>'Continental Dboard Targets'!G24</f>
        <v>0.4885352903509016</v>
      </c>
    </row>
    <row r="25" spans="1:6" ht="36" customHeight="1" x14ac:dyDescent="0.45">
      <c r="A25" s="1494">
        <v>5</v>
      </c>
      <c r="B25" s="1521" t="s">
        <v>14</v>
      </c>
      <c r="C25" s="201" t="s">
        <v>115</v>
      </c>
      <c r="D25" s="201" t="s">
        <v>280</v>
      </c>
      <c r="E25" s="425" t="s">
        <v>166</v>
      </c>
      <c r="F25" s="1516">
        <f>'Continental Dboard Targets'!G25:G32</f>
        <v>0.4885352903509016</v>
      </c>
    </row>
    <row r="26" spans="1:6" ht="19.8" customHeight="1" x14ac:dyDescent="0.45">
      <c r="A26" s="1494"/>
      <c r="B26" s="1522"/>
      <c r="C26" s="1527" t="s">
        <v>158</v>
      </c>
      <c r="D26" s="202" t="s">
        <v>15</v>
      </c>
      <c r="E26" s="426" t="s">
        <v>167</v>
      </c>
      <c r="F26" s="1517"/>
    </row>
    <row r="27" spans="1:6" ht="19.8" customHeight="1" x14ac:dyDescent="0.45">
      <c r="A27" s="1494"/>
      <c r="B27" s="1522"/>
      <c r="C27" s="1528"/>
      <c r="D27" s="202" t="s">
        <v>16</v>
      </c>
      <c r="E27" s="426" t="s">
        <v>168</v>
      </c>
      <c r="F27" s="1517"/>
    </row>
    <row r="28" spans="1:6" ht="19.8" customHeight="1" x14ac:dyDescent="0.45">
      <c r="A28" s="1494"/>
      <c r="B28" s="1522"/>
      <c r="C28" s="1528"/>
      <c r="D28" s="202" t="s">
        <v>17</v>
      </c>
      <c r="E28" s="426" t="s">
        <v>169</v>
      </c>
      <c r="F28" s="1517"/>
    </row>
    <row r="29" spans="1:6" ht="30.6" customHeight="1" x14ac:dyDescent="0.45">
      <c r="A29" s="200"/>
      <c r="B29" s="1522"/>
      <c r="C29" s="1529" t="s">
        <v>116</v>
      </c>
      <c r="D29" s="202" t="s">
        <v>148</v>
      </c>
      <c r="E29" s="426" t="s">
        <v>170</v>
      </c>
      <c r="F29" s="1525"/>
    </row>
    <row r="30" spans="1:6" ht="20.45" customHeight="1" x14ac:dyDescent="0.45">
      <c r="A30" s="200"/>
      <c r="B30" s="1522"/>
      <c r="C30" s="1530"/>
      <c r="D30" s="202" t="s">
        <v>149</v>
      </c>
      <c r="E30" s="426" t="s">
        <v>171</v>
      </c>
      <c r="F30" s="1525"/>
    </row>
    <row r="31" spans="1:6" ht="20.45" customHeight="1" x14ac:dyDescent="0.45">
      <c r="A31" s="200"/>
      <c r="B31" s="1523"/>
      <c r="C31" s="1530"/>
      <c r="D31" s="206" t="s">
        <v>150</v>
      </c>
      <c r="E31" s="426" t="s">
        <v>172</v>
      </c>
      <c r="F31" s="1525"/>
    </row>
    <row r="32" spans="1:6" ht="23.65" thickBot="1" x14ac:dyDescent="0.5">
      <c r="A32" s="200"/>
      <c r="B32" s="1524"/>
      <c r="C32" s="64" t="s">
        <v>117</v>
      </c>
      <c r="D32" s="105" t="s">
        <v>223</v>
      </c>
      <c r="E32" s="427" t="s">
        <v>95</v>
      </c>
      <c r="F32" s="1526"/>
    </row>
    <row r="33" spans="1:6" ht="20.45" customHeight="1" thickBot="1" x14ac:dyDescent="0.5">
      <c r="B33" s="1531" t="s">
        <v>18</v>
      </c>
      <c r="C33" s="1532"/>
      <c r="D33" s="1533"/>
      <c r="E33" s="44"/>
      <c r="F33" s="194">
        <f>'Continental Dboard Targets'!G33</f>
        <v>0.18749360558000125</v>
      </c>
    </row>
    <row r="34" spans="1:6" ht="33.6" customHeight="1" thickBot="1" x14ac:dyDescent="0.5">
      <c r="A34" s="200">
        <v>6</v>
      </c>
      <c r="B34" s="65" t="s">
        <v>19</v>
      </c>
      <c r="C34" s="66" t="s">
        <v>287</v>
      </c>
      <c r="D34" s="65" t="s">
        <v>288</v>
      </c>
      <c r="E34" s="428" t="s">
        <v>97</v>
      </c>
      <c r="F34" s="95">
        <f>'Continental Dboard Targets'!G34</f>
        <v>0.16422287390029325</v>
      </c>
    </row>
    <row r="35" spans="1:6" ht="51" customHeight="1" thickBot="1" x14ac:dyDescent="0.5">
      <c r="A35" s="200">
        <v>7</v>
      </c>
      <c r="B35" s="65" t="s">
        <v>20</v>
      </c>
      <c r="C35" s="65" t="s">
        <v>118</v>
      </c>
      <c r="D35" s="65" t="s">
        <v>21</v>
      </c>
      <c r="E35" s="428" t="s">
        <v>173</v>
      </c>
      <c r="F35" s="95">
        <f>'Continental Dboard Targets'!G35</f>
        <v>0.16809673946055478</v>
      </c>
    </row>
    <row r="36" spans="1:6" ht="40.799999999999997" customHeight="1" thickBot="1" x14ac:dyDescent="0.5">
      <c r="A36" s="200">
        <v>8</v>
      </c>
      <c r="B36" s="65" t="s">
        <v>22</v>
      </c>
      <c r="C36" s="65" t="s">
        <v>119</v>
      </c>
      <c r="D36" s="65" t="s">
        <v>23</v>
      </c>
      <c r="E36" s="428" t="s">
        <v>174</v>
      </c>
      <c r="F36" s="95">
        <f>'Continental Dboard Targets'!G36</f>
        <v>6.916996047430829E-2</v>
      </c>
    </row>
    <row r="37" spans="1:6" ht="32.450000000000003" customHeight="1" thickBot="1" x14ac:dyDescent="0.5">
      <c r="A37" s="200">
        <v>9</v>
      </c>
      <c r="B37" s="65" t="s">
        <v>24</v>
      </c>
      <c r="C37" s="65" t="s">
        <v>275</v>
      </c>
      <c r="D37" s="67" t="s">
        <v>25</v>
      </c>
      <c r="E37" s="429" t="s">
        <v>175</v>
      </c>
      <c r="F37" s="95">
        <f>'Continental Dboard Targets'!G37</f>
        <v>0.34848484848484851</v>
      </c>
    </row>
    <row r="38" spans="1:6" ht="30.6" customHeight="1" thickBot="1" x14ac:dyDescent="0.5">
      <c r="B38" s="1534" t="s">
        <v>26</v>
      </c>
      <c r="C38" s="1535"/>
      <c r="D38" s="1536"/>
      <c r="E38" s="45"/>
      <c r="F38" s="95">
        <f>'Continental Dboard Targets'!G38</f>
        <v>3.4681364368655702E-2</v>
      </c>
    </row>
    <row r="39" spans="1:6" ht="25.8" customHeight="1" x14ac:dyDescent="0.45">
      <c r="A39" s="1494">
        <v>10</v>
      </c>
      <c r="B39" s="1513" t="s">
        <v>27</v>
      </c>
      <c r="C39" s="90" t="s">
        <v>120</v>
      </c>
      <c r="D39" s="91" t="s">
        <v>224</v>
      </c>
      <c r="E39" s="430" t="s">
        <v>176</v>
      </c>
      <c r="F39" s="1500">
        <f>'Continental Dboard Targets'!G39:G40</f>
        <v>3.4681364368655702E-2</v>
      </c>
    </row>
    <row r="40" spans="1:6" ht="35.25" thickBot="1" x14ac:dyDescent="0.5">
      <c r="A40" s="1494"/>
      <c r="B40" s="1515"/>
      <c r="C40" s="86" t="s">
        <v>157</v>
      </c>
      <c r="D40" s="456" t="s">
        <v>225</v>
      </c>
      <c r="E40" s="436" t="s">
        <v>95</v>
      </c>
      <c r="F40" s="1502"/>
    </row>
    <row r="41" spans="1:6" ht="20.45" customHeight="1" thickBot="1" x14ac:dyDescent="0.5">
      <c r="B41" s="1537" t="s">
        <v>28</v>
      </c>
      <c r="C41" s="1538"/>
      <c r="D41" s="1539"/>
      <c r="E41" s="46"/>
      <c r="F41" s="194">
        <f>'Continental Dboard Targets'!G41</f>
        <v>0.29480444946667234</v>
      </c>
    </row>
    <row r="42" spans="1:6" ht="34.9" x14ac:dyDescent="0.45">
      <c r="A42" s="1494">
        <v>11</v>
      </c>
      <c r="B42" s="1540" t="s">
        <v>29</v>
      </c>
      <c r="C42" s="204" t="s">
        <v>121</v>
      </c>
      <c r="D42" s="201" t="s">
        <v>30</v>
      </c>
      <c r="E42" s="457" t="s">
        <v>177</v>
      </c>
      <c r="F42" s="1542">
        <f>'Continental Dboard Targets'!G42:G43</f>
        <v>0.29480444946667234</v>
      </c>
    </row>
    <row r="43" spans="1:6" ht="35.25" thickBot="1" x14ac:dyDescent="0.5">
      <c r="A43" s="1494"/>
      <c r="B43" s="1541"/>
      <c r="C43" s="205" t="s">
        <v>122</v>
      </c>
      <c r="D43" s="203" t="s">
        <v>31</v>
      </c>
      <c r="E43" s="458" t="s">
        <v>95</v>
      </c>
      <c r="F43" s="1543"/>
    </row>
    <row r="44" spans="1:6" ht="30.6" customHeight="1" thickBot="1" x14ac:dyDescent="0.5">
      <c r="B44" s="1490" t="s">
        <v>32</v>
      </c>
      <c r="C44" s="1519"/>
      <c r="D44" s="1520"/>
      <c r="E44" s="44"/>
      <c r="F44" s="194">
        <f>'Continental Dboard Targets'!G44</f>
        <v>0.23957751358331125</v>
      </c>
    </row>
    <row r="45" spans="1:6" ht="37.799999999999997" customHeight="1" x14ac:dyDescent="0.45">
      <c r="A45" s="1494">
        <v>12</v>
      </c>
      <c r="B45" s="1540" t="s">
        <v>33</v>
      </c>
      <c r="C45" s="201" t="s">
        <v>123</v>
      </c>
      <c r="D45" s="201" t="s">
        <v>34</v>
      </c>
      <c r="E45" s="420" t="s">
        <v>178</v>
      </c>
      <c r="F45" s="1500">
        <f>'Continental Dboard Targets'!G45:G46</f>
        <v>0.23957751358331125</v>
      </c>
    </row>
    <row r="46" spans="1:6" ht="35.25" thickBot="1" x14ac:dyDescent="0.5">
      <c r="A46" s="1494"/>
      <c r="B46" s="1541"/>
      <c r="C46" s="203" t="s">
        <v>124</v>
      </c>
      <c r="D46" s="203" t="s">
        <v>35</v>
      </c>
      <c r="E46" s="421" t="s">
        <v>179</v>
      </c>
      <c r="F46" s="1502"/>
    </row>
    <row r="47" spans="1:6" ht="30.6" customHeight="1" thickBot="1" x14ac:dyDescent="0.5">
      <c r="B47" s="1544" t="s">
        <v>36</v>
      </c>
      <c r="C47" s="1545"/>
      <c r="D47" s="1546"/>
      <c r="E47" s="47"/>
      <c r="F47" s="194">
        <f>'Continental Dboard Targets'!G47</f>
        <v>0.49411349722987025</v>
      </c>
    </row>
    <row r="48" spans="1:6" ht="20.45" customHeight="1" thickBot="1" x14ac:dyDescent="0.5">
      <c r="B48" s="1547" t="s">
        <v>37</v>
      </c>
      <c r="C48" s="1491"/>
      <c r="D48" s="1548"/>
      <c r="E48" s="63"/>
      <c r="F48" s="194">
        <f>'Continental Dboard Targets'!G48</f>
        <v>9.1080500424014013E-2</v>
      </c>
    </row>
    <row r="49" spans="1:8" ht="37.799999999999997" customHeight="1" x14ac:dyDescent="0.45">
      <c r="A49" s="1494">
        <v>13</v>
      </c>
      <c r="B49" s="1540" t="s">
        <v>38</v>
      </c>
      <c r="C49" s="197" t="s">
        <v>125</v>
      </c>
      <c r="D49" s="70" t="s">
        <v>289</v>
      </c>
      <c r="E49" s="425" t="s">
        <v>95</v>
      </c>
      <c r="F49" s="1549">
        <f>'Continental Dboard Targets'!G49:G50</f>
        <v>9.1080500424014013E-2</v>
      </c>
      <c r="H49" s="610"/>
    </row>
    <row r="50" spans="1:8" ht="30.6" customHeight="1" thickBot="1" x14ac:dyDescent="0.5">
      <c r="A50" s="1494"/>
      <c r="B50" s="1541"/>
      <c r="C50" s="198" t="s">
        <v>126</v>
      </c>
      <c r="D50" s="198" t="s">
        <v>290</v>
      </c>
      <c r="E50" s="427" t="s">
        <v>95</v>
      </c>
      <c r="F50" s="1550"/>
      <c r="H50" s="610"/>
    </row>
    <row r="51" spans="1:8" ht="23.65" customHeight="1" thickBot="1" x14ac:dyDescent="0.5">
      <c r="B51" s="1490" t="s">
        <v>39</v>
      </c>
      <c r="C51" s="1519"/>
      <c r="D51" s="1520"/>
      <c r="E51" s="48"/>
      <c r="F51" s="194">
        <f>'Continental Dboard Targets'!G51</f>
        <v>0.9545454545454547</v>
      </c>
      <c r="H51" s="610"/>
    </row>
    <row r="52" spans="1:8" ht="30.6" customHeight="1" thickBot="1" x14ac:dyDescent="0.5">
      <c r="A52" s="21">
        <v>14</v>
      </c>
      <c r="B52" s="418" t="s">
        <v>226</v>
      </c>
      <c r="C52" s="419" t="s">
        <v>272</v>
      </c>
      <c r="D52" s="93" t="s">
        <v>266</v>
      </c>
      <c r="E52" s="432" t="s">
        <v>95</v>
      </c>
      <c r="F52" s="95">
        <f>'Continental Dboard Targets'!G52</f>
        <v>0.9545454545454547</v>
      </c>
    </row>
    <row r="53" spans="1:8" ht="27.75" customHeight="1" thickBot="1" x14ac:dyDescent="0.5">
      <c r="B53" s="1490" t="s">
        <v>40</v>
      </c>
      <c r="C53" s="1519"/>
      <c r="D53" s="1520"/>
      <c r="E53" s="43"/>
      <c r="F53" s="194">
        <f>'Continental Dboard Targets'!G53</f>
        <v>0.43671453672014204</v>
      </c>
    </row>
    <row r="54" spans="1:8" ht="43.8" customHeight="1" x14ac:dyDescent="0.45">
      <c r="A54" s="1494">
        <v>15</v>
      </c>
      <c r="B54" s="1513" t="s">
        <v>108</v>
      </c>
      <c r="C54" s="71" t="s">
        <v>127</v>
      </c>
      <c r="D54" s="72" t="s">
        <v>41</v>
      </c>
      <c r="E54" s="433" t="s">
        <v>95</v>
      </c>
      <c r="F54" s="1554">
        <f>'Continental Dboard Targets'!G54:G59</f>
        <v>0.43671453672014204</v>
      </c>
    </row>
    <row r="55" spans="1:8" ht="35.450000000000003" customHeight="1" x14ac:dyDescent="0.45">
      <c r="A55" s="1494"/>
      <c r="B55" s="1514"/>
      <c r="C55" s="104" t="s">
        <v>128</v>
      </c>
      <c r="D55" s="73" t="s">
        <v>42</v>
      </c>
      <c r="E55" s="434" t="s">
        <v>95</v>
      </c>
      <c r="F55" s="1555"/>
    </row>
    <row r="56" spans="1:8" ht="34.25" customHeight="1" x14ac:dyDescent="0.45">
      <c r="A56" s="1494"/>
      <c r="B56" s="1514"/>
      <c r="C56" s="104" t="s">
        <v>129</v>
      </c>
      <c r="D56" s="73" t="s">
        <v>43</v>
      </c>
      <c r="E56" s="434" t="s">
        <v>95</v>
      </c>
      <c r="F56" s="1555"/>
    </row>
    <row r="57" spans="1:8" ht="37.25" customHeight="1" x14ac:dyDescent="0.45">
      <c r="A57" s="1494"/>
      <c r="B57" s="1514"/>
      <c r="C57" s="104" t="s">
        <v>130</v>
      </c>
      <c r="D57" s="73" t="s">
        <v>44</v>
      </c>
      <c r="E57" s="434" t="s">
        <v>101</v>
      </c>
      <c r="F57" s="1555"/>
    </row>
    <row r="58" spans="1:8" ht="22.8" customHeight="1" x14ac:dyDescent="0.45">
      <c r="A58" s="1494"/>
      <c r="B58" s="1514"/>
      <c r="C58" s="1557" t="s">
        <v>131</v>
      </c>
      <c r="D58" s="73" t="s">
        <v>45</v>
      </c>
      <c r="E58" s="434" t="s">
        <v>180</v>
      </c>
      <c r="F58" s="1555"/>
    </row>
    <row r="59" spans="1:8" ht="15" customHeight="1" thickBot="1" x14ac:dyDescent="0.5">
      <c r="A59" s="1494"/>
      <c r="B59" s="1515"/>
      <c r="C59" s="1558"/>
      <c r="D59" s="56" t="s">
        <v>46</v>
      </c>
      <c r="E59" s="435" t="s">
        <v>95</v>
      </c>
      <c r="F59" s="1556"/>
    </row>
    <row r="60" spans="1:8" ht="23.45" customHeight="1" thickBot="1" x14ac:dyDescent="0.5">
      <c r="B60" s="1544" t="s">
        <v>47</v>
      </c>
      <c r="C60" s="1545"/>
      <c r="D60" s="1546"/>
      <c r="E60" s="196"/>
      <c r="F60" s="194">
        <f>'Continental Dboard Targets'!G60</f>
        <v>0.20371443524390509</v>
      </c>
    </row>
    <row r="61" spans="1:8" ht="22.25" customHeight="1" thickBot="1" x14ac:dyDescent="0.5">
      <c r="B61" s="1490" t="s">
        <v>48</v>
      </c>
      <c r="C61" s="1519"/>
      <c r="D61" s="1520"/>
      <c r="E61" s="42"/>
      <c r="F61" s="194">
        <f>'Continental Dboard Targets'!G61</f>
        <v>0.39657006842609716</v>
      </c>
    </row>
    <row r="62" spans="1:8" ht="39" customHeight="1" x14ac:dyDescent="0.45">
      <c r="A62" s="1494">
        <v>16</v>
      </c>
      <c r="B62" s="1521" t="s">
        <v>49</v>
      </c>
      <c r="C62" s="197" t="s">
        <v>133</v>
      </c>
      <c r="D62" s="197" t="s">
        <v>50</v>
      </c>
      <c r="E62" s="430" t="s">
        <v>181</v>
      </c>
      <c r="F62" s="1551">
        <f>'Continental Dboard Targets'!G62:G67</f>
        <v>0.39657006842609716</v>
      </c>
    </row>
    <row r="63" spans="1:8" ht="58.25" customHeight="1" x14ac:dyDescent="0.45">
      <c r="A63" s="1494"/>
      <c r="B63" s="1522"/>
      <c r="C63" s="199" t="s">
        <v>134</v>
      </c>
      <c r="D63" s="104" t="s">
        <v>276</v>
      </c>
      <c r="E63" s="431" t="s">
        <v>182</v>
      </c>
      <c r="F63" s="1552"/>
    </row>
    <row r="64" spans="1:8" ht="26.45" customHeight="1" x14ac:dyDescent="0.45">
      <c r="A64" s="1494"/>
      <c r="B64" s="1522"/>
      <c r="C64" s="199" t="s">
        <v>135</v>
      </c>
      <c r="D64" s="199" t="s">
        <v>51</v>
      </c>
      <c r="E64" s="431" t="s">
        <v>95</v>
      </c>
      <c r="F64" s="1552"/>
    </row>
    <row r="65" spans="1:6" ht="15" customHeight="1" x14ac:dyDescent="0.45">
      <c r="A65" s="1494"/>
      <c r="B65" s="1522"/>
      <c r="C65" s="1527" t="s">
        <v>136</v>
      </c>
      <c r="D65" s="74" t="s">
        <v>52</v>
      </c>
      <c r="E65" s="431" t="s">
        <v>95</v>
      </c>
      <c r="F65" s="1552"/>
    </row>
    <row r="66" spans="1:6" x14ac:dyDescent="0.45">
      <c r="A66" s="1494"/>
      <c r="B66" s="1522"/>
      <c r="C66" s="1527"/>
      <c r="D66" s="74" t="s">
        <v>53</v>
      </c>
      <c r="E66" s="431" t="s">
        <v>95</v>
      </c>
      <c r="F66" s="1552"/>
    </row>
    <row r="67" spans="1:6" ht="27.6" customHeight="1" thickBot="1" x14ac:dyDescent="0.5">
      <c r="A67" s="1494"/>
      <c r="B67" s="1562"/>
      <c r="C67" s="1541"/>
      <c r="D67" s="75" t="s">
        <v>54</v>
      </c>
      <c r="E67" s="436" t="s">
        <v>95</v>
      </c>
      <c r="F67" s="1553"/>
    </row>
    <row r="68" spans="1:6" ht="27" customHeight="1" thickBot="1" x14ac:dyDescent="0.5">
      <c r="B68" s="1547" t="s">
        <v>55</v>
      </c>
      <c r="C68" s="1491"/>
      <c r="D68" s="1548"/>
      <c r="E68" s="55"/>
      <c r="F68" s="194">
        <f>'Continental Dboard Targets'!G68</f>
        <v>1.0858802061713031E-2</v>
      </c>
    </row>
    <row r="69" spans="1:6" ht="70.150000000000006" thickBot="1" x14ac:dyDescent="0.5">
      <c r="A69" s="22">
        <v>17</v>
      </c>
      <c r="B69" s="76" t="s">
        <v>56</v>
      </c>
      <c r="C69" s="76" t="s">
        <v>137</v>
      </c>
      <c r="D69" s="76" t="s">
        <v>57</v>
      </c>
      <c r="E69" s="94" t="s">
        <v>132</v>
      </c>
      <c r="F69" s="77">
        <f>'Continental Dboard Targets'!G69</f>
        <v>1.0858802061713031E-2</v>
      </c>
    </row>
    <row r="70" spans="1:6" ht="22.25" customHeight="1" thickBot="1" x14ac:dyDescent="0.5">
      <c r="B70" s="1563" t="s">
        <v>58</v>
      </c>
      <c r="C70" s="1564"/>
      <c r="D70" s="1565"/>
      <c r="E70" s="49"/>
      <c r="F70" s="194">
        <f>'Continental Dboard Targets'!G70</f>
        <v>0.54545454545454553</v>
      </c>
    </row>
    <row r="71" spans="1:6" ht="20.45" customHeight="1" thickBot="1" x14ac:dyDescent="0.5">
      <c r="B71" s="1490" t="s">
        <v>59</v>
      </c>
      <c r="C71" s="1519"/>
      <c r="D71" s="1520"/>
      <c r="E71" s="43"/>
      <c r="F71" s="194">
        <f>'Continental Dboard Targets'!G71</f>
        <v>0.27272727272727271</v>
      </c>
    </row>
    <row r="72" spans="1:6" ht="52.25" customHeight="1" thickBot="1" x14ac:dyDescent="0.5">
      <c r="A72" s="22">
        <v>18</v>
      </c>
      <c r="B72" s="78" t="s">
        <v>60</v>
      </c>
      <c r="C72" s="79" t="s">
        <v>138</v>
      </c>
      <c r="D72" s="182" t="s">
        <v>61</v>
      </c>
      <c r="E72" s="437" t="s">
        <v>183</v>
      </c>
      <c r="F72" s="77">
        <f>'Continental Dboard Targets'!G72</f>
        <v>0.27272727272727271</v>
      </c>
    </row>
    <row r="73" spans="1:6" ht="20.45" customHeight="1" thickBot="1" x14ac:dyDescent="0.5">
      <c r="B73" s="1537" t="s">
        <v>277</v>
      </c>
      <c r="C73" s="1538"/>
      <c r="D73" s="1539"/>
      <c r="E73" s="45"/>
      <c r="F73" s="194">
        <f>'Continental Dboard Targets'!G73</f>
        <v>0.54545454545454541</v>
      </c>
    </row>
    <row r="74" spans="1:6" ht="45" customHeight="1" thickBot="1" x14ac:dyDescent="0.5">
      <c r="A74" s="22">
        <v>19</v>
      </c>
      <c r="B74" s="80" t="s">
        <v>62</v>
      </c>
      <c r="C74" s="81" t="s">
        <v>139</v>
      </c>
      <c r="D74" s="183" t="s">
        <v>63</v>
      </c>
      <c r="E74" s="438" t="s">
        <v>95</v>
      </c>
      <c r="F74" s="77">
        <f>'Continental Dboard Targets'!G74</f>
        <v>0.54545454545454541</v>
      </c>
    </row>
    <row r="75" spans="1:6" ht="30.6" customHeight="1" thickBot="1" x14ac:dyDescent="0.5">
      <c r="B75" s="1490" t="s">
        <v>64</v>
      </c>
      <c r="C75" s="1519"/>
      <c r="D75" s="1520"/>
      <c r="E75" s="43"/>
      <c r="F75" s="194">
        <f>'Continental Dboard Targets'!G75</f>
        <v>0.81818181818181823</v>
      </c>
    </row>
    <row r="76" spans="1:6" ht="29.45" customHeight="1" thickBot="1" x14ac:dyDescent="0.5">
      <c r="A76" s="22">
        <v>20</v>
      </c>
      <c r="B76" s="80" t="s">
        <v>65</v>
      </c>
      <c r="C76" s="79" t="s">
        <v>140</v>
      </c>
      <c r="D76" s="81" t="s">
        <v>66</v>
      </c>
      <c r="E76" s="439" t="s">
        <v>95</v>
      </c>
      <c r="F76" s="77">
        <f>'Continental Dboard Targets'!G76</f>
        <v>0.81818181818181823</v>
      </c>
    </row>
    <row r="77" spans="1:6" ht="20.45" customHeight="1" thickBot="1" x14ac:dyDescent="0.5">
      <c r="B77" s="1559" t="s">
        <v>67</v>
      </c>
      <c r="C77" s="1560"/>
      <c r="D77" s="1561"/>
      <c r="E77" s="50"/>
      <c r="F77" s="194">
        <f>'Continental Dboard Targets'!G77</f>
        <v>8.1168831168831168E-2</v>
      </c>
    </row>
    <row r="78" spans="1:6" ht="20.45" customHeight="1" thickBot="1" x14ac:dyDescent="0.5">
      <c r="B78" s="1490" t="s">
        <v>68</v>
      </c>
      <c r="C78" s="1519"/>
      <c r="D78" s="1520"/>
      <c r="E78" s="43"/>
      <c r="F78" s="194">
        <f>'Continental Dboard Targets'!G78</f>
        <v>8.1168831168831168E-2</v>
      </c>
    </row>
    <row r="79" spans="1:6" ht="35.25" thickBot="1" x14ac:dyDescent="0.5">
      <c r="A79" s="22">
        <v>21</v>
      </c>
      <c r="B79" s="80" t="s">
        <v>69</v>
      </c>
      <c r="C79" s="83" t="s">
        <v>141</v>
      </c>
      <c r="D79" s="83" t="s">
        <v>70</v>
      </c>
      <c r="E79" s="440" t="s">
        <v>95</v>
      </c>
      <c r="F79" s="77">
        <f>'Continental Dboard Targets'!G79</f>
        <v>8.1168831168831168E-2</v>
      </c>
    </row>
    <row r="80" spans="1:6" ht="21.6" customHeight="1" thickBot="1" x14ac:dyDescent="0.5">
      <c r="B80" s="1570" t="s">
        <v>71</v>
      </c>
      <c r="C80" s="1571"/>
      <c r="D80" s="1572"/>
      <c r="E80" s="50"/>
      <c r="F80" s="194">
        <f>'Continental Dboard Targets'!G80</f>
        <v>0.38657102773099444</v>
      </c>
    </row>
    <row r="81" spans="1:6" ht="20.45" customHeight="1" thickBot="1" x14ac:dyDescent="0.5">
      <c r="B81" s="1547" t="s">
        <v>72</v>
      </c>
      <c r="C81" s="1491"/>
      <c r="D81" s="1548"/>
      <c r="E81" s="441"/>
      <c r="F81" s="194">
        <f>'Continental Dboard Targets'!G81</f>
        <v>0.33534166206792926</v>
      </c>
    </row>
    <row r="82" spans="1:6" ht="58.15" x14ac:dyDescent="0.45">
      <c r="A82" s="200"/>
      <c r="B82" s="1573" t="s">
        <v>73</v>
      </c>
      <c r="C82" s="201" t="s">
        <v>267</v>
      </c>
      <c r="D82" s="71" t="s">
        <v>278</v>
      </c>
      <c r="E82" s="442" t="s">
        <v>279</v>
      </c>
      <c r="F82" s="1551">
        <f>'Continental Dboard Targets'!G82:G83</f>
        <v>0.32641891089999708</v>
      </c>
    </row>
    <row r="83" spans="1:6" ht="39.6" customHeight="1" thickBot="1" x14ac:dyDescent="0.5">
      <c r="A83" s="200"/>
      <c r="B83" s="1574"/>
      <c r="C83" s="203" t="s">
        <v>268</v>
      </c>
      <c r="D83" s="105" t="s">
        <v>74</v>
      </c>
      <c r="E83" s="443" t="s">
        <v>282</v>
      </c>
      <c r="F83" s="1575"/>
    </row>
    <row r="84" spans="1:6" ht="60" customHeight="1" x14ac:dyDescent="0.45">
      <c r="A84" s="200"/>
      <c r="B84" s="1589" t="s">
        <v>142</v>
      </c>
      <c r="C84" s="459" t="s">
        <v>145</v>
      </c>
      <c r="D84" s="201" t="s">
        <v>143</v>
      </c>
      <c r="E84" s="444" t="s">
        <v>184</v>
      </c>
      <c r="F84" s="1592">
        <f>'Continental Dboard Targets'!G84:G86</f>
        <v>0.34426441323586149</v>
      </c>
    </row>
    <row r="85" spans="1:6" ht="45" customHeight="1" x14ac:dyDescent="0.45">
      <c r="A85" s="200"/>
      <c r="B85" s="1590"/>
      <c r="C85" s="84" t="s">
        <v>146</v>
      </c>
      <c r="D85" s="104" t="s">
        <v>283</v>
      </c>
      <c r="E85" s="445" t="s">
        <v>185</v>
      </c>
      <c r="F85" s="1593"/>
    </row>
    <row r="86" spans="1:6" ht="38.450000000000003" customHeight="1" thickBot="1" x14ac:dyDescent="0.5">
      <c r="A86" s="200"/>
      <c r="B86" s="1591"/>
      <c r="C86" s="85" t="s">
        <v>147</v>
      </c>
      <c r="D86" s="105" t="s">
        <v>144</v>
      </c>
      <c r="E86" s="446" t="s">
        <v>284</v>
      </c>
      <c r="F86" s="1594"/>
    </row>
    <row r="87" spans="1:6" ht="20.45" customHeight="1" thickBot="1" x14ac:dyDescent="0.5">
      <c r="B87" s="1490" t="s">
        <v>75</v>
      </c>
      <c r="C87" s="1519"/>
      <c r="D87" s="1520"/>
      <c r="E87" s="44"/>
      <c r="F87" s="194">
        <f>'Continental Dboard Targets'!G87</f>
        <v>0.48902975905712476</v>
      </c>
    </row>
    <row r="88" spans="1:6" ht="27.6" customHeight="1" x14ac:dyDescent="0.45">
      <c r="A88" s="1494">
        <v>24</v>
      </c>
      <c r="B88" s="1566" t="s">
        <v>76</v>
      </c>
      <c r="C88" s="90" t="s">
        <v>159</v>
      </c>
      <c r="D88" s="59" t="s">
        <v>285</v>
      </c>
      <c r="E88" s="460" t="s">
        <v>186</v>
      </c>
      <c r="F88" s="1500">
        <f>'Continental Dboard Targets'!G88:G92</f>
        <v>0.48902975905712476</v>
      </c>
    </row>
    <row r="89" spans="1:6" ht="25.8" customHeight="1" x14ac:dyDescent="0.45">
      <c r="A89" s="1494"/>
      <c r="B89" s="1567"/>
      <c r="C89" s="1569" t="s">
        <v>160</v>
      </c>
      <c r="D89" s="61" t="s">
        <v>77</v>
      </c>
      <c r="E89" s="447" t="s">
        <v>187</v>
      </c>
      <c r="F89" s="1525"/>
    </row>
    <row r="90" spans="1:6" ht="25.25" customHeight="1" x14ac:dyDescent="0.45">
      <c r="A90" s="1494"/>
      <c r="B90" s="1567"/>
      <c r="C90" s="1569"/>
      <c r="D90" s="61" t="s">
        <v>78</v>
      </c>
      <c r="E90" s="447" t="s">
        <v>188</v>
      </c>
      <c r="F90" s="1525"/>
    </row>
    <row r="91" spans="1:6" ht="26.45" customHeight="1" x14ac:dyDescent="0.45">
      <c r="A91" s="1494"/>
      <c r="B91" s="1567"/>
      <c r="C91" s="1569"/>
      <c r="D91" s="61" t="s">
        <v>79</v>
      </c>
      <c r="E91" s="448" t="s">
        <v>189</v>
      </c>
      <c r="F91" s="1525"/>
    </row>
    <row r="92" spans="1:6" ht="40.799999999999997" customHeight="1" thickBot="1" x14ac:dyDescent="0.5">
      <c r="A92" s="1494"/>
      <c r="B92" s="1568"/>
      <c r="C92" s="86" t="s">
        <v>161</v>
      </c>
      <c r="D92" s="87" t="s">
        <v>80</v>
      </c>
      <c r="E92" s="449" t="s">
        <v>95</v>
      </c>
      <c r="F92" s="1526"/>
    </row>
    <row r="93" spans="1:6" ht="26.65" customHeight="1" thickBot="1" x14ac:dyDescent="0.5">
      <c r="B93" s="1586" t="s">
        <v>81</v>
      </c>
      <c r="C93" s="1587"/>
      <c r="D93" s="1588"/>
      <c r="E93" s="47"/>
      <c r="F93" s="194">
        <f>'Continental Dboard Targets'!G93</f>
        <v>0.24584491810615308</v>
      </c>
    </row>
    <row r="94" spans="1:6" ht="20.45" customHeight="1" thickBot="1" x14ac:dyDescent="0.5">
      <c r="B94" s="1547" t="s">
        <v>82</v>
      </c>
      <c r="C94" s="1491"/>
      <c r="D94" s="1548"/>
      <c r="E94" s="51"/>
      <c r="F94" s="194">
        <f>'Continental Dboard Targets'!G94</f>
        <v>0.4277879808182839</v>
      </c>
    </row>
    <row r="95" spans="1:6" ht="34.799999999999997" customHeight="1" x14ac:dyDescent="0.45">
      <c r="A95" s="1494">
        <v>25</v>
      </c>
      <c r="B95" s="1521" t="s">
        <v>83</v>
      </c>
      <c r="C95" s="1540" t="s">
        <v>214</v>
      </c>
      <c r="D95" s="197" t="s">
        <v>269</v>
      </c>
      <c r="E95" s="450" t="s">
        <v>190</v>
      </c>
      <c r="F95" s="1500">
        <f>'Continental Dboard Targets'!G95:G97</f>
        <v>0.4277879808182839</v>
      </c>
    </row>
    <row r="96" spans="1:6" ht="39.6" customHeight="1" x14ac:dyDescent="0.45">
      <c r="A96" s="1494"/>
      <c r="B96" s="1522"/>
      <c r="C96" s="1527"/>
      <c r="D96" s="104" t="s">
        <v>270</v>
      </c>
      <c r="E96" s="451" t="s">
        <v>191</v>
      </c>
      <c r="F96" s="1501"/>
    </row>
    <row r="97" spans="1:6" ht="41.45" customHeight="1" thickBot="1" x14ac:dyDescent="0.5">
      <c r="A97" s="1494"/>
      <c r="B97" s="1562"/>
      <c r="C97" s="1541"/>
      <c r="D97" s="198" t="s">
        <v>84</v>
      </c>
      <c r="E97" s="452" t="s">
        <v>95</v>
      </c>
      <c r="F97" s="1502"/>
    </row>
    <row r="98" spans="1:6" ht="18" customHeight="1" thickBot="1" x14ac:dyDescent="0.5">
      <c r="B98" s="1579" t="s">
        <v>85</v>
      </c>
      <c r="C98" s="1580"/>
      <c r="D98" s="1581"/>
      <c r="E98" s="228"/>
      <c r="F98" s="194">
        <f>'Continental Dboard Targets'!G98</f>
        <v>0.18519723053544282</v>
      </c>
    </row>
    <row r="99" spans="1:6" ht="29.45" customHeight="1" thickBot="1" x14ac:dyDescent="0.5">
      <c r="A99" s="200">
        <v>26</v>
      </c>
      <c r="B99" s="88" t="s">
        <v>86</v>
      </c>
      <c r="C99" s="88" t="s">
        <v>215</v>
      </c>
      <c r="D99" s="89" t="s">
        <v>291</v>
      </c>
      <c r="E99" s="453" t="s">
        <v>95</v>
      </c>
      <c r="F99" s="77">
        <f>'Continental Dboard Targets'!G99</f>
        <v>0.18181818181818182</v>
      </c>
    </row>
    <row r="100" spans="1:6" ht="35.25" thickBot="1" x14ac:dyDescent="0.5">
      <c r="A100" s="200">
        <v>27</v>
      </c>
      <c r="B100" s="88" t="s">
        <v>87</v>
      </c>
      <c r="C100" s="88" t="s">
        <v>216</v>
      </c>
      <c r="D100" s="89" t="s">
        <v>271</v>
      </c>
      <c r="E100" s="453" t="s">
        <v>192</v>
      </c>
      <c r="F100" s="77">
        <f>'Continental Dboard Targets'!G100</f>
        <v>3.5785631000267867E-2</v>
      </c>
    </row>
    <row r="101" spans="1:6" ht="30.4" x14ac:dyDescent="0.45">
      <c r="A101" s="1494">
        <v>28</v>
      </c>
      <c r="B101" s="1582" t="s">
        <v>88</v>
      </c>
      <c r="C101" s="1582" t="s">
        <v>217</v>
      </c>
      <c r="D101" s="71" t="s">
        <v>89</v>
      </c>
      <c r="E101" s="454" t="s">
        <v>193</v>
      </c>
      <c r="F101" s="1584">
        <f>'Continental Dboard Targets'!G101:G102</f>
        <v>0.33798787878787878</v>
      </c>
    </row>
    <row r="102" spans="1:6" ht="38.450000000000003" customHeight="1" thickBot="1" x14ac:dyDescent="0.5">
      <c r="A102" s="1494"/>
      <c r="B102" s="1583"/>
      <c r="C102" s="1583"/>
      <c r="D102" s="203" t="s">
        <v>90</v>
      </c>
      <c r="E102" s="455" t="s">
        <v>95</v>
      </c>
      <c r="F102" s="1585"/>
    </row>
    <row r="104" spans="1:6" ht="15.75" x14ac:dyDescent="0.5">
      <c r="B104" s="28"/>
    </row>
    <row r="107" spans="1:6" ht="15.75" x14ac:dyDescent="0.5">
      <c r="B107" s="28"/>
    </row>
    <row r="108" spans="1:6" x14ac:dyDescent="0.45">
      <c r="B108" s="29"/>
    </row>
  </sheetData>
  <mergeCells count="85">
    <mergeCell ref="B2:F2"/>
    <mergeCell ref="F95:F97"/>
    <mergeCell ref="B98:D98"/>
    <mergeCell ref="A101:A102"/>
    <mergeCell ref="B101:B102"/>
    <mergeCell ref="C101:C102"/>
    <mergeCell ref="F101:F102"/>
    <mergeCell ref="B93:D93"/>
    <mergeCell ref="B94:D94"/>
    <mergeCell ref="A95:A97"/>
    <mergeCell ref="B95:B97"/>
    <mergeCell ref="C95:C97"/>
    <mergeCell ref="B84:B86"/>
    <mergeCell ref="F84:F86"/>
    <mergeCell ref="B87:D87"/>
    <mergeCell ref="A88:A92"/>
    <mergeCell ref="B88:B92"/>
    <mergeCell ref="F88:F92"/>
    <mergeCell ref="C89:C91"/>
    <mergeCell ref="B78:D78"/>
    <mergeCell ref="B80:D80"/>
    <mergeCell ref="B81:D81"/>
    <mergeCell ref="B82:B83"/>
    <mergeCell ref="F82:F83"/>
    <mergeCell ref="B77:D77"/>
    <mergeCell ref="B60:D60"/>
    <mergeCell ref="B61:D61"/>
    <mergeCell ref="A62:A67"/>
    <mergeCell ref="B62:B67"/>
    <mergeCell ref="B68:D68"/>
    <mergeCell ref="B70:D70"/>
    <mergeCell ref="B71:D71"/>
    <mergeCell ref="B73:D73"/>
    <mergeCell ref="B75:D75"/>
    <mergeCell ref="F62:F67"/>
    <mergeCell ref="C65:C67"/>
    <mergeCell ref="A54:A59"/>
    <mergeCell ref="B54:B59"/>
    <mergeCell ref="F54:F59"/>
    <mergeCell ref="C58:C59"/>
    <mergeCell ref="A49:A50"/>
    <mergeCell ref="B49:B50"/>
    <mergeCell ref="F49:F50"/>
    <mergeCell ref="B51:D51"/>
    <mergeCell ref="B53:D53"/>
    <mergeCell ref="A45:A46"/>
    <mergeCell ref="B45:B46"/>
    <mergeCell ref="F45:F46"/>
    <mergeCell ref="B47:D47"/>
    <mergeCell ref="B48:D48"/>
    <mergeCell ref="B41:D41"/>
    <mergeCell ref="A42:A43"/>
    <mergeCell ref="B42:B43"/>
    <mergeCell ref="F42:F43"/>
    <mergeCell ref="B44:D44"/>
    <mergeCell ref="B33:D33"/>
    <mergeCell ref="B38:D38"/>
    <mergeCell ref="A39:A40"/>
    <mergeCell ref="B39:B40"/>
    <mergeCell ref="F39:F40"/>
    <mergeCell ref="A25:A28"/>
    <mergeCell ref="B25:B32"/>
    <mergeCell ref="F25:F32"/>
    <mergeCell ref="C26:C28"/>
    <mergeCell ref="C29:C31"/>
    <mergeCell ref="B19:D19"/>
    <mergeCell ref="A20:A23"/>
    <mergeCell ref="B20:B23"/>
    <mergeCell ref="F20:F23"/>
    <mergeCell ref="B24:D24"/>
    <mergeCell ref="A16:A18"/>
    <mergeCell ref="B16:B18"/>
    <mergeCell ref="C16:C18"/>
    <mergeCell ref="F16:F18"/>
    <mergeCell ref="A12:A13"/>
    <mergeCell ref="B12:B13"/>
    <mergeCell ref="F12:F13"/>
    <mergeCell ref="A14:A15"/>
    <mergeCell ref="B14:B15"/>
    <mergeCell ref="F14:F15"/>
    <mergeCell ref="B5:D5"/>
    <mergeCell ref="B8:D8"/>
    <mergeCell ref="B10:D10"/>
    <mergeCell ref="B11:D11"/>
    <mergeCell ref="C4:D4"/>
  </mergeCells>
  <conditionalFormatting sqref="F20:F23 F39:F40 F54 F12:F15">
    <cfRule type="colorScale" priority="50">
      <colorScale>
        <cfvo type="num" val="0"/>
        <cfvo type="num" val="0.6"/>
        <cfvo type="num" val="1"/>
        <color rgb="FFFF0000"/>
        <color rgb="FFFFFF00"/>
        <color rgb="FF92FB4B"/>
      </colorScale>
    </cfRule>
  </conditionalFormatting>
  <conditionalFormatting sqref="F16:F18">
    <cfRule type="colorScale" priority="49">
      <colorScale>
        <cfvo type="num" val="0"/>
        <cfvo type="num" val="0.6"/>
        <cfvo type="num" val="1"/>
        <color rgb="FFFF0000"/>
        <color rgb="FFFFFF00"/>
        <color rgb="FF92FB4B"/>
      </colorScale>
    </cfRule>
  </conditionalFormatting>
  <conditionalFormatting sqref="F25:F28">
    <cfRule type="colorScale" priority="48">
      <colorScale>
        <cfvo type="num" val="0"/>
        <cfvo type="num" val="0.6"/>
        <cfvo type="num" val="1"/>
        <color rgb="FFFF0000"/>
        <color rgb="FFFFFF00"/>
        <color rgb="FF92FB4B"/>
      </colorScale>
    </cfRule>
  </conditionalFormatting>
  <conditionalFormatting sqref="F34:F38">
    <cfRule type="colorScale" priority="47">
      <colorScale>
        <cfvo type="num" val="0"/>
        <cfvo type="num" val="0.6"/>
        <cfvo type="num" val="1"/>
        <color rgb="FFFF0000"/>
        <color rgb="FFFFFF00"/>
        <color rgb="FF92FB4B"/>
      </colorScale>
    </cfRule>
  </conditionalFormatting>
  <conditionalFormatting sqref="F42:F43">
    <cfRule type="colorScale" priority="46">
      <colorScale>
        <cfvo type="num" val="0"/>
        <cfvo type="num" val="0.6"/>
        <cfvo type="num" val="1"/>
        <color rgb="FFFF0000"/>
        <color rgb="FFFFFF00"/>
        <color rgb="FF92FB4B"/>
      </colorScale>
    </cfRule>
  </conditionalFormatting>
  <conditionalFormatting sqref="F45:F46">
    <cfRule type="colorScale" priority="45">
      <colorScale>
        <cfvo type="num" val="0"/>
        <cfvo type="num" val="0.6"/>
        <cfvo type="num" val="1"/>
        <color rgb="FFFF0000"/>
        <color rgb="FFFFFF00"/>
        <color rgb="FF92FB4B"/>
      </colorScale>
    </cfRule>
  </conditionalFormatting>
  <conditionalFormatting sqref="F49:F50">
    <cfRule type="colorScale" priority="44">
      <colorScale>
        <cfvo type="num" val="0"/>
        <cfvo type="num" val="0.6"/>
        <cfvo type="num" val="1"/>
        <color rgb="FFFF0000"/>
        <color rgb="FFFFFF00"/>
        <color rgb="FF92FB4B"/>
      </colorScale>
    </cfRule>
  </conditionalFormatting>
  <conditionalFormatting sqref="F62">
    <cfRule type="colorScale" priority="43">
      <colorScale>
        <cfvo type="num" val="0"/>
        <cfvo type="num" val="0.6"/>
        <cfvo type="num" val="1"/>
        <color rgb="FFFF0000"/>
        <color rgb="FFFFFF00"/>
        <color rgb="FF92FB4B"/>
      </colorScale>
    </cfRule>
  </conditionalFormatting>
  <conditionalFormatting sqref="F79">
    <cfRule type="colorScale" priority="39">
      <colorScale>
        <cfvo type="num" val="0"/>
        <cfvo type="num" val="0.6"/>
        <cfvo type="num" val="1"/>
        <color rgb="FFFF0000"/>
        <color rgb="FFFFFF00"/>
        <color rgb="FF92FB4B"/>
      </colorScale>
    </cfRule>
  </conditionalFormatting>
  <conditionalFormatting sqref="F69">
    <cfRule type="colorScale" priority="42">
      <colorScale>
        <cfvo type="num" val="0"/>
        <cfvo type="num" val="0.6"/>
        <cfvo type="num" val="1"/>
        <color rgb="FFFF0000"/>
        <color rgb="FFFFFF00"/>
        <color rgb="FF92FB4B"/>
      </colorScale>
    </cfRule>
  </conditionalFormatting>
  <conditionalFormatting sqref="F72">
    <cfRule type="colorScale" priority="41">
      <colorScale>
        <cfvo type="num" val="0"/>
        <cfvo type="num" val="0.6"/>
        <cfvo type="num" val="1"/>
        <color rgb="FFFF0000"/>
        <color rgb="FFFFFF00"/>
        <color rgb="FF92FB4B"/>
      </colorScale>
    </cfRule>
  </conditionalFormatting>
  <conditionalFormatting sqref="F74">
    <cfRule type="colorScale" priority="40">
      <colorScale>
        <cfvo type="num" val="0"/>
        <cfvo type="num" val="0.6"/>
        <cfvo type="num" val="1"/>
        <color rgb="FFFF0000"/>
        <color rgb="FFFFFF00"/>
        <color rgb="FF92FB4B"/>
      </colorScale>
    </cfRule>
  </conditionalFormatting>
  <conditionalFormatting sqref="F82">
    <cfRule type="colorScale" priority="38">
      <colorScale>
        <cfvo type="num" val="0"/>
        <cfvo type="num" val="0.6"/>
        <cfvo type="num" val="1"/>
        <color rgb="FFFF0000"/>
        <color rgb="FFFFFF00"/>
        <color rgb="FF92FB4B"/>
      </colorScale>
    </cfRule>
  </conditionalFormatting>
  <conditionalFormatting sqref="F88">
    <cfRule type="colorScale" priority="37">
      <colorScale>
        <cfvo type="num" val="0"/>
        <cfvo type="num" val="0.6"/>
        <cfvo type="num" val="1"/>
        <color rgb="FFFF0000"/>
        <color rgb="FFFFFF00"/>
        <color rgb="FF92FB4B"/>
      </colorScale>
    </cfRule>
  </conditionalFormatting>
  <conditionalFormatting sqref="F95">
    <cfRule type="colorScale" priority="36">
      <colorScale>
        <cfvo type="num" val="0"/>
        <cfvo type="num" val="0.6"/>
        <cfvo type="num" val="1"/>
        <color rgb="FFFF0000"/>
        <color rgb="FFFFFF00"/>
        <color rgb="FF92FB4B"/>
      </colorScale>
    </cfRule>
  </conditionalFormatting>
  <conditionalFormatting sqref="F99:F100">
    <cfRule type="colorScale" priority="35">
      <colorScale>
        <cfvo type="num" val="0"/>
        <cfvo type="num" val="0.6"/>
        <cfvo type="num" val="1"/>
        <color rgb="FFFF0000"/>
        <color rgb="FFFFFF00"/>
        <color rgb="FF92FB4B"/>
      </colorScale>
    </cfRule>
  </conditionalFormatting>
  <conditionalFormatting sqref="F101:F102">
    <cfRule type="colorScale" priority="34">
      <colorScale>
        <cfvo type="num" val="0"/>
        <cfvo type="num" val="0.6"/>
        <cfvo type="num" val="1"/>
        <color rgb="FFFF0000"/>
        <color rgb="FFFFFF00"/>
        <color rgb="FF92FB4B"/>
      </colorScale>
    </cfRule>
  </conditionalFormatting>
  <conditionalFormatting sqref="F52">
    <cfRule type="colorScale" priority="33">
      <colorScale>
        <cfvo type="num" val="0"/>
        <cfvo type="num" val="0.6"/>
        <cfvo type="num" val="1"/>
        <color rgb="FFFF0000"/>
        <color rgb="FFFFFF00"/>
        <color rgb="FF92FB4B"/>
      </colorScale>
    </cfRule>
  </conditionalFormatting>
  <conditionalFormatting sqref="F84">
    <cfRule type="colorScale" priority="32">
      <colorScale>
        <cfvo type="num" val="0"/>
        <cfvo type="num" val="0.6"/>
        <cfvo type="num" val="1"/>
        <color rgb="FFFF0000"/>
        <color rgb="FFFFFF00"/>
        <color rgb="FF92FB4B"/>
      </colorScale>
    </cfRule>
  </conditionalFormatting>
  <conditionalFormatting sqref="F76">
    <cfRule type="colorScale" priority="31">
      <colorScale>
        <cfvo type="num" val="0"/>
        <cfvo type="num" val="0.6"/>
        <cfvo type="num" val="1"/>
        <color rgb="FFFF0000"/>
        <color rgb="FFFFFF00"/>
        <color rgb="FF92FB4B"/>
      </colorScale>
    </cfRule>
  </conditionalFormatting>
  <conditionalFormatting sqref="F11">
    <cfRule type="colorScale" priority="30">
      <colorScale>
        <cfvo type="num" val="0"/>
        <cfvo type="num" val="0.6"/>
        <cfvo type="num" val="1"/>
        <color rgb="FFFF0000"/>
        <color rgb="FFFFFF00"/>
        <color rgb="FF92FB4B"/>
      </colorScale>
    </cfRule>
  </conditionalFormatting>
  <conditionalFormatting sqref="F33">
    <cfRule type="colorScale" priority="29">
      <colorScale>
        <cfvo type="num" val="0"/>
        <cfvo type="num" val="0.6"/>
        <cfvo type="num" val="1"/>
        <color rgb="FFFF0000"/>
        <color rgb="FFFFFF00"/>
        <color rgb="FF92FB4B"/>
      </colorScale>
    </cfRule>
  </conditionalFormatting>
  <conditionalFormatting sqref="F41">
    <cfRule type="colorScale" priority="27">
      <colorScale>
        <cfvo type="num" val="0"/>
        <cfvo type="num" val="0.6"/>
        <cfvo type="num" val="1"/>
        <color rgb="FFFF0000"/>
        <color rgb="FFFFFF00"/>
        <color rgb="FF92FB4B"/>
      </colorScale>
    </cfRule>
  </conditionalFormatting>
  <conditionalFormatting sqref="F48">
    <cfRule type="colorScale" priority="26">
      <colorScale>
        <cfvo type="num" val="0"/>
        <cfvo type="num" val="0.6"/>
        <cfvo type="num" val="1"/>
        <color rgb="FFFF0000"/>
        <color rgb="FFFFFF00"/>
        <color rgb="FF92FB4B"/>
      </colorScale>
    </cfRule>
  </conditionalFormatting>
  <conditionalFormatting sqref="F51">
    <cfRule type="colorScale" priority="25">
      <colorScale>
        <cfvo type="num" val="0"/>
        <cfvo type="num" val="0.6"/>
        <cfvo type="num" val="1"/>
        <color rgb="FFFF0000"/>
        <color rgb="FFFFFF00"/>
        <color rgb="FF92FB4B"/>
      </colorScale>
    </cfRule>
  </conditionalFormatting>
  <conditionalFormatting sqref="F71">
    <cfRule type="colorScale" priority="24">
      <colorScale>
        <cfvo type="num" val="0"/>
        <cfvo type="num" val="0.6"/>
        <cfvo type="num" val="1"/>
        <color rgb="FFFF0000"/>
        <color rgb="FFFFFF00"/>
        <color rgb="FF92FB4B"/>
      </colorScale>
    </cfRule>
  </conditionalFormatting>
  <conditionalFormatting sqref="F75">
    <cfRule type="colorScale" priority="23">
      <colorScale>
        <cfvo type="num" val="0"/>
        <cfvo type="num" val="0.6"/>
        <cfvo type="num" val="1"/>
        <color rgb="FFFF0000"/>
        <color rgb="FFFFFF00"/>
        <color rgb="FF92FB4B"/>
      </colorScale>
    </cfRule>
  </conditionalFormatting>
  <conditionalFormatting sqref="F78">
    <cfRule type="colorScale" priority="22">
      <colorScale>
        <cfvo type="num" val="0"/>
        <cfvo type="num" val="0.6"/>
        <cfvo type="num" val="1"/>
        <color rgb="FFFF0000"/>
        <color rgb="FFFFFF00"/>
        <color rgb="FF92FB4B"/>
      </colorScale>
    </cfRule>
  </conditionalFormatting>
  <conditionalFormatting sqref="F81">
    <cfRule type="colorScale" priority="21">
      <colorScale>
        <cfvo type="num" val="0"/>
        <cfvo type="num" val="0.6"/>
        <cfvo type="num" val="1"/>
        <color rgb="FFFF0000"/>
        <color rgb="FFFFFF00"/>
        <color rgb="FF92FB4B"/>
      </colorScale>
    </cfRule>
  </conditionalFormatting>
  <conditionalFormatting sqref="F87">
    <cfRule type="colorScale" priority="20">
      <colorScale>
        <cfvo type="num" val="0"/>
        <cfvo type="num" val="0.6"/>
        <cfvo type="num" val="1"/>
        <color rgb="FFFF0000"/>
        <color rgb="FFFFFF00"/>
        <color rgb="FF92FB4B"/>
      </colorScale>
    </cfRule>
  </conditionalFormatting>
  <conditionalFormatting sqref="F94">
    <cfRule type="colorScale" priority="19">
      <colorScale>
        <cfvo type="num" val="0"/>
        <cfvo type="num" val="0.6"/>
        <cfvo type="num" val="1"/>
        <color rgb="FFFF0000"/>
        <color rgb="FFFFFF00"/>
        <color rgb="FF92FB4B"/>
      </colorScale>
    </cfRule>
  </conditionalFormatting>
  <conditionalFormatting sqref="F98">
    <cfRule type="colorScale" priority="18">
      <colorScale>
        <cfvo type="num" val="0"/>
        <cfvo type="num" val="0.6"/>
        <cfvo type="num" val="1"/>
        <color rgb="FFFF0000"/>
        <color rgb="FFFFFF00"/>
        <color rgb="FF92FB4B"/>
      </colorScale>
    </cfRule>
  </conditionalFormatting>
  <conditionalFormatting sqref="F10">
    <cfRule type="colorScale" priority="17">
      <colorScale>
        <cfvo type="num" val="0"/>
        <cfvo type="num" val="0.6"/>
        <cfvo type="num" val="1"/>
        <color rgb="FFFF0000"/>
        <color rgb="FFFFFF00"/>
        <color rgb="FF92FB4B"/>
      </colorScale>
    </cfRule>
  </conditionalFormatting>
  <conditionalFormatting sqref="F47">
    <cfRule type="colorScale" priority="16">
      <colorScale>
        <cfvo type="num" val="0"/>
        <cfvo type="num" val="0.6"/>
        <cfvo type="num" val="1"/>
        <color rgb="FFFF0000"/>
        <color rgb="FFFFFF00"/>
        <color rgb="FF92FB4B"/>
      </colorScale>
    </cfRule>
  </conditionalFormatting>
  <conditionalFormatting sqref="F60">
    <cfRule type="colorScale" priority="15">
      <colorScale>
        <cfvo type="num" val="0"/>
        <cfvo type="num" val="0.6"/>
        <cfvo type="num" val="1"/>
        <color rgb="FFFF0000"/>
        <color rgb="FFFFFF00"/>
        <color rgb="FF92FB4B"/>
      </colorScale>
    </cfRule>
  </conditionalFormatting>
  <conditionalFormatting sqref="F70">
    <cfRule type="colorScale" priority="14">
      <colorScale>
        <cfvo type="num" val="0"/>
        <cfvo type="num" val="0.6"/>
        <cfvo type="num" val="1"/>
        <color rgb="FFFF0000"/>
        <color rgb="FFFFFF00"/>
        <color rgb="FF92FB4B"/>
      </colorScale>
    </cfRule>
  </conditionalFormatting>
  <conditionalFormatting sqref="F77">
    <cfRule type="colorScale" priority="13">
      <colorScale>
        <cfvo type="num" val="0"/>
        <cfvo type="num" val="0.6"/>
        <cfvo type="num" val="1"/>
        <color rgb="FFFF0000"/>
        <color rgb="FFFFFF00"/>
        <color rgb="FF92FB4B"/>
      </colorScale>
    </cfRule>
  </conditionalFormatting>
  <conditionalFormatting sqref="F80">
    <cfRule type="colorScale" priority="12">
      <colorScale>
        <cfvo type="num" val="0"/>
        <cfvo type="num" val="0.6"/>
        <cfvo type="num" val="1"/>
        <color rgb="FFFF0000"/>
        <color rgb="FFFFFF00"/>
        <color rgb="FF92FB4B"/>
      </colorScale>
    </cfRule>
  </conditionalFormatting>
  <conditionalFormatting sqref="F93">
    <cfRule type="colorScale" priority="11">
      <colorScale>
        <cfvo type="num" val="0"/>
        <cfvo type="num" val="0.6"/>
        <cfvo type="num" val="1"/>
        <color rgb="FFFF0000"/>
        <color rgb="FFFFFF00"/>
        <color rgb="FF92FB4B"/>
      </colorScale>
    </cfRule>
  </conditionalFormatting>
  <conditionalFormatting sqref="F4">
    <cfRule type="colorScale" priority="10">
      <colorScale>
        <cfvo type="num" val="0"/>
        <cfvo type="num" val="0.6"/>
        <cfvo type="num" val="1"/>
        <color rgb="FFFF0000"/>
        <color rgb="FFFFFF00"/>
        <color rgb="FF92FB4B"/>
      </colorScale>
    </cfRule>
  </conditionalFormatting>
  <conditionalFormatting sqref="F24">
    <cfRule type="colorScale" priority="9">
      <colorScale>
        <cfvo type="num" val="0"/>
        <cfvo type="num" val="0.6"/>
        <cfvo type="num" val="1"/>
        <color rgb="FFFF0000"/>
        <color rgb="FFFFFF00"/>
        <color rgb="FF92FB4B"/>
      </colorScale>
    </cfRule>
  </conditionalFormatting>
  <conditionalFormatting sqref="F61">
    <cfRule type="colorScale" priority="8">
      <colorScale>
        <cfvo type="num" val="0"/>
        <cfvo type="num" val="0.6"/>
        <cfvo type="num" val="1"/>
        <color rgb="FFFF0000"/>
        <color rgb="FFFFFF00"/>
        <color rgb="FF92FB4B"/>
      </colorScale>
    </cfRule>
  </conditionalFormatting>
  <conditionalFormatting sqref="F68">
    <cfRule type="colorScale" priority="7">
      <colorScale>
        <cfvo type="num" val="0"/>
        <cfvo type="num" val="0.6"/>
        <cfvo type="num" val="1"/>
        <color rgb="FFFF0000"/>
        <color rgb="FFFFFF00"/>
        <color rgb="FF92FB4B"/>
      </colorScale>
    </cfRule>
  </conditionalFormatting>
  <conditionalFormatting sqref="F73">
    <cfRule type="colorScale" priority="6">
      <colorScale>
        <cfvo type="num" val="0"/>
        <cfvo type="num" val="0.6"/>
        <cfvo type="num" val="1"/>
        <color rgb="FFFF0000"/>
        <color rgb="FFFFFF00"/>
        <color rgb="FF92FB4B"/>
      </colorScale>
    </cfRule>
  </conditionalFormatting>
  <conditionalFormatting sqref="F19">
    <cfRule type="colorScale" priority="5">
      <colorScale>
        <cfvo type="num" val="0"/>
        <cfvo type="num" val="0.6"/>
        <cfvo type="num" val="1"/>
        <color rgb="FFFF0000"/>
        <color rgb="FFFFFF00"/>
        <color rgb="FF92FB4B"/>
      </colorScale>
    </cfRule>
  </conditionalFormatting>
  <conditionalFormatting sqref="F44">
    <cfRule type="colorScale" priority="4">
      <colorScale>
        <cfvo type="num" val="0"/>
        <cfvo type="num" val="0.6"/>
        <cfvo type="num" val="1"/>
        <color rgb="FFFF0000"/>
        <color rgb="FFFFFF00"/>
        <color rgb="FF92FB4B"/>
      </colorScale>
    </cfRule>
  </conditionalFormatting>
  <conditionalFormatting sqref="F53">
    <cfRule type="colorScale" priority="3">
      <colorScale>
        <cfvo type="num" val="0"/>
        <cfvo type="num" val="0.6"/>
        <cfvo type="num" val="1"/>
        <color rgb="FFFF0000"/>
        <color rgb="FFFFFF00"/>
        <color rgb="FF92FB4B"/>
      </colorScale>
    </cfRule>
  </conditionalFormatting>
  <conditionalFormatting sqref="F6">
    <cfRule type="colorScale" priority="2">
      <colorScale>
        <cfvo type="num" val="0"/>
        <cfvo type="num" val="0.6"/>
        <cfvo type="num" val="1"/>
        <color rgb="FFFF0000"/>
        <color rgb="FFFFFF00"/>
        <color rgb="FF92FB4B"/>
      </colorScale>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512EE-E1FB-4D0D-A7D9-58DAB5AC9B89}">
  <dimension ref="A1:O108"/>
  <sheetViews>
    <sheetView topLeftCell="B70" zoomScale="70" zoomScaleNormal="70" workbookViewId="0">
      <selection activeCell="I75" sqref="I75:I76"/>
    </sheetView>
  </sheetViews>
  <sheetFormatPr defaultColWidth="8.86328125" defaultRowHeight="14.25" x14ac:dyDescent="0.45"/>
  <cols>
    <col min="1" max="1" width="0" style="5" hidden="1" customWidth="1"/>
    <col min="2" max="2" width="24" style="5" customWidth="1"/>
    <col min="3" max="3" width="41.86328125" style="5" customWidth="1"/>
    <col min="4" max="4" width="38.6640625" style="5" customWidth="1"/>
    <col min="5" max="5" width="36.59765625" style="30" customWidth="1"/>
    <col min="6" max="6" width="25.06640625" style="30" customWidth="1"/>
    <col min="7" max="7" width="16.1328125" style="5" customWidth="1"/>
    <col min="8" max="8" width="4.86328125" style="5" customWidth="1"/>
    <col min="9" max="9" width="8.86328125" style="30"/>
    <col min="10" max="14" width="0" style="30" hidden="1" customWidth="1"/>
    <col min="15" max="15" width="8.86328125" style="30"/>
    <col min="16" max="18" width="28.46484375" style="5" customWidth="1"/>
    <col min="19" max="16384" width="8.86328125" style="5"/>
  </cols>
  <sheetData>
    <row r="1" spans="1:15" x14ac:dyDescent="0.45">
      <c r="B1" s="413"/>
      <c r="C1" s="414"/>
      <c r="D1" s="414"/>
      <c r="E1" s="415"/>
      <c r="F1" s="415"/>
      <c r="G1" s="416"/>
    </row>
    <row r="2" spans="1:15" ht="46.15" customHeight="1" x14ac:dyDescent="0.45">
      <c r="B2" s="1576" t="s">
        <v>534</v>
      </c>
      <c r="C2" s="1577"/>
      <c r="D2" s="1577"/>
      <c r="E2" s="1577"/>
      <c r="F2" s="1577"/>
      <c r="G2" s="1578"/>
    </row>
    <row r="3" spans="1:15" x14ac:dyDescent="0.45">
      <c r="B3" s="398"/>
      <c r="C3" s="399"/>
      <c r="D3" s="400"/>
      <c r="E3" s="399"/>
      <c r="F3" s="399"/>
      <c r="G3" s="401"/>
    </row>
    <row r="4" spans="1:15" ht="26.45" customHeight="1" x14ac:dyDescent="0.45">
      <c r="B4" s="398"/>
      <c r="C4" s="1492" t="s">
        <v>722</v>
      </c>
      <c r="D4" s="1493"/>
      <c r="E4" s="399"/>
      <c r="F4" s="399"/>
      <c r="G4" s="402"/>
    </row>
    <row r="5" spans="1:15" ht="18.399999999999999" thickBot="1" x14ac:dyDescent="0.6">
      <c r="B5" s="1482"/>
      <c r="C5" s="1483"/>
      <c r="D5" s="1483"/>
      <c r="E5" s="399"/>
      <c r="F5" s="399"/>
      <c r="G5" s="401"/>
    </row>
    <row r="6" spans="1:15" ht="23.65" thickBot="1" x14ac:dyDescent="0.75">
      <c r="B6" s="545"/>
      <c r="C6" s="546"/>
      <c r="D6" s="546"/>
      <c r="E6" s="556"/>
      <c r="F6" s="409" t="s">
        <v>364</v>
      </c>
      <c r="G6" s="195">
        <f>(Benin!P4+'Burkina Faso'!P4+Ghana!P4+Guinea!P4+Senegal!P4+Mali!P4+Cotedivoire!P4+Liberia!P4+Togo!P4+Nigeria!P4+Niger!P4)/11</f>
        <v>0.34382085310865373</v>
      </c>
    </row>
    <row r="7" spans="1:15" ht="18.399999999999999" thickBot="1" x14ac:dyDescent="0.6">
      <c r="B7" s="405"/>
      <c r="C7" s="406"/>
      <c r="D7" s="406"/>
      <c r="E7" s="407"/>
      <c r="F7" s="407"/>
      <c r="G7" s="408"/>
    </row>
    <row r="8" spans="1:15" ht="6.75" customHeight="1" thickBot="1" x14ac:dyDescent="0.5">
      <c r="B8" s="1484"/>
      <c r="C8" s="1485"/>
      <c r="D8" s="1486"/>
      <c r="E8" s="412"/>
      <c r="F8" s="412"/>
      <c r="G8" s="417"/>
    </row>
    <row r="9" spans="1:15" ht="25.25" customHeight="1" thickBot="1" x14ac:dyDescent="0.5">
      <c r="B9" s="410" t="s">
        <v>2</v>
      </c>
      <c r="C9" s="410" t="s">
        <v>3</v>
      </c>
      <c r="D9" s="410" t="s">
        <v>535</v>
      </c>
      <c r="E9" s="410" t="s">
        <v>102</v>
      </c>
      <c r="F9" s="410" t="s">
        <v>578</v>
      </c>
      <c r="G9" s="411" t="s">
        <v>536</v>
      </c>
      <c r="J9" s="52" t="s">
        <v>151</v>
      </c>
      <c r="K9" s="53"/>
      <c r="L9" s="53"/>
      <c r="M9" s="53"/>
      <c r="N9" s="54"/>
    </row>
    <row r="10" spans="1:15" ht="25.25" customHeight="1" thickBot="1" x14ac:dyDescent="0.5">
      <c r="B10" s="1487" t="s">
        <v>0</v>
      </c>
      <c r="C10" s="1488"/>
      <c r="D10" s="1489"/>
      <c r="E10" s="184"/>
      <c r="F10" s="856"/>
      <c r="G10" s="857">
        <f>(Benin!P9+'Burkina Faso'!P9+Ghana!P9+Guinea!P9+Senegal!P9+Mali!P9+Cotedivoire!P9+Liberia!P9+Togo!P9+Nigeria!P9+Niger!P9)/11</f>
        <v>0.32304923683604103</v>
      </c>
      <c r="J10" s="185"/>
      <c r="K10" s="186"/>
      <c r="L10" s="186"/>
      <c r="M10" s="186"/>
      <c r="N10" s="187"/>
    </row>
    <row r="11" spans="1:15" s="109" customFormat="1" ht="25.25" customHeight="1" thickBot="1" x14ac:dyDescent="0.5">
      <c r="B11" s="1547" t="s">
        <v>1</v>
      </c>
      <c r="C11" s="1491"/>
      <c r="D11" s="1491"/>
      <c r="E11" s="188"/>
      <c r="F11" s="1468"/>
      <c r="G11" s="863">
        <f>(Benin!P10+'Burkina Faso'!P10+Ghana!P10+Guinea!P10+Senegal!P10+Mali!P10+Cotedivoire!P10+Liberia!P10+Togo!P10+Nigeria!P10+Niger!P10)/11</f>
        <v>0.61192517139664782</v>
      </c>
      <c r="I11" s="189"/>
      <c r="J11" s="190"/>
      <c r="K11" s="191"/>
      <c r="L11" s="191"/>
      <c r="M11" s="191"/>
      <c r="N11" s="192"/>
      <c r="O11" s="189"/>
    </row>
    <row r="12" spans="1:15" ht="27.6" customHeight="1" x14ac:dyDescent="0.45">
      <c r="A12" s="1494">
        <v>1</v>
      </c>
      <c r="B12" s="1503" t="s">
        <v>4</v>
      </c>
      <c r="C12" s="1470" t="s">
        <v>111</v>
      </c>
      <c r="D12" s="58" t="s">
        <v>5</v>
      </c>
      <c r="E12" s="648" t="s">
        <v>97</v>
      </c>
      <c r="F12" s="858">
        <f>(Benin!M11+'Burkina Faso'!M11+Ghana!M11+Guinea!M11+Senegal!M11+Mali!M11+Cotedivoire!M11+Liberia!M11+Togo!M11+Nigeria!M11+Niger!M11)/11</f>
        <v>-0.21171862759068308</v>
      </c>
      <c r="G12" s="1595">
        <f>(Benin!P11+'Burkina Faso'!P11+Ghana!P11+Guinea!P11+Senegal!P11+Mali!P11+Cotedivoire!P11+Liberia!P11+Togo!P11+Nigeria!P11+Niger!P11)/11</f>
        <v>0.56849153929664242</v>
      </c>
      <c r="J12" s="31" t="s">
        <v>109</v>
      </c>
      <c r="K12" s="32" t="e">
        <f>#REF!</f>
        <v>#REF!</v>
      </c>
      <c r="L12" s="33"/>
      <c r="M12" s="33"/>
      <c r="N12" s="34"/>
    </row>
    <row r="13" spans="1:15" ht="27" customHeight="1" thickBot="1" x14ac:dyDescent="0.5">
      <c r="A13" s="1494"/>
      <c r="B13" s="1504"/>
      <c r="C13" s="1471" t="s">
        <v>112</v>
      </c>
      <c r="D13" s="64" t="s">
        <v>281</v>
      </c>
      <c r="E13" s="553" t="s">
        <v>98</v>
      </c>
      <c r="F13" s="860">
        <f>(Benin!M12+'Burkina Faso'!M12+Ghana!M12+Guinea!M12+Senegal!M12+Mali!M12+Cotedivoire!M12+Liberia!M12+Togo!M12+Nigeria!M12+Niger!M12)/11</f>
        <v>0.47337464352827219</v>
      </c>
      <c r="G13" s="1596"/>
      <c r="J13" s="35">
        <v>0.02</v>
      </c>
      <c r="K13" s="36" t="e">
        <f>(K12-(K12*J13))</f>
        <v>#REF!</v>
      </c>
      <c r="L13" s="36" t="e">
        <f>K12-(J13*K12)</f>
        <v>#REF!</v>
      </c>
      <c r="M13" s="33"/>
      <c r="N13" s="34"/>
    </row>
    <row r="14" spans="1:15" ht="32.450000000000003" customHeight="1" x14ac:dyDescent="0.45">
      <c r="A14" s="1494">
        <v>2</v>
      </c>
      <c r="B14" s="1507" t="s">
        <v>6</v>
      </c>
      <c r="C14" s="865" t="s">
        <v>273</v>
      </c>
      <c r="D14" s="868" t="s">
        <v>7</v>
      </c>
      <c r="E14" s="554" t="s">
        <v>99</v>
      </c>
      <c r="F14" s="858">
        <f>(Benin!M13+'Burkina Faso'!M13+Ghana!M13+Guinea!M13+Senegal!M13+Mali!M13+Cotedivoire!M13+Liberia!M13+Togo!M13+Nigeria!M13+Niger!M13)/11</f>
        <v>0.27068970016660188</v>
      </c>
      <c r="G14" s="1595">
        <f>(Benin!P13+'Burkina Faso'!P13+Ghana!P13+Guinea!P13+Senegal!P13+Mali!P13+Cotedivoire!P13+Liberia!P13+Togo!P13+Nigeria!P13+Niger!P13)/11</f>
        <v>0.35984199031507558</v>
      </c>
      <c r="J14" s="35">
        <v>0.02</v>
      </c>
      <c r="K14" s="36" t="e">
        <f>(#REF!-(#REF!*J14))</f>
        <v>#REF!</v>
      </c>
      <c r="L14" s="36" t="e">
        <f>(K12-(J13*K12))-((K12-(J13*K12))*0.02)-(((K12-(J13*K12))-((K12-(J13*K12))*0.02))*0.02)-(((K12-(J13*K12))-((K12-(J13*K12))*0.02)-(((K12-(J13*K12))-((K12-(J13*K12))*0.02))*0.02))*0.02)</f>
        <v>#REF!</v>
      </c>
      <c r="M14" s="37" t="e">
        <f>(K12-K15)/K12</f>
        <v>#REF!</v>
      </c>
      <c r="N14" s="34"/>
    </row>
    <row r="15" spans="1:15" ht="33" customHeight="1" thickBot="1" x14ac:dyDescent="0.5">
      <c r="A15" s="1494"/>
      <c r="B15" s="1508"/>
      <c r="C15" s="1472" t="s">
        <v>274</v>
      </c>
      <c r="D15" s="869" t="s">
        <v>8</v>
      </c>
      <c r="E15" s="555" t="s">
        <v>100</v>
      </c>
      <c r="F15" s="860">
        <f>(Benin!M14+'Burkina Faso'!M14+Ghana!M14+Guinea!M14+Senegal!M14+Mali!M14+Cotedivoire!M14+Liberia!M14+Togo!M14+Nigeria!M14+Niger!M14)/11</f>
        <v>0.44899428046354922</v>
      </c>
      <c r="G15" s="1596"/>
      <c r="J15" s="38">
        <v>0.02</v>
      </c>
      <c r="K15" s="39" t="e">
        <f>(#REF!-(#REF!*J15))</f>
        <v>#REF!</v>
      </c>
      <c r="L15" s="39" t="e">
        <f>(K12-(J13*K12))-((K12-(J13*K12))*0.02)-(((K12-(J13*K12))-((K12-(J13*K12))*0.02))*0.02)-(((K12-(J13*K12))-((K12-(J13*K12))*0.02)-(((K12-(J13*K12))-((K12-(J13*K12))*0.02))*0.02))*0.02)-(((K12-(J13*K12))-((K12-(J13*K12))*0.02)-(((K12-(J13*K12))-((K12-(J13*K12))*0.02))*0.02)-(((K12-(J13*K12))-((K12-(J13*K12))*0.02)-(((K12-(J13*K12))-((K12-(J13*K13))*0.02))*0.02))*0.02))*0.02)-(((K12-(J13*K12))-((K12-(J13*K12))*0.02)-(((K12-(J13*K12))-((K12-(J13*K12))*0.02))*0.02)-(((K12-(J13*K12))-((K12-(J13*K12))*0.02)-(((K12-(J13*K12))-((K12-(J13*K12))*0.02))*0.02))*0.02)-(((K12-(J13*K12))-((K12-(J13*K12))*0.02)-(((K12-(J13*K12))-((K12-(J13*K12))*0.02))*0.02)-(((K12-(J13*K12))-((K12-(J13*K12))*0.02)-(((K12-(J13*K12))-((K12-(J13*K12))*0.02))*0.02))*0.02))*0.02))*0.02)</f>
        <v>#REF!</v>
      </c>
      <c r="M15" s="40" t="e">
        <f>K12-L15</f>
        <v>#REF!</v>
      </c>
      <c r="N15" s="41"/>
    </row>
    <row r="16" spans="1:15" ht="22.25" customHeight="1" x14ac:dyDescent="0.45">
      <c r="A16" s="1494">
        <v>3</v>
      </c>
      <c r="B16" s="1496" t="s">
        <v>9</v>
      </c>
      <c r="C16" s="1611" t="s">
        <v>113</v>
      </c>
      <c r="D16" s="870" t="s">
        <v>221</v>
      </c>
      <c r="E16" s="1469" t="s">
        <v>101</v>
      </c>
      <c r="F16" s="862">
        <f>(Benin!M15+'Burkina Faso'!M15+Ghana!M15+Guinea!M15+Senegal!M15+Mali!M15+Cotedivoire!M15+Liberia!M15+Togo!M15+Nigeria!M15+Niger!M15)/11</f>
        <v>1.0415412000787569</v>
      </c>
      <c r="G16" s="1598">
        <f>(Benin!P15+'Burkina Faso'!P15+Ghana!P15+Guinea!P15+Senegal!P15+Mali!P15+Cotedivoire!P15+Liberia!P15+Togo!P15+Nigeria!P15+Niger!P15)/11</f>
        <v>0.90744198457822556</v>
      </c>
    </row>
    <row r="17" spans="1:9" ht="27" customHeight="1" x14ac:dyDescent="0.45">
      <c r="A17" s="1494"/>
      <c r="B17" s="1496"/>
      <c r="C17" s="1612"/>
      <c r="D17" s="866" t="s">
        <v>220</v>
      </c>
      <c r="E17" s="559" t="s">
        <v>95</v>
      </c>
      <c r="F17" s="859">
        <f>(Benin!M16+'Burkina Faso'!M16+Ghana!M16+Guinea!M16+Senegal!M16+Mali!M16+Cotedivoire!M16+Liberia!M16+Togo!M16+Nigeria!M16+Niger!M16)/11</f>
        <v>0.14895449951805054</v>
      </c>
      <c r="G17" s="1598"/>
    </row>
    <row r="18" spans="1:9" ht="25.25" customHeight="1" thickBot="1" x14ac:dyDescent="0.5">
      <c r="A18" s="1494"/>
      <c r="B18" s="1497"/>
      <c r="C18" s="1613"/>
      <c r="D18" s="869" t="s">
        <v>10</v>
      </c>
      <c r="E18" s="560" t="s">
        <v>162</v>
      </c>
      <c r="F18" s="860">
        <f>(Benin!M17+'Burkina Faso'!M17+Ghana!M17+Guinea!M17+Senegal!M17+Mali!M17+Cotedivoire!M17+Liberia!M17+Togo!M17+Nigeria!M17+Niger!M17)/11</f>
        <v>7.6238955945199924</v>
      </c>
      <c r="G18" s="1599"/>
    </row>
    <row r="19" spans="1:9" ht="26.25" customHeight="1" thickBot="1" x14ac:dyDescent="0.7">
      <c r="A19" s="14"/>
      <c r="B19" s="1490" t="s">
        <v>11</v>
      </c>
      <c r="C19" s="1511"/>
      <c r="D19" s="1512"/>
      <c r="E19" s="44"/>
      <c r="F19" s="861"/>
      <c r="G19" s="857">
        <f>(Benin!P18+'Burkina Faso'!P18+Ghana!P18+Guinea!P18+Senegal!P18+Mali!P18+Cotedivoire!P18+Liberia!P18+Togo!P18+Nigeria!P18)/10</f>
        <v>0.24051739351608678</v>
      </c>
    </row>
    <row r="20" spans="1:9" ht="34.25" customHeight="1" x14ac:dyDescent="0.45">
      <c r="A20" s="1494">
        <v>4</v>
      </c>
      <c r="B20" s="1513" t="s">
        <v>12</v>
      </c>
      <c r="C20" s="58" t="s">
        <v>114</v>
      </c>
      <c r="D20" s="59" t="s">
        <v>222</v>
      </c>
      <c r="E20" s="422" t="s">
        <v>163</v>
      </c>
      <c r="F20" s="858">
        <f>(Benin!M19+'Burkina Faso'!M19+Ghana!M19+Guinea!M19+Senegal!M19+Mali!M19+Cotedivoire!M19+Liberia!M19+Togo!M19+Nigeria!M19+Niger!M19)/11</f>
        <v>0.1411799576563785</v>
      </c>
      <c r="G20" s="1605">
        <f>(Benin!P19+'Burkina Faso'!P19+Ghana!P19+Guinea!P19+Senegal!P19+Mali!P19+Cotedivoire!P19+Liberia!P19+Togo!P19+Nigeria!P19)/10</f>
        <v>0.24051739351608678</v>
      </c>
    </row>
    <row r="21" spans="1:9" ht="39" customHeight="1" x14ac:dyDescent="0.45">
      <c r="A21" s="1494"/>
      <c r="B21" s="1514"/>
      <c r="C21" s="867" t="s">
        <v>152</v>
      </c>
      <c r="D21" s="61" t="s">
        <v>265</v>
      </c>
      <c r="E21" s="423" t="s">
        <v>164</v>
      </c>
      <c r="F21" s="859">
        <f>(Benin!M20+'Burkina Faso'!M20+Ghana!M20+Guinea!M20+Senegal!M20+Mali!M20+Cotedivoire!M20+Liberia!M20+Togo!M20+Nigeria!M20+Niger!M20)/11</f>
        <v>0.40074242314900893</v>
      </c>
      <c r="G21" s="1606"/>
    </row>
    <row r="22" spans="1:9" ht="56.45" customHeight="1" x14ac:dyDescent="0.45">
      <c r="A22" s="1494"/>
      <c r="B22" s="1514"/>
      <c r="C22" s="867" t="s">
        <v>153</v>
      </c>
      <c r="D22" s="61" t="s">
        <v>155</v>
      </c>
      <c r="E22" s="423" t="s">
        <v>165</v>
      </c>
      <c r="F22" s="859">
        <f>(Benin!M21+'Burkina Faso'!M21+Ghana!M21+Guinea!M21+Senegal!M21+Mali!M21+Cotedivoire!M21+Liberia!M21+Togo!M21+Nigeria!M21+Niger!M21)/11</f>
        <v>0.43701483594947454</v>
      </c>
      <c r="G22" s="1606"/>
    </row>
    <row r="23" spans="1:9" ht="36.6" customHeight="1" thickBot="1" x14ac:dyDescent="0.5">
      <c r="A23" s="1494"/>
      <c r="B23" s="1515"/>
      <c r="C23" s="64" t="s">
        <v>154</v>
      </c>
      <c r="D23" s="87" t="s">
        <v>156</v>
      </c>
      <c r="E23" s="424" t="s">
        <v>95</v>
      </c>
      <c r="F23" s="860">
        <f>(Benin!M22+'Burkina Faso'!M22+Ghana!M22+Guinea!M22+Senegal!M22+Mali!M22+Cotedivoire!M22+Liberia!M22+Togo!M22+Nigeria!M22+Niger!M22)/11</f>
        <v>4.4315394270359028E-2</v>
      </c>
      <c r="G23" s="1610"/>
    </row>
    <row r="24" spans="1:9" ht="20.45" customHeight="1" thickBot="1" x14ac:dyDescent="0.5">
      <c r="B24" s="1490" t="s">
        <v>13</v>
      </c>
      <c r="C24" s="1519"/>
      <c r="D24" s="1520"/>
      <c r="E24" s="44"/>
      <c r="F24" s="861"/>
      <c r="G24" s="857">
        <f>(Benin!P23+'Burkina Faso'!P23+Ghana!P23+Guinea!P23+Senegal!P23+Mali!P23+Cotedivoire!P23+Liberia!P23+Togo!P23+Nigeria!P23+Niger!P23)/11</f>
        <v>0.4885352903509016</v>
      </c>
      <c r="I24" s="610"/>
    </row>
    <row r="25" spans="1:9" ht="36" customHeight="1" x14ac:dyDescent="0.45">
      <c r="A25" s="1494">
        <v>5</v>
      </c>
      <c r="B25" s="1521" t="s">
        <v>14</v>
      </c>
      <c r="C25" s="868" t="s">
        <v>115</v>
      </c>
      <c r="D25" s="868" t="s">
        <v>280</v>
      </c>
      <c r="E25" s="425" t="s">
        <v>166</v>
      </c>
      <c r="F25" s="858">
        <f>(Benin!M24+'Burkina Faso'!M24+Ghana!M24+Guinea!M24+Senegal!M24+Mali!M24+Cotedivoire!M24+Liberia!M24+Togo!M24+Nigeria!M24+Niger!M24)/11</f>
        <v>2.4540187380767815</v>
      </c>
      <c r="G25" s="1605">
        <f>(Benin!P24+'Burkina Faso'!P24+Ghana!P24+Guinea!P24+Senegal!P24+Mali!P24+Cotedivoire!P24+Liberia!P24+Togo!P24+Nigeria!P24+Niger!P24)/11</f>
        <v>0.4885352903509016</v>
      </c>
    </row>
    <row r="26" spans="1:9" ht="19.8" customHeight="1" x14ac:dyDescent="0.45">
      <c r="A26" s="1494"/>
      <c r="B26" s="1522"/>
      <c r="C26" s="1527" t="s">
        <v>158</v>
      </c>
      <c r="D26" s="866" t="s">
        <v>15</v>
      </c>
      <c r="E26" s="426" t="s">
        <v>167</v>
      </c>
      <c r="F26" s="859">
        <f>(Benin!M25+'Burkina Faso'!M25+Ghana!M25+Guinea!M25+Senegal!M25+Mali!M25+Cotedivoire!M25+Liberia!M25+Togo!M25+Nigeria!M25+Niger!M25)/11</f>
        <v>6.6393801752833367E-2</v>
      </c>
      <c r="G26" s="1606"/>
    </row>
    <row r="27" spans="1:9" ht="19.8" customHeight="1" x14ac:dyDescent="0.45">
      <c r="A27" s="1494"/>
      <c r="B27" s="1522"/>
      <c r="C27" s="1528"/>
      <c r="D27" s="866" t="s">
        <v>16</v>
      </c>
      <c r="E27" s="426" t="s">
        <v>168</v>
      </c>
      <c r="F27" s="859">
        <f>(Benin!M26+'Burkina Faso'!M26+Ghana!M26+Guinea!M26+Senegal!M26+Mali!M26+Cotedivoire!M26+Liberia!M26+Togo!M26+Nigeria!M26+Niger!M26)/11</f>
        <v>6.117551639710346E-2</v>
      </c>
      <c r="G27" s="1606"/>
    </row>
    <row r="28" spans="1:9" ht="19.8" customHeight="1" x14ac:dyDescent="0.45">
      <c r="A28" s="1494"/>
      <c r="B28" s="1522"/>
      <c r="C28" s="1528"/>
      <c r="D28" s="866" t="s">
        <v>17</v>
      </c>
      <c r="E28" s="426" t="s">
        <v>169</v>
      </c>
      <c r="F28" s="859">
        <f>(Benin!M27+'Burkina Faso'!M27+Ghana!M27+Guinea!M27+Senegal!M27+Mali!M27+Cotedivoire!M27+Liberia!M27+Togo!M27+Nigeria!M27+Niger!M27)/11</f>
        <v>8.5865591327286481E-2</v>
      </c>
      <c r="G28" s="1606"/>
    </row>
    <row r="29" spans="1:9" ht="30.6" customHeight="1" x14ac:dyDescent="0.45">
      <c r="A29" s="547"/>
      <c r="B29" s="1522"/>
      <c r="C29" s="1529" t="s">
        <v>116</v>
      </c>
      <c r="D29" s="866" t="s">
        <v>148</v>
      </c>
      <c r="E29" s="426" t="s">
        <v>170</v>
      </c>
      <c r="F29" s="859">
        <f>(Benin!M28+'Burkina Faso'!M28+Ghana!M28+Guinea!M28+Senegal!M28+Mali!M28+Cotedivoire!M28+Liberia!M28+Togo!M28+Nigeria!M28+Niger!M28)/11</f>
        <v>0.56663622786323808</v>
      </c>
      <c r="G29" s="1600"/>
    </row>
    <row r="30" spans="1:9" ht="20.45" customHeight="1" x14ac:dyDescent="0.45">
      <c r="A30" s="547"/>
      <c r="B30" s="1522"/>
      <c r="C30" s="1530"/>
      <c r="D30" s="866" t="s">
        <v>149</v>
      </c>
      <c r="E30" s="426" t="s">
        <v>171</v>
      </c>
      <c r="F30" s="859">
        <f>(Benin!M29+'Burkina Faso'!M29+Ghana!M29+Guinea!M29+Senegal!M29+Mali!M29+Cotedivoire!M29+Liberia!M29+Togo!M29+Nigeria!M29+Niger!M29)/11</f>
        <v>0.15516485978959843</v>
      </c>
      <c r="G30" s="1600"/>
    </row>
    <row r="31" spans="1:9" ht="20.45" customHeight="1" x14ac:dyDescent="0.45">
      <c r="A31" s="547"/>
      <c r="B31" s="1523"/>
      <c r="C31" s="1530"/>
      <c r="D31" s="867" t="s">
        <v>150</v>
      </c>
      <c r="E31" s="426" t="s">
        <v>172</v>
      </c>
      <c r="F31" s="859">
        <f>(Benin!M30+'Burkina Faso'!M30+Ghana!M30+Guinea!M30+Senegal!M30+Mali!M30+Cotedivoire!M30+Liberia!M30+Togo!M30+Nigeria!M30+Niger!M30)/11</f>
        <v>0.25225487875026742</v>
      </c>
      <c r="G31" s="1600"/>
    </row>
    <row r="32" spans="1:9" ht="23.65" thickBot="1" x14ac:dyDescent="0.5">
      <c r="A32" s="547"/>
      <c r="B32" s="1524"/>
      <c r="C32" s="64" t="s">
        <v>117</v>
      </c>
      <c r="D32" s="105" t="s">
        <v>223</v>
      </c>
      <c r="E32" s="427" t="s">
        <v>95</v>
      </c>
      <c r="F32" s="860">
        <f>(Benin!M31+'Burkina Faso'!M31+Ghana!M31+Guinea!M31+Senegal!M31+Mali!M31+Cotedivoire!M31+Liberia!M31+Togo!M31+Nigeria!M31+Niger!M31)/11</f>
        <v>0.22972910797890148</v>
      </c>
      <c r="G32" s="1601"/>
    </row>
    <row r="33" spans="1:7" ht="20.45" customHeight="1" thickBot="1" x14ac:dyDescent="0.5">
      <c r="B33" s="1531" t="s">
        <v>18</v>
      </c>
      <c r="C33" s="1532"/>
      <c r="D33" s="1533"/>
      <c r="E33" s="44"/>
      <c r="F33" s="861"/>
      <c r="G33" s="857">
        <f>(Benin!P32+'Burkina Faso'!P32+Ghana!P32+Guinea!P32+Senegal!P32+Mali!P32+Cotedivoire!P32+Liberia!P32+Togo!P32+Nigeria!P32+Niger!P32)/11</f>
        <v>0.18749360558000125</v>
      </c>
    </row>
    <row r="34" spans="1:7" ht="33.6" customHeight="1" thickBot="1" x14ac:dyDescent="0.5">
      <c r="A34" s="547">
        <v>6</v>
      </c>
      <c r="B34" s="65" t="s">
        <v>19</v>
      </c>
      <c r="C34" s="66" t="s">
        <v>287</v>
      </c>
      <c r="D34" s="65" t="s">
        <v>288</v>
      </c>
      <c r="E34" s="428" t="s">
        <v>97</v>
      </c>
      <c r="F34" s="857">
        <f>(Benin!M33+'Burkina Faso'!M33+Ghana!M33+Guinea!M33+Senegal!M33+Mali!M33+Cotedivoire!M33+Liberia!M33+Togo!M33+Nigeria!M33+Niger!M33)/11</f>
        <v>1.0966635312346298E-4</v>
      </c>
      <c r="G34" s="857">
        <f>(Benin!P33+'Burkina Faso'!P33+Ghana!P33+Guinea!P33+Senegal!P33+Mali!P33+Cotedivoire!P33+Liberia!P33+Togo!P33+Nigeria!P33+Niger!P33)/11</f>
        <v>0.16422287390029325</v>
      </c>
    </row>
    <row r="35" spans="1:7" ht="51" customHeight="1" thickBot="1" x14ac:dyDescent="0.5">
      <c r="A35" s="547">
        <v>7</v>
      </c>
      <c r="B35" s="65" t="s">
        <v>20</v>
      </c>
      <c r="C35" s="65" t="s">
        <v>118</v>
      </c>
      <c r="D35" s="65" t="s">
        <v>21</v>
      </c>
      <c r="E35" s="428" t="s">
        <v>173</v>
      </c>
      <c r="F35" s="857">
        <f>(Benin!M34+'Burkina Faso'!M34+Ghana!M34+Guinea!M34+Senegal!M34+Mali!M34+Cotedivoire!M34+Liberia!M34+Togo!M34+Nigeria!M34+Niger!M34)/11</f>
        <v>-3.2005063470685109E-2</v>
      </c>
      <c r="G35" s="857">
        <f>(Benin!P34+'Burkina Faso'!P34+Ghana!P34+Guinea!P34+Senegal!P34+Mali!P34+Cotedivoire!P34+Liberia!P34+Togo!P34+Nigeria!P34+Niger!P34)/11</f>
        <v>0.16809673946055478</v>
      </c>
    </row>
    <row r="36" spans="1:7" ht="40.799999999999997" customHeight="1" thickBot="1" x14ac:dyDescent="0.5">
      <c r="A36" s="547">
        <v>8</v>
      </c>
      <c r="B36" s="65" t="s">
        <v>22</v>
      </c>
      <c r="C36" s="65" t="s">
        <v>119</v>
      </c>
      <c r="D36" s="65" t="s">
        <v>23</v>
      </c>
      <c r="E36" s="428" t="s">
        <v>174</v>
      </c>
      <c r="F36" s="857">
        <f>(Benin!M35+'Burkina Faso'!M35+Ghana!M35+Guinea!M35+Senegal!M35+Mali!M35+Cotedivoire!M35+Liberia!M35+Togo!M35+Nigeria!M35+Niger!M35)/11</f>
        <v>-3.3319178126939601E-3</v>
      </c>
      <c r="G36" s="857">
        <f>(Benin!P35+'Burkina Faso'!P35+Ghana!P35+Guinea!P35+Senegal!P35+Mali!P35+Cotedivoire!P35+Liberia!P35+Togo!P35+Nigeria!P35+Niger!P35)/11</f>
        <v>6.916996047430829E-2</v>
      </c>
    </row>
    <row r="37" spans="1:7" ht="32.450000000000003" customHeight="1" thickBot="1" x14ac:dyDescent="0.5">
      <c r="A37" s="547">
        <v>9</v>
      </c>
      <c r="B37" s="65" t="s">
        <v>24</v>
      </c>
      <c r="C37" s="65" t="s">
        <v>275</v>
      </c>
      <c r="D37" s="67" t="s">
        <v>25</v>
      </c>
      <c r="E37" s="429" t="s">
        <v>175</v>
      </c>
      <c r="F37" s="857">
        <f>(Benin!M36+'Burkina Faso'!M36+Ghana!M36+Guinea!M36+Senegal!M36+Mali!M36+Cotedivoire!M36+Liberia!M36+Togo!M36+Nigeria!M36+Niger!M36)/11</f>
        <v>2.7588631412160827</v>
      </c>
      <c r="G37" s="857">
        <f>(Benin!P36+'Burkina Faso'!P36+Ghana!P36+Guinea!P36+Senegal!P36+Mali!P36+Cotedivoire!P36+Liberia!P36+Togo!P36+Nigeria!P36+Niger!P36)/11</f>
        <v>0.34848484848484851</v>
      </c>
    </row>
    <row r="38" spans="1:7" ht="30.6" customHeight="1" thickBot="1" x14ac:dyDescent="0.5">
      <c r="B38" s="1607" t="s">
        <v>26</v>
      </c>
      <c r="C38" s="1608"/>
      <c r="D38" s="1609"/>
      <c r="E38" s="216"/>
      <c r="F38" s="861"/>
      <c r="G38" s="864">
        <f>(Benin!P37+'Burkina Faso'!P37+Ghana!P37+Guinea!P37+Senegal!P37+Mali!P37+Cotedivoire!P37+Liberia!P37+Togo!P37+Nigeria!P37+Niger!P37)/11</f>
        <v>3.4681364368655702E-2</v>
      </c>
    </row>
    <row r="39" spans="1:7" ht="25.8" customHeight="1" x14ac:dyDescent="0.45">
      <c r="A39" s="1494">
        <v>10</v>
      </c>
      <c r="B39" s="1513" t="s">
        <v>27</v>
      </c>
      <c r="C39" s="90" t="s">
        <v>120</v>
      </c>
      <c r="D39" s="58" t="s">
        <v>224</v>
      </c>
      <c r="E39" s="430" t="s">
        <v>176</v>
      </c>
      <c r="F39" s="858">
        <f>(Benin!M38+'Burkina Faso'!M38+Ghana!M38+Guinea!M38+Senegal!M38+Mali!M38+Cotedivoire!M38+Liberia!M38+Togo!M38+Nigeria!M38+Niger!M38)/11</f>
        <v>6.3325358748966179E-2</v>
      </c>
      <c r="G39" s="1595">
        <f>(Benin!P38+'Burkina Faso'!P38+Ghana!P38+Guinea!P38+Senegal!P38+Mali!P38+Cotedivoire!P38+Liberia!P38+Togo!P38+Nigeria!P38+Niger!P38)/11</f>
        <v>3.4681364368655702E-2</v>
      </c>
    </row>
    <row r="40" spans="1:7" ht="35.25" thickBot="1" x14ac:dyDescent="0.5">
      <c r="A40" s="1494"/>
      <c r="B40" s="1515"/>
      <c r="C40" s="86" t="s">
        <v>157</v>
      </c>
      <c r="D40" s="64" t="s">
        <v>225</v>
      </c>
      <c r="E40" s="436" t="s">
        <v>95</v>
      </c>
      <c r="F40" s="860">
        <f>(Benin!M39+'Burkina Faso'!M39+Ghana!M39+Guinea!M39+Senegal!M39+Mali!M39+Cotedivoire!M39+Liberia!M39+Togo!M39+Nigeria!M39+Niger!M39)/11</f>
        <v>0</v>
      </c>
      <c r="G40" s="1596"/>
    </row>
    <row r="41" spans="1:7" ht="20.45" customHeight="1" thickBot="1" x14ac:dyDescent="0.5">
      <c r="B41" s="1537" t="s">
        <v>28</v>
      </c>
      <c r="C41" s="1538"/>
      <c r="D41" s="1539"/>
      <c r="E41" s="46"/>
      <c r="F41" s="862"/>
      <c r="G41" s="857">
        <f>(Benin!P40+'Burkina Faso'!P40+Ghana!P40+Guinea!P40+Senegal!P40+Mali!P40+Cotedivoire!P40+Liberia!P40+Togo!P40+Nigeria!P40+Niger!P40)/11</f>
        <v>0.29480444946667234</v>
      </c>
    </row>
    <row r="42" spans="1:7" ht="35.25" thickBot="1" x14ac:dyDescent="0.5">
      <c r="A42" s="1494">
        <v>11</v>
      </c>
      <c r="B42" s="1540" t="s">
        <v>29</v>
      </c>
      <c r="C42" s="551" t="s">
        <v>121</v>
      </c>
      <c r="D42" s="548" t="s">
        <v>30</v>
      </c>
      <c r="E42" s="457" t="s">
        <v>177</v>
      </c>
      <c r="F42" s="858">
        <f>(Benin!M41+'Burkina Faso'!M41+Ghana!M41+Guinea!M41+Senegal!M41+Mali!M41+Cotedivoire!M41+Liberia!M41+Togo!M41+Nigeria!M41+Niger!M41)/11</f>
        <v>0.98013250790295925</v>
      </c>
      <c r="G42" s="1595">
        <f>(Benin!P41+'Burkina Faso'!P41+Ghana!P41+Guinea!P41+Senegal!P41+Mali!P41+Cotedivoire!P41+Liberia!P41+Togo!P41+Nigeria!P41+Niger!P41)/11</f>
        <v>0.29480444946667234</v>
      </c>
    </row>
    <row r="43" spans="1:7" ht="35.25" thickBot="1" x14ac:dyDescent="0.5">
      <c r="A43" s="1494"/>
      <c r="B43" s="1541"/>
      <c r="C43" s="552" t="s">
        <v>122</v>
      </c>
      <c r="D43" s="549" t="s">
        <v>31</v>
      </c>
      <c r="E43" s="458" t="s">
        <v>95</v>
      </c>
      <c r="F43" s="858">
        <f>(Benin!M42+'Burkina Faso'!M42+Ghana!M42+Guinea!M42+Senegal!M42+Mali!M42+Cotedivoire!M42+Liberia!M42+Togo!M42+Nigeria!M42+Niger!M42)/11</f>
        <v>0</v>
      </c>
      <c r="G43" s="1596"/>
    </row>
    <row r="44" spans="1:7" ht="30.6" customHeight="1" thickBot="1" x14ac:dyDescent="0.5">
      <c r="B44" s="1490" t="s">
        <v>32</v>
      </c>
      <c r="C44" s="1519"/>
      <c r="D44" s="1520"/>
      <c r="E44" s="44"/>
      <c r="F44" s="863"/>
      <c r="G44" s="857">
        <f>(Benin!P43+'Burkina Faso'!P43+Ghana!P43+Guinea!P43+Senegal!P43+Mali!P43+Cotedivoire!P43+Liberia!P43+Togo!P43+Nigeria!P43+Niger!P43)/11</f>
        <v>0.23957751358331125</v>
      </c>
    </row>
    <row r="45" spans="1:7" ht="37.799999999999997" customHeight="1" x14ac:dyDescent="0.45">
      <c r="A45" s="1494">
        <v>12</v>
      </c>
      <c r="B45" s="1540" t="s">
        <v>33</v>
      </c>
      <c r="C45" s="868" t="s">
        <v>123</v>
      </c>
      <c r="D45" s="868" t="s">
        <v>34</v>
      </c>
      <c r="E45" s="420" t="s">
        <v>178</v>
      </c>
      <c r="F45" s="858">
        <f>(Benin!M44+'Burkina Faso'!M44+Ghana!M44+Guinea!M44+Senegal!M44+Mali!M44+Cotedivoire!M44+Liberia!M44+Togo!M44+Nigeria!M44+Niger!M44)/11</f>
        <v>-0.15635887761518721</v>
      </c>
      <c r="G45" s="1595">
        <f>(Benin!P44+'Burkina Faso'!P44+Ghana!P44+Guinea!P44+Senegal!P44+Mali!P44+Cotedivoire!P44+Liberia!P44+Togo!P44+Nigeria!P44+Niger!P44)/11</f>
        <v>0.23957751358331125</v>
      </c>
    </row>
    <row r="46" spans="1:7" ht="35.25" thickBot="1" x14ac:dyDescent="0.5">
      <c r="A46" s="1494"/>
      <c r="B46" s="1541"/>
      <c r="C46" s="869" t="s">
        <v>124</v>
      </c>
      <c r="D46" s="869" t="s">
        <v>35</v>
      </c>
      <c r="E46" s="421" t="s">
        <v>179</v>
      </c>
      <c r="F46" s="860">
        <f>(Benin!M45+'Burkina Faso'!M45+Ghana!M45+Guinea!M45+Senegal!M45+Mali!M45+Cotedivoire!M45+Liberia!M45+Togo!M45+Nigeria!M45+Niger!M45)/11</f>
        <v>0.75802673796791453</v>
      </c>
      <c r="G46" s="1596"/>
    </row>
    <row r="47" spans="1:7" ht="30.6" customHeight="1" thickBot="1" x14ac:dyDescent="0.5">
      <c r="B47" s="1544" t="s">
        <v>36</v>
      </c>
      <c r="C47" s="1545"/>
      <c r="D47" s="1546"/>
      <c r="E47" s="47"/>
      <c r="F47" s="862"/>
      <c r="G47" s="857">
        <f>(Benin!P46+'Burkina Faso'!P46+Ghana!P46+Guinea!P46+Senegal!P46+Mali!P46+Cotedivoire!P46+Liberia!P46+Togo!P46+Nigeria!P46+Niger!P46)/11</f>
        <v>0.49411349722987025</v>
      </c>
    </row>
    <row r="48" spans="1:7" ht="20.45" customHeight="1" thickBot="1" x14ac:dyDescent="0.5">
      <c r="B48" s="1547" t="s">
        <v>37</v>
      </c>
      <c r="C48" s="1491"/>
      <c r="D48" s="1548"/>
      <c r="E48" s="63"/>
      <c r="F48" s="863"/>
      <c r="G48" s="857">
        <f>(Benin!P47+'Burkina Faso'!P47+Ghana!P47+Guinea!P47+Senegal!P47+Mali!P47+Cotedivoire!P47+Liberia!P47+Togo!P47+Nigeria!P47+Niger!P47)/11</f>
        <v>9.1080500424014013E-2</v>
      </c>
    </row>
    <row r="49" spans="1:7" ht="37.799999999999997" customHeight="1" x14ac:dyDescent="0.45">
      <c r="A49" s="1494">
        <v>13</v>
      </c>
      <c r="B49" s="1540" t="s">
        <v>38</v>
      </c>
      <c r="C49" s="868" t="s">
        <v>125</v>
      </c>
      <c r="D49" s="70" t="s">
        <v>289</v>
      </c>
      <c r="E49" s="425" t="s">
        <v>95</v>
      </c>
      <c r="F49" s="858">
        <f>(Benin!M48+'Burkina Faso'!M48+Ghana!M48+Guinea!M48+Senegal!M48+Mali!M48+Cotedivoire!M48+Liberia!M48+Togo!M48+Nigeria!M48+Niger!M48)/11</f>
        <v>0</v>
      </c>
      <c r="G49" s="1595">
        <f>(Benin!P48+'Burkina Faso'!P48+Ghana!P48+Guinea!P48+Senegal!P48+Mali!P48+Cotedivoire!P48+Liberia!P48+Togo!P48+Nigeria!P48+Niger!P48)/11</f>
        <v>9.1080500424014013E-2</v>
      </c>
    </row>
    <row r="50" spans="1:7" ht="30.6" customHeight="1" thickBot="1" x14ac:dyDescent="0.5">
      <c r="A50" s="1494"/>
      <c r="B50" s="1541"/>
      <c r="C50" s="869" t="s">
        <v>126</v>
      </c>
      <c r="D50" s="869" t="s">
        <v>290</v>
      </c>
      <c r="E50" s="427" t="s">
        <v>95</v>
      </c>
      <c r="F50" s="860">
        <f>(Benin!M49+'Burkina Faso'!M49+Ghana!M49+Guinea!M49+Senegal!M49+Mali!M49+Cotedivoire!M49+Liberia!M49+Togo!M49+Nigeria!M49+Niger!M49)/11</f>
        <v>0.18216100084802803</v>
      </c>
      <c r="G50" s="1596"/>
    </row>
    <row r="51" spans="1:7" ht="23.65" customHeight="1" thickBot="1" x14ac:dyDescent="0.5">
      <c r="B51" s="1490" t="s">
        <v>39</v>
      </c>
      <c r="C51" s="1519"/>
      <c r="D51" s="1520"/>
      <c r="E51" s="48"/>
      <c r="F51" s="862"/>
      <c r="G51" s="857">
        <f>(Benin!P50+'Burkina Faso'!P50+Ghana!P50+Guinea!P50+Senegal!P50+Mali!P50+Cotedivoire!P50+Liberia!P50+Togo!P50+Nigeria!P50+Niger!P50)/11</f>
        <v>0.9545454545454547</v>
      </c>
    </row>
    <row r="52" spans="1:7" ht="30.6" customHeight="1" thickBot="1" x14ac:dyDescent="0.5">
      <c r="A52" s="21">
        <v>14</v>
      </c>
      <c r="B52" s="418" t="s">
        <v>226</v>
      </c>
      <c r="C52" s="1473" t="s">
        <v>272</v>
      </c>
      <c r="D52" s="79" t="s">
        <v>266</v>
      </c>
      <c r="E52" s="1474" t="s">
        <v>95</v>
      </c>
      <c r="F52" s="858">
        <f>(Benin!M51+'Burkina Faso'!M51+Ghana!M51+Guinea!M51+Senegal!M51+Mali!M51+Cotedivoire!M51+Liberia!M51+Togo!M51+Nigeria!M51+Niger!M51)/11</f>
        <v>1.4393939393939394</v>
      </c>
      <c r="G52" s="857">
        <f>(Benin!P51+'Burkina Faso'!P51+Ghana!P51+Guinea!P51+Senegal!P51+Mali!P51+Cotedivoire!P51+Liberia!P51+Togo!P51+Nigeria!P51+Niger!P51)/11</f>
        <v>0.9545454545454547</v>
      </c>
    </row>
    <row r="53" spans="1:7" ht="27.75" customHeight="1" thickBot="1" x14ac:dyDescent="0.5">
      <c r="B53" s="1490" t="s">
        <v>40</v>
      </c>
      <c r="C53" s="1519"/>
      <c r="D53" s="1520"/>
      <c r="E53" s="43"/>
      <c r="F53" s="863"/>
      <c r="G53" s="857">
        <f>(Benin!P52+'Burkina Faso'!P52+Ghana!P52+Guinea!P52+Senegal!P52+Mali!P52+Cotedivoire!P52+Liberia!P52+Togo!P52+Nigeria!P52+Niger!P52)/11</f>
        <v>0.43671453672014204</v>
      </c>
    </row>
    <row r="54" spans="1:7" ht="43.8" customHeight="1" x14ac:dyDescent="0.45">
      <c r="A54" s="1494">
        <v>15</v>
      </c>
      <c r="B54" s="1513" t="s">
        <v>108</v>
      </c>
      <c r="C54" s="71" t="s">
        <v>127</v>
      </c>
      <c r="D54" s="72" t="s">
        <v>41</v>
      </c>
      <c r="E54" s="433" t="s">
        <v>95</v>
      </c>
      <c r="F54" s="858">
        <f>(Benin!M53+'Burkina Faso'!M53+Ghana!M53+Guinea!M53+Senegal!M53+Mali!M53+Cotedivoire!M53+Liberia!M53+Togo!M53+Nigeria!M53+Niger!M53)/11</f>
        <v>0.2424242424242424</v>
      </c>
      <c r="G54" s="1602">
        <f>(Benin!P53+'Burkina Faso'!P53+Ghana!P53+Guinea!P53+Senegal!P53+Mali!P53+Cotedivoire!P53+Liberia!P53+Togo!P53+Nigeria!P53+Niger!P53)/11</f>
        <v>0.43671453672014204</v>
      </c>
    </row>
    <row r="55" spans="1:7" ht="35.450000000000003" customHeight="1" x14ac:dyDescent="0.45">
      <c r="A55" s="1494"/>
      <c r="B55" s="1514"/>
      <c r="C55" s="104" t="s">
        <v>128</v>
      </c>
      <c r="D55" s="73" t="s">
        <v>42</v>
      </c>
      <c r="E55" s="434" t="s">
        <v>95</v>
      </c>
      <c r="F55" s="859">
        <f>(Benin!M54+'Burkina Faso'!M54+Ghana!M54+Guinea!M54+Senegal!M54+Mali!M54+Cotedivoire!M54+Liberia!M54+Togo!M54+Nigeria!M54+Niger!M54)/11</f>
        <v>3.9090909090909093E-2</v>
      </c>
      <c r="G55" s="1603"/>
    </row>
    <row r="56" spans="1:7" ht="34.25" customHeight="1" x14ac:dyDescent="0.45">
      <c r="A56" s="1494"/>
      <c r="B56" s="1514"/>
      <c r="C56" s="104" t="s">
        <v>129</v>
      </c>
      <c r="D56" s="73" t="s">
        <v>43</v>
      </c>
      <c r="E56" s="434" t="s">
        <v>95</v>
      </c>
      <c r="F56" s="859">
        <f>(Benin!M55+'Burkina Faso'!M55+Ghana!M55+Guinea!M55+Senegal!M55+Mali!M55+Cotedivoire!M55+Liberia!M55+Togo!M55+Nigeria!M55+Niger!M55)/11</f>
        <v>0.18181818181818182</v>
      </c>
      <c r="G56" s="1603"/>
    </row>
    <row r="57" spans="1:7" ht="37.25" customHeight="1" x14ac:dyDescent="0.45">
      <c r="A57" s="1494"/>
      <c r="B57" s="1514"/>
      <c r="C57" s="104" t="s">
        <v>130</v>
      </c>
      <c r="D57" s="73" t="s">
        <v>44</v>
      </c>
      <c r="E57" s="434" t="s">
        <v>101</v>
      </c>
      <c r="F57" s="859">
        <f>(Benin!M56+'Burkina Faso'!M56+Ghana!M56+Guinea!M56+Senegal!M56+Mali!M56+Cotedivoire!M56+Liberia!M56+Togo!M56+Nigeria!M56+Niger!M56)/11</f>
        <v>2.3447757448391702</v>
      </c>
      <c r="G57" s="1603"/>
    </row>
    <row r="58" spans="1:7" ht="22.8" customHeight="1" x14ac:dyDescent="0.45">
      <c r="A58" s="1494"/>
      <c r="B58" s="1514"/>
      <c r="C58" s="1557" t="s">
        <v>131</v>
      </c>
      <c r="D58" s="73" t="s">
        <v>45</v>
      </c>
      <c r="E58" s="434" t="s">
        <v>180</v>
      </c>
      <c r="F58" s="859">
        <f>(Benin!M57+'Burkina Faso'!M57+Ghana!M57+Guinea!M57+Senegal!M57+Mali!M57+Cotedivoire!M57+Liberia!M57+Togo!M57+Nigeria!M57+Niger!M57)/11</f>
        <v>0.24929833252044753</v>
      </c>
      <c r="G58" s="1603"/>
    </row>
    <row r="59" spans="1:7" ht="21.4" customHeight="1" thickBot="1" x14ac:dyDescent="0.5">
      <c r="A59" s="1494"/>
      <c r="B59" s="1515"/>
      <c r="C59" s="1558"/>
      <c r="D59" s="56" t="s">
        <v>46</v>
      </c>
      <c r="E59" s="435" t="s">
        <v>95</v>
      </c>
      <c r="F59" s="860">
        <f>(Benin!M58+'Burkina Faso'!M58+Ghana!M58+Guinea!M58+Senegal!M58+Mali!M58+Cotedivoire!M58+Liberia!M58+Togo!M58+Nigeria!M58+Niger!M58)/11</f>
        <v>1.0669812031156205</v>
      </c>
      <c r="G59" s="1604"/>
    </row>
    <row r="60" spans="1:7" ht="23.45" customHeight="1" thickBot="1" x14ac:dyDescent="0.5">
      <c r="B60" s="1544" t="s">
        <v>47</v>
      </c>
      <c r="C60" s="1545"/>
      <c r="D60" s="1546"/>
      <c r="E60" s="550"/>
      <c r="F60" s="862"/>
      <c r="G60" s="857">
        <f>(Benin!P59+'Burkina Faso'!P59+Ghana!P59+Guinea!P59+Senegal!P59+Mali!P59+Cotedivoire!P59+Liberia!P59+Togo!P59+Nigeria!P59+Niger!P59)/11</f>
        <v>0.20371443524390509</v>
      </c>
    </row>
    <row r="61" spans="1:7" ht="22.25" customHeight="1" thickBot="1" x14ac:dyDescent="0.5">
      <c r="B61" s="1490" t="s">
        <v>48</v>
      </c>
      <c r="C61" s="1519"/>
      <c r="D61" s="1520"/>
      <c r="E61" s="42"/>
      <c r="F61" s="863"/>
      <c r="G61" s="857">
        <f>(Benin!P60+'Burkina Faso'!P60+Ghana!P60+Guinea!P60+Senegal!P60+Mali!P60+Cotedivoire!P60+Liberia!P60+Togo!P60+Nigeria!P60+Niger!P60)/11</f>
        <v>0.39657006842609716</v>
      </c>
    </row>
    <row r="62" spans="1:7" ht="39" customHeight="1" x14ac:dyDescent="0.45">
      <c r="A62" s="1494">
        <v>16</v>
      </c>
      <c r="B62" s="1521" t="s">
        <v>49</v>
      </c>
      <c r="C62" s="868" t="s">
        <v>133</v>
      </c>
      <c r="D62" s="868" t="s">
        <v>50</v>
      </c>
      <c r="E62" s="430" t="s">
        <v>181</v>
      </c>
      <c r="F62" s="858">
        <f>(Benin!M61+'Burkina Faso'!M61+Ghana!M61+Guinea!M61+Senegal!M61+Mali!M61+Cotedivoire!M61+Liberia!M61+Togo!M61+Nigeria!M61+Niger!M61)/11</f>
        <v>0.20072485653881003</v>
      </c>
      <c r="G62" s="1602">
        <f>(Benin!P61+'Burkina Faso'!P61+Ghana!P61+Guinea!P61+Senegal!P61+Mali!P61+Cotedivoire!P61+Liberia!P61+Togo!P61+Nigeria!P61+Niger!P61)/11</f>
        <v>0.39657006842609716</v>
      </c>
    </row>
    <row r="63" spans="1:7" ht="58.25" customHeight="1" x14ac:dyDescent="0.45">
      <c r="A63" s="1494"/>
      <c r="B63" s="1522"/>
      <c r="C63" s="866" t="s">
        <v>134</v>
      </c>
      <c r="D63" s="104" t="s">
        <v>276</v>
      </c>
      <c r="E63" s="431" t="s">
        <v>182</v>
      </c>
      <c r="F63" s="859">
        <f>(Benin!M62+'Burkina Faso'!M62+Ghana!M62+Guinea!M62+Senegal!M62+Mali!M62+Cotedivoire!M62+Liberia!M62+Togo!M62+Nigeria!M62+Niger!M62)/11</f>
        <v>0.42081138443989413</v>
      </c>
      <c r="G63" s="1603"/>
    </row>
    <row r="64" spans="1:7" ht="26.45" customHeight="1" x14ac:dyDescent="0.45">
      <c r="A64" s="1494"/>
      <c r="B64" s="1522"/>
      <c r="C64" s="866" t="s">
        <v>135</v>
      </c>
      <c r="D64" s="866" t="s">
        <v>51</v>
      </c>
      <c r="E64" s="431" t="s">
        <v>95</v>
      </c>
      <c r="F64" s="859">
        <f>(Benin!M63+'Burkina Faso'!M63+Ghana!M63+Guinea!M63+Senegal!M63+Mali!M63+Cotedivoire!M63+Liberia!M63+Togo!M63+Nigeria!M63+Niger!M63)/11</f>
        <v>0.48627859012231056</v>
      </c>
      <c r="G64" s="1603"/>
    </row>
    <row r="65" spans="1:9" ht="24" customHeight="1" x14ac:dyDescent="0.45">
      <c r="A65" s="1494"/>
      <c r="B65" s="1522"/>
      <c r="C65" s="1527" t="s">
        <v>136</v>
      </c>
      <c r="D65" s="74" t="s">
        <v>52</v>
      </c>
      <c r="E65" s="431" t="s">
        <v>95</v>
      </c>
      <c r="F65" s="859">
        <f>(Benin!M64+'Burkina Faso'!M64+Ghana!M64+Guinea!M64+Senegal!M64+Mali!M64+Cotedivoire!M64+Liberia!M64+Togo!M64+Nigeria!M64+Niger!M64)/11</f>
        <v>1.0606060606060608</v>
      </c>
      <c r="G65" s="1603"/>
    </row>
    <row r="66" spans="1:9" ht="22.5" customHeight="1" x14ac:dyDescent="0.45">
      <c r="A66" s="1494"/>
      <c r="B66" s="1522"/>
      <c r="C66" s="1527"/>
      <c r="D66" s="74" t="s">
        <v>53</v>
      </c>
      <c r="E66" s="431" t="s">
        <v>95</v>
      </c>
      <c r="F66" s="859">
        <f>(Benin!M65+'Burkina Faso'!M65+Ghana!M65+Guinea!M65+Senegal!M65+Mali!M65+Cotedivoire!M65+Liberia!M65+Togo!M65+Nigeria!M65+Niger!M65)/11</f>
        <v>1.0303030303030303</v>
      </c>
      <c r="G66" s="1603"/>
    </row>
    <row r="67" spans="1:9" ht="27.6" customHeight="1" thickBot="1" x14ac:dyDescent="0.5">
      <c r="A67" s="1494"/>
      <c r="B67" s="1562"/>
      <c r="C67" s="1541"/>
      <c r="D67" s="75" t="s">
        <v>54</v>
      </c>
      <c r="E67" s="436" t="s">
        <v>95</v>
      </c>
      <c r="F67" s="860">
        <f>(Benin!M66+'Burkina Faso'!M66+Ghana!M66+Guinea!M66+Senegal!M66+Mali!M66+Cotedivoire!M66+Liberia!M66+Togo!M66+Nigeria!M66+Niger!M66)/11</f>
        <v>0.18181818181818182</v>
      </c>
      <c r="G67" s="1604"/>
    </row>
    <row r="68" spans="1:9" ht="27" customHeight="1" thickBot="1" x14ac:dyDescent="0.5">
      <c r="B68" s="1547" t="s">
        <v>55</v>
      </c>
      <c r="C68" s="1491"/>
      <c r="D68" s="1548"/>
      <c r="E68" s="55"/>
      <c r="F68" s="862"/>
      <c r="G68" s="857">
        <f>(Benin!P67+'Burkina Faso'!P67+Ghana!P67+Guinea!P67+Senegal!P67+Mali!P67+Cotedivoire!P67+Liberia!P67+Togo!P67+Nigeria!P67+Niger!P67)/11</f>
        <v>1.0858802061713031E-2</v>
      </c>
    </row>
    <row r="69" spans="1:9" ht="70.150000000000006" thickBot="1" x14ac:dyDescent="0.5">
      <c r="A69" s="22">
        <v>17</v>
      </c>
      <c r="B69" s="76" t="s">
        <v>56</v>
      </c>
      <c r="C69" s="76" t="s">
        <v>137</v>
      </c>
      <c r="D69" s="76" t="s">
        <v>57</v>
      </c>
      <c r="E69" s="94" t="s">
        <v>132</v>
      </c>
      <c r="F69" s="857">
        <f>(Benin!M68+'Burkina Faso'!M68+Ghana!M68+Guinea!M68+Senegal!M68+Mali!M68+Cotedivoire!M68+Liberia!M68+Togo!M68+Nigeria!M68+Niger!M68)/11</f>
        <v>-3.3457433928324228E-3</v>
      </c>
      <c r="G69" s="857">
        <f>(Benin!P68+'Burkina Faso'!P68+Ghana!P68+Guinea!P68+Senegal!P68+Mali!P68+Cotedivoire!P68+Liberia!P68+Togo!P68+Nigeria!P68+Niger!P68)/11</f>
        <v>1.0858802061713031E-2</v>
      </c>
    </row>
    <row r="70" spans="1:9" ht="22.25" customHeight="1" thickBot="1" x14ac:dyDescent="0.5">
      <c r="B70" s="1563" t="s">
        <v>58</v>
      </c>
      <c r="C70" s="1564"/>
      <c r="D70" s="1565"/>
      <c r="E70" s="49"/>
      <c r="F70" s="858"/>
      <c r="G70" s="857">
        <f>(Benin!P69+'Burkina Faso'!P69+Ghana!P69+Guinea!P69+Senegal!P69+Mali!P69+Cotedivoire!P69+Liberia!P69+Togo!P69+Nigeria!P69+Niger!P69)/11</f>
        <v>0.54545454545454553</v>
      </c>
    </row>
    <row r="71" spans="1:9" ht="20.45" customHeight="1" thickBot="1" x14ac:dyDescent="0.5">
      <c r="B71" s="1490" t="s">
        <v>59</v>
      </c>
      <c r="C71" s="1519"/>
      <c r="D71" s="1520"/>
      <c r="E71" s="43"/>
      <c r="F71" s="858"/>
      <c r="G71" s="857">
        <f>(Benin!P70+'Burkina Faso'!P70+Ghana!P70+Guinea!P70+Senegal!P70+Mali!P70+Cotedivoire!P70+Liberia!P70+Togo!P70+Nigeria!P70+Niger!P70)/11</f>
        <v>0.27272727272727271</v>
      </c>
    </row>
    <row r="72" spans="1:9" ht="52.25" customHeight="1" thickBot="1" x14ac:dyDescent="0.5">
      <c r="A72" s="22">
        <v>18</v>
      </c>
      <c r="B72" s="78" t="s">
        <v>60</v>
      </c>
      <c r="C72" s="79" t="s">
        <v>138</v>
      </c>
      <c r="D72" s="182" t="s">
        <v>61</v>
      </c>
      <c r="E72" s="1475" t="s">
        <v>183</v>
      </c>
      <c r="F72" s="857">
        <f>(Benin!M71+'Burkina Faso'!M71+Ghana!M71+Guinea!M71+Senegal!M71+Mali!M71+Cotedivoire!M71+Liberia!M71+Togo!M71+Nigeria!M71+Niger!M71)/11</f>
        <v>-15.712121212121213</v>
      </c>
      <c r="G72" s="857">
        <f>(Benin!P71+'Burkina Faso'!P71+Ghana!P71+Guinea!P71+Senegal!P71+Mali!P71+Cotedivoire!P71+Liberia!P71+Togo!P71+Nigeria!P71+Niger!P71)/11</f>
        <v>0.27272727272727271</v>
      </c>
    </row>
    <row r="73" spans="1:9" ht="20.45" customHeight="1" thickBot="1" x14ac:dyDescent="0.5">
      <c r="B73" s="1537" t="s">
        <v>277</v>
      </c>
      <c r="C73" s="1538"/>
      <c r="D73" s="1539"/>
      <c r="E73" s="45"/>
      <c r="F73" s="858"/>
      <c r="G73" s="857">
        <f>(Benin!P72+'Burkina Faso'!P72+Ghana!P72+Guinea!P72+Senegal!P72+Mali!P72+Cotedivoire!P72+Liberia!P72+Togo!P72+Nigeria!P72+Niger!P72)/11</f>
        <v>0.54545454545454541</v>
      </c>
    </row>
    <row r="74" spans="1:9" ht="45" customHeight="1" thickBot="1" x14ac:dyDescent="0.5">
      <c r="A74" s="22">
        <v>19</v>
      </c>
      <c r="B74" s="80" t="s">
        <v>62</v>
      </c>
      <c r="C74" s="81" t="s">
        <v>139</v>
      </c>
      <c r="D74" s="183" t="s">
        <v>63</v>
      </c>
      <c r="E74" s="438" t="s">
        <v>95</v>
      </c>
      <c r="F74" s="858">
        <f>(Benin!M73+'Burkina Faso'!M73+Ghana!M73+Guinea!M73+Senegal!M73+Mali!M73+Cotedivoire!M73+Liberia!M73+Togo!M73+Nigeria!M73+Niger!M73)/11</f>
        <v>0.48018648018648019</v>
      </c>
      <c r="G74" s="857">
        <f>(Benin!P73+'Burkina Faso'!P73+Ghana!P73+Guinea!P73+Senegal!P73+Mali!P73+Cotedivoire!P73+Liberia!P73+Togo!P73+Nigeria!P73+Niger!P73)/11</f>
        <v>0.54545454545454541</v>
      </c>
    </row>
    <row r="75" spans="1:9" ht="30.6" customHeight="1" thickBot="1" x14ac:dyDescent="0.5">
      <c r="B75" s="1490" t="s">
        <v>64</v>
      </c>
      <c r="C75" s="1519"/>
      <c r="D75" s="1520"/>
      <c r="E75" s="43"/>
      <c r="F75" s="858"/>
      <c r="G75" s="857">
        <f>(Benin!P74+'Burkina Faso'!P74+Ghana!P74+Guinea!P74+Senegal!P74+Mali!P74+Cotedivoire!P74+Liberia!P74+Togo!P74+Nigeria!P74+Niger!P74)/11</f>
        <v>0.81818181818181823</v>
      </c>
      <c r="I75" s="610"/>
    </row>
    <row r="76" spans="1:9" ht="29.45" customHeight="1" thickBot="1" x14ac:dyDescent="0.5">
      <c r="A76" s="22">
        <v>20</v>
      </c>
      <c r="B76" s="80" t="s">
        <v>65</v>
      </c>
      <c r="C76" s="79" t="s">
        <v>140</v>
      </c>
      <c r="D76" s="81" t="s">
        <v>66</v>
      </c>
      <c r="E76" s="439" t="s">
        <v>95</v>
      </c>
      <c r="F76" s="858">
        <f>(Benin!M75+'Burkina Faso'!M75+Ghana!M75+Guinea!M75+Senegal!M75+Mali!M75+Cotedivoire!M75+Liberia!M75+Togo!M75+Nigeria!M75+Niger!M75)/11</f>
        <v>0.81818181818181823</v>
      </c>
      <c r="G76" s="857">
        <f>(Benin!P75+'Burkina Faso'!P75+Ghana!P75+Guinea!P75+Senegal!P75+Mali!P75+Cotedivoire!P75+Liberia!P75+Togo!P75+Nigeria!P75+Niger!P75)/11</f>
        <v>0.81818181818181823</v>
      </c>
      <c r="I76" s="610"/>
    </row>
    <row r="77" spans="1:9" ht="20.45" customHeight="1" thickBot="1" x14ac:dyDescent="0.5">
      <c r="B77" s="1559" t="s">
        <v>67</v>
      </c>
      <c r="C77" s="1560"/>
      <c r="D77" s="1561"/>
      <c r="E77" s="50"/>
      <c r="F77" s="858"/>
      <c r="G77" s="857">
        <f>(Benin!P76+'Burkina Faso'!P76+Ghana!P76+Guinea!P76+Senegal!P76+Mali!P76+Cotedivoire!P76+Liberia!P76+Togo!P76+Nigeria!P76+Niger!P76)/11</f>
        <v>8.1168831168831168E-2</v>
      </c>
    </row>
    <row r="78" spans="1:9" ht="20.45" customHeight="1" thickBot="1" x14ac:dyDescent="0.5">
      <c r="B78" s="1490" t="s">
        <v>68</v>
      </c>
      <c r="C78" s="1519"/>
      <c r="D78" s="1520"/>
      <c r="E78" s="43"/>
      <c r="F78" s="863"/>
      <c r="G78" s="857">
        <f>(Benin!P77+'Burkina Faso'!P77+Ghana!P77+Guinea!P77+Senegal!P77+Mali!P77+Cotedivoire!P77+Liberia!P77+Togo!P77+Nigeria!P77+Niger!P77)/11</f>
        <v>8.1168831168831168E-2</v>
      </c>
    </row>
    <row r="79" spans="1:9" ht="35.25" thickBot="1" x14ac:dyDescent="0.5">
      <c r="A79" s="22">
        <v>21</v>
      </c>
      <c r="B79" s="80" t="s">
        <v>69</v>
      </c>
      <c r="C79" s="83" t="s">
        <v>141</v>
      </c>
      <c r="D79" s="83" t="s">
        <v>70</v>
      </c>
      <c r="E79" s="440" t="s">
        <v>95</v>
      </c>
      <c r="F79" s="857">
        <f>(Benin!M78+'Burkina Faso'!M78+Ghana!M78+Guinea!M78+Senegal!M78+Mali!M78+Cotedivoire!M78+Liberia!M78+Togo!M78+Nigeria!M78+Niger!M78)/11</f>
        <v>8.1168831168831168E-2</v>
      </c>
      <c r="G79" s="857">
        <f>(Benin!P78+'Burkina Faso'!P78+Ghana!P78+Guinea!P78+Senegal!P78+Mali!P78+Cotedivoire!P78+Liberia!P78+Togo!P78+Nigeria!P78+Niger!P78)/11</f>
        <v>8.1168831168831168E-2</v>
      </c>
    </row>
    <row r="80" spans="1:9" ht="21.6" customHeight="1" thickBot="1" x14ac:dyDescent="0.5">
      <c r="B80" s="1570" t="s">
        <v>71</v>
      </c>
      <c r="C80" s="1571"/>
      <c r="D80" s="1572"/>
      <c r="E80" s="50"/>
      <c r="F80" s="864"/>
      <c r="G80" s="857">
        <f>(Benin!P79+'Burkina Faso'!P79+Ghana!P79+Guinea!P79+Senegal!P79+Mali!P79+Cotedivoire!P79+Liberia!P79+Togo!P79+Nigeria!P79+Niger!P79)/11</f>
        <v>0.38657102773099444</v>
      </c>
    </row>
    <row r="81" spans="1:9" ht="20.45" customHeight="1" thickBot="1" x14ac:dyDescent="0.5">
      <c r="B81" s="1547" t="s">
        <v>72</v>
      </c>
      <c r="C81" s="1491"/>
      <c r="D81" s="1548"/>
      <c r="E81" s="441"/>
      <c r="F81" s="861"/>
      <c r="G81" s="857">
        <f>(Benin!P80+'Burkina Faso'!P80+Ghana!P80+Guinea!P80+Senegal!P80+Mali!P80+Cotedivoire!P80+Liberia!P80+Togo!P80+Nigeria!P80+Niger!P80)/11</f>
        <v>0.33534166206792926</v>
      </c>
      <c r="I81" s="610"/>
    </row>
    <row r="82" spans="1:9" ht="58.15" x14ac:dyDescent="0.45">
      <c r="A82" s="547"/>
      <c r="B82" s="1573" t="s">
        <v>73</v>
      </c>
      <c r="C82" s="548" t="s">
        <v>267</v>
      </c>
      <c r="D82" s="71" t="s">
        <v>278</v>
      </c>
      <c r="E82" s="1476" t="s">
        <v>279</v>
      </c>
      <c r="F82" s="858">
        <f>(Benin!M81+'Burkina Faso'!M81+Ghana!M81+Guinea!M81+Senegal!M81+Mali!M81+Cotedivoire!M81+Liberia!M81+Togo!M81+Nigeria!M81+Niger!M81)/11</f>
        <v>0.10545454545454545</v>
      </c>
      <c r="G82" s="1595">
        <f>(Benin!P81+'Burkina Faso'!P81+Ghana!P81+Guinea!P81+Senegal!P81+Mali!P81+Cotedivoire!P81+Liberia!P81+Togo!P81+Nigeria!P81+Niger!P81)/11</f>
        <v>0.32641891089999708</v>
      </c>
      <c r="I82" s="610"/>
    </row>
    <row r="83" spans="1:9" ht="39.6" customHeight="1" thickBot="1" x14ac:dyDescent="0.5">
      <c r="A83" s="547"/>
      <c r="B83" s="1574"/>
      <c r="C83" s="549" t="s">
        <v>268</v>
      </c>
      <c r="D83" s="105" t="s">
        <v>74</v>
      </c>
      <c r="E83" s="1477" t="s">
        <v>282</v>
      </c>
      <c r="F83" s="1478">
        <f>(Benin!M82+'Burkina Faso'!M82+Ghana!M82+Guinea!M82+Senegal!M82+Mali!M82+Cotedivoire!M82+Liberia!M82+Togo!M82+Nigeria!M82+Niger!M82)/11</f>
        <v>0.5473832763454487</v>
      </c>
      <c r="G83" s="1596"/>
      <c r="I83" s="610"/>
    </row>
    <row r="84" spans="1:9" ht="60" customHeight="1" x14ac:dyDescent="0.45">
      <c r="A84" s="547"/>
      <c r="B84" s="1589" t="s">
        <v>142</v>
      </c>
      <c r="C84" s="459" t="s">
        <v>145</v>
      </c>
      <c r="D84" s="548" t="s">
        <v>143</v>
      </c>
      <c r="E84" s="1476" t="s">
        <v>184</v>
      </c>
      <c r="F84" s="858">
        <f>(Benin!M83+'Burkina Faso'!M83+Ghana!M83+Guinea!M83+Senegal!M83+Mali!M83+Cotedivoire!M83+Liberia!M83+Togo!M83+Nigeria!M83+Niger!M83)/11</f>
        <v>0.80398813671010383</v>
      </c>
      <c r="G84" s="1597">
        <f>(Benin!P83+'Burkina Faso'!P83+Ghana!P83+Guinea!P83+Senegal!P83+Mali!P83+Cotedivoire!P83+Liberia!P83+Togo!P83+Nigeria!P83+Niger!P83)/11</f>
        <v>0.34426441323586149</v>
      </c>
    </row>
    <row r="85" spans="1:9" ht="45" customHeight="1" x14ac:dyDescent="0.45">
      <c r="A85" s="547"/>
      <c r="B85" s="1590"/>
      <c r="C85" s="84" t="s">
        <v>146</v>
      </c>
      <c r="D85" s="104" t="s">
        <v>283</v>
      </c>
      <c r="E85" s="1479" t="s">
        <v>185</v>
      </c>
      <c r="F85" s="859">
        <f>(Benin!M84+'Burkina Faso'!M84+Ghana!M84+Guinea!M84+Senegal!M84+Mali!M84+Cotedivoire!M84+Liberia!M84+Togo!M84+Nigeria!M84+Niger!M84)/11</f>
        <v>0.17814995726403202</v>
      </c>
      <c r="G85" s="1598"/>
    </row>
    <row r="86" spans="1:9" ht="38.450000000000003" customHeight="1" thickBot="1" x14ac:dyDescent="0.5">
      <c r="A86" s="547"/>
      <c r="B86" s="1591"/>
      <c r="C86" s="85" t="s">
        <v>147</v>
      </c>
      <c r="D86" s="105" t="s">
        <v>144</v>
      </c>
      <c r="E86" s="1477" t="s">
        <v>284</v>
      </c>
      <c r="F86" s="860">
        <f>(Benin!M85+'Burkina Faso'!M85+Ghana!M85+Guinea!M85+Senegal!M85+Mali!M85+Cotedivoire!M85+Liberia!M85+Togo!M85+Nigeria!M85+Niger!M85)/11</f>
        <v>0.17965582766220722</v>
      </c>
      <c r="G86" s="1599"/>
    </row>
    <row r="87" spans="1:9" ht="20.45" customHeight="1" thickBot="1" x14ac:dyDescent="0.5">
      <c r="B87" s="1490" t="s">
        <v>75</v>
      </c>
      <c r="C87" s="1519"/>
      <c r="D87" s="1520"/>
      <c r="E87" s="44"/>
      <c r="F87" s="861"/>
      <c r="G87" s="857">
        <f>(Benin!P86+'Burkina Faso'!P86+Ghana!P86+Guinea!P86+Senegal!P86+Mali!P86+Cotedivoire!P86+Liberia!P86+Togo!P86+Nigeria!P86+Niger!P86)/11</f>
        <v>0.48902975905712476</v>
      </c>
    </row>
    <row r="88" spans="1:9" ht="27.6" customHeight="1" x14ac:dyDescent="0.45">
      <c r="A88" s="1494">
        <v>24</v>
      </c>
      <c r="B88" s="1566" t="s">
        <v>76</v>
      </c>
      <c r="C88" s="90" t="s">
        <v>159</v>
      </c>
      <c r="D88" s="59" t="s">
        <v>285</v>
      </c>
      <c r="E88" s="460" t="s">
        <v>186</v>
      </c>
      <c r="F88" s="858">
        <f>(Benin!M87+'Burkina Faso'!M87+Ghana!M87+Guinea!M87+Senegal!M87+Mali!M87+Cotedivoire!M87+Liberia!M87+Togo!M87+Nigeria!M87+Niger!M87)/11</f>
        <v>-0.86523769118085025</v>
      </c>
      <c r="G88" s="1597">
        <f>(Benin!P87+'Burkina Faso'!P87+Ghana!P87+Guinea!P87+Senegal!P87+Mali!P87+Cotedivoire!P87+Liberia!P87+Togo!P87+Nigeria!P87+Niger!P87)/11</f>
        <v>0.48902975905712476</v>
      </c>
    </row>
    <row r="89" spans="1:9" ht="25.8" customHeight="1" x14ac:dyDescent="0.45">
      <c r="A89" s="1494"/>
      <c r="B89" s="1567"/>
      <c r="C89" s="1569" t="s">
        <v>160</v>
      </c>
      <c r="D89" s="61" t="s">
        <v>77</v>
      </c>
      <c r="E89" s="447" t="s">
        <v>187</v>
      </c>
      <c r="F89" s="859">
        <f>(Benin!M88+'Burkina Faso'!M88+Ghana!M88+Guinea!M88+Senegal!M88+Mali!M88+Cotedivoire!M88+Liberia!M88+Togo!M88+Nigeria!M88+Niger!M88)/11</f>
        <v>0.14701703613287662</v>
      </c>
      <c r="G89" s="1600"/>
    </row>
    <row r="90" spans="1:9" ht="25.25" customHeight="1" x14ac:dyDescent="0.45">
      <c r="A90" s="1494"/>
      <c r="B90" s="1567"/>
      <c r="C90" s="1569"/>
      <c r="D90" s="61" t="s">
        <v>78</v>
      </c>
      <c r="E90" s="447" t="s">
        <v>188</v>
      </c>
      <c r="F90" s="859">
        <f>(Benin!M89+'Burkina Faso'!M89+Ghana!M89+Guinea!M89+Senegal!M89+Mali!M89+Cotedivoire!M89+Liberia!M89+Togo!M89+Nigeria!M89+Niger!M89)/11</f>
        <v>0.10066179031696271</v>
      </c>
      <c r="G90" s="1600"/>
    </row>
    <row r="91" spans="1:9" ht="26.45" customHeight="1" x14ac:dyDescent="0.45">
      <c r="A91" s="1494"/>
      <c r="B91" s="1567"/>
      <c r="C91" s="1569"/>
      <c r="D91" s="61" t="s">
        <v>79</v>
      </c>
      <c r="E91" s="448" t="s">
        <v>189</v>
      </c>
      <c r="F91" s="859">
        <f>(Benin!M90+'Burkina Faso'!M90+Ghana!M90+Guinea!M90+Senegal!M90+Mali!M90+Cotedivoire!M90+Liberia!M90+Togo!M90+Nigeria!M90+Niger!M90)/11</f>
        <v>6.0660562459123608E-2</v>
      </c>
      <c r="G91" s="1600"/>
    </row>
    <row r="92" spans="1:9" ht="40.799999999999997" customHeight="1" thickBot="1" x14ac:dyDescent="0.5">
      <c r="A92" s="1494"/>
      <c r="B92" s="1568"/>
      <c r="C92" s="86" t="s">
        <v>161</v>
      </c>
      <c r="D92" s="87" t="s">
        <v>80</v>
      </c>
      <c r="E92" s="449" t="s">
        <v>95</v>
      </c>
      <c r="F92" s="860">
        <f>(Benin!M91+'Burkina Faso'!M91+Ghana!M91+Guinea!M91+Senegal!M91+Mali!M91+Cotedivoire!M91+Liberia!M91+Togo!M91+Nigeria!M91+Niger!M91)/11</f>
        <v>0.79816017316017318</v>
      </c>
      <c r="G92" s="1601"/>
    </row>
    <row r="93" spans="1:9" ht="26.65" customHeight="1" thickBot="1" x14ac:dyDescent="0.5">
      <c r="B93" s="1586" t="s">
        <v>81</v>
      </c>
      <c r="C93" s="1587"/>
      <c r="D93" s="1588"/>
      <c r="E93" s="47"/>
      <c r="F93" s="862"/>
      <c r="G93" s="857">
        <f>(Benin!P92+'Burkina Faso'!P92+Ghana!P92+Guinea!P92+Senegal!P92+Mali!P92+Cotedivoire!P92+Liberia!P92+Togo!P92+Nigeria!P92+Niger!P92)/11</f>
        <v>0.24584491810615308</v>
      </c>
    </row>
    <row r="94" spans="1:9" ht="20.45" customHeight="1" thickBot="1" x14ac:dyDescent="0.5">
      <c r="B94" s="1547" t="s">
        <v>82</v>
      </c>
      <c r="C94" s="1491"/>
      <c r="D94" s="1548"/>
      <c r="E94" s="51"/>
      <c r="F94" s="863"/>
      <c r="G94" s="857">
        <f>(Benin!P93+'Burkina Faso'!P93+Ghana!P93+Guinea!P93+Senegal!P93+Mali!P93+Cotedivoire!P93+Liberia!P93+Togo!P93+Nigeria!P93+Niger!P93)/11</f>
        <v>0.4277879808182839</v>
      </c>
    </row>
    <row r="95" spans="1:9" ht="34.799999999999997" customHeight="1" x14ac:dyDescent="0.45">
      <c r="A95" s="1494">
        <v>25</v>
      </c>
      <c r="B95" s="1521" t="s">
        <v>83</v>
      </c>
      <c r="C95" s="1540" t="s">
        <v>214</v>
      </c>
      <c r="D95" s="868" t="s">
        <v>269</v>
      </c>
      <c r="E95" s="450" t="s">
        <v>190</v>
      </c>
      <c r="F95" s="858">
        <f>(Benin!M94+'Burkina Faso'!M94+Ghana!M94+Guinea!M94+Senegal!M94+Mali!M94+Cotedivoire!M94+Liberia!M94+Togo!M94+Nigeria!M94+Niger!M94)/11</f>
        <v>0.64393939393939403</v>
      </c>
      <c r="G95" s="1597">
        <f>(Benin!P94+'Burkina Faso'!P94+Ghana!P94+Guinea!P94+Senegal!P94+Mali!P94+Cotedivoire!P94+Liberia!P94+Togo!P94+Nigeria!P94+Niger!P94)/11</f>
        <v>0.4277879808182839</v>
      </c>
    </row>
    <row r="96" spans="1:9" ht="39.6" customHeight="1" x14ac:dyDescent="0.45">
      <c r="A96" s="1494"/>
      <c r="B96" s="1522"/>
      <c r="C96" s="1527"/>
      <c r="D96" s="104" t="s">
        <v>270</v>
      </c>
      <c r="E96" s="451" t="s">
        <v>191</v>
      </c>
      <c r="F96" s="859">
        <f>(Benin!M95+'Burkina Faso'!M95+Ghana!M95+Guinea!M95+Senegal!M95+Mali!M95+Cotedivoire!M95+Liberia!M95+Togo!M95+Nigeria!M95+Niger!M95)/11</f>
        <v>9.065560912151821E-2</v>
      </c>
      <c r="G96" s="1598"/>
    </row>
    <row r="97" spans="1:7" ht="41.45" customHeight="1" thickBot="1" x14ac:dyDescent="0.5">
      <c r="A97" s="1494"/>
      <c r="B97" s="1562"/>
      <c r="C97" s="1541"/>
      <c r="D97" s="869" t="s">
        <v>84</v>
      </c>
      <c r="E97" s="452" t="s">
        <v>95</v>
      </c>
      <c r="F97" s="860">
        <f>(Benin!M96+'Burkina Faso'!M96+Ghana!M96+Guinea!M96+Senegal!M96+Mali!M96+Cotedivoire!M96+Liberia!M96+Togo!M96+Nigeria!M96+Niger!M96)/11</f>
        <v>0.60606060606060608</v>
      </c>
      <c r="G97" s="1599"/>
    </row>
    <row r="98" spans="1:7" ht="18" customHeight="1" thickBot="1" x14ac:dyDescent="0.5">
      <c r="B98" s="1579" t="s">
        <v>85</v>
      </c>
      <c r="C98" s="1580"/>
      <c r="D98" s="1581"/>
      <c r="E98" s="228"/>
      <c r="F98" s="862"/>
      <c r="G98" s="857">
        <f>(Benin!P97+'Burkina Faso'!P97+Ghana!P97+Guinea!P97+Senegal!P97+Mali!P97+Cotedivoire!P97+Liberia!P97+Togo!P97+Nigeria!P97+Niger!P97)/11</f>
        <v>0.18519723053544282</v>
      </c>
    </row>
    <row r="99" spans="1:7" ht="29.45" customHeight="1" thickBot="1" x14ac:dyDescent="0.5">
      <c r="A99" s="547">
        <v>26</v>
      </c>
      <c r="B99" s="88" t="s">
        <v>86</v>
      </c>
      <c r="C99" s="88" t="s">
        <v>215</v>
      </c>
      <c r="D99" s="89" t="s">
        <v>291</v>
      </c>
      <c r="E99" s="453" t="s">
        <v>95</v>
      </c>
      <c r="F99" s="857">
        <f>(Benin!M98+'Burkina Faso'!M98+Ghana!M98+Guinea!M98+Senegal!M98+Mali!M98+Cotedivoire!M98+Liberia!M98+Togo!M98+Nigeria!M98+Niger!M98)/11</f>
        <v>0.95666666666666667</v>
      </c>
      <c r="G99" s="857">
        <f>(Benin!P98+'Burkina Faso'!P98+Ghana!P98+Guinea!P98+Senegal!P98+Mali!P98+Cotedivoire!P98+Liberia!P98+Togo!P98+Nigeria!P98+Niger!P98)/11</f>
        <v>0.18181818181818182</v>
      </c>
    </row>
    <row r="100" spans="1:7" ht="35.25" thickBot="1" x14ac:dyDescent="0.5">
      <c r="A100" s="547">
        <v>27</v>
      </c>
      <c r="B100" s="88" t="s">
        <v>87</v>
      </c>
      <c r="C100" s="88" t="s">
        <v>216</v>
      </c>
      <c r="D100" s="89" t="s">
        <v>271</v>
      </c>
      <c r="E100" s="453" t="s">
        <v>192</v>
      </c>
      <c r="F100" s="857">
        <f>(Benin!M99+'Burkina Faso'!M99+Ghana!M99+Guinea!M99+Senegal!M99+Mali!M99+Cotedivoire!M99+Liberia!M99+Togo!M99+Nigeria!M99+Niger!M99)/11</f>
        <v>-0.12611768307695925</v>
      </c>
      <c r="G100" s="857">
        <f>(Benin!P99+'Burkina Faso'!P99+Ghana!P99+Guinea!P99+Senegal!P99+Mali!P99+Cotedivoire!P99+Liberia!P99+Togo!P99+Nigeria!P99+Niger!P99)/11</f>
        <v>3.5785631000267867E-2</v>
      </c>
    </row>
    <row r="101" spans="1:7" ht="30.75" thickBot="1" x14ac:dyDescent="0.5">
      <c r="A101" s="1494">
        <v>28</v>
      </c>
      <c r="B101" s="1582" t="s">
        <v>88</v>
      </c>
      <c r="C101" s="1582" t="s">
        <v>217</v>
      </c>
      <c r="D101" s="71" t="s">
        <v>89</v>
      </c>
      <c r="E101" s="1480" t="s">
        <v>193</v>
      </c>
      <c r="F101" s="858">
        <f>(Benin!M100+'Burkina Faso'!M100+Ghana!M100+Guinea!M100+Senegal!M100+Mali!M100+Cotedivoire!M100+Liberia!M100+Togo!M100+Nigeria!M100+Niger!M100)/11</f>
        <v>0.82749090909090905</v>
      </c>
      <c r="G101" s="1595">
        <f>(Benin!P100+'Burkina Faso'!P100+Ghana!P100+Guinea!P100+Senegal!P100+Mali!P100+Cotedivoire!P100+Liberia!P100+Togo!P100+Nigeria!P100+Niger!P100)/11</f>
        <v>0.33798787878787878</v>
      </c>
    </row>
    <row r="102" spans="1:7" ht="38.450000000000003" customHeight="1" thickBot="1" x14ac:dyDescent="0.5">
      <c r="A102" s="1494"/>
      <c r="B102" s="1583"/>
      <c r="C102" s="1583"/>
      <c r="D102" s="549" t="s">
        <v>90</v>
      </c>
      <c r="E102" s="1481" t="s">
        <v>95</v>
      </c>
      <c r="F102" s="858">
        <f>(Benin!M101+'Burkina Faso'!M101+Ghana!M101+Guinea!M101+Senegal!M101+Mali!M101+Cotedivoire!M101+Liberia!M101+Togo!M101+Nigeria!M101+Niger!M101)/11</f>
        <v>-0.15151515151515152</v>
      </c>
      <c r="G102" s="1596"/>
    </row>
    <row r="104" spans="1:7" ht="15.75" x14ac:dyDescent="0.5">
      <c r="B104" s="28"/>
    </row>
    <row r="107" spans="1:7" ht="15.75" x14ac:dyDescent="0.5">
      <c r="B107" s="28"/>
    </row>
    <row r="108" spans="1:7" x14ac:dyDescent="0.45">
      <c r="B108" s="29"/>
    </row>
  </sheetData>
  <mergeCells count="85">
    <mergeCell ref="B11:D11"/>
    <mergeCell ref="B2:G2"/>
    <mergeCell ref="C4:D4"/>
    <mergeCell ref="B5:D5"/>
    <mergeCell ref="B8:D8"/>
    <mergeCell ref="B10:D10"/>
    <mergeCell ref="A20:A23"/>
    <mergeCell ref="B20:B23"/>
    <mergeCell ref="G20:G23"/>
    <mergeCell ref="A12:A13"/>
    <mergeCell ref="B12:B13"/>
    <mergeCell ref="G12:G13"/>
    <mergeCell ref="A14:A15"/>
    <mergeCell ref="B14:B15"/>
    <mergeCell ref="G14:G15"/>
    <mergeCell ref="A16:A18"/>
    <mergeCell ref="B16:B18"/>
    <mergeCell ref="C16:C18"/>
    <mergeCell ref="G16:G18"/>
    <mergeCell ref="B19:D19"/>
    <mergeCell ref="B41:D41"/>
    <mergeCell ref="B24:D24"/>
    <mergeCell ref="A25:A28"/>
    <mergeCell ref="B25:B32"/>
    <mergeCell ref="G25:G32"/>
    <mergeCell ref="C26:C28"/>
    <mergeCell ref="C29:C31"/>
    <mergeCell ref="B33:D33"/>
    <mergeCell ref="B38:D38"/>
    <mergeCell ref="A39:A40"/>
    <mergeCell ref="B39:B40"/>
    <mergeCell ref="G39:G40"/>
    <mergeCell ref="A54:A59"/>
    <mergeCell ref="B54:B59"/>
    <mergeCell ref="G49:G50"/>
    <mergeCell ref="B51:D51"/>
    <mergeCell ref="A42:A43"/>
    <mergeCell ref="B42:B43"/>
    <mergeCell ref="G42:G43"/>
    <mergeCell ref="B44:D44"/>
    <mergeCell ref="A45:A46"/>
    <mergeCell ref="B45:B46"/>
    <mergeCell ref="G45:G46"/>
    <mergeCell ref="B47:D47"/>
    <mergeCell ref="B48:D48"/>
    <mergeCell ref="A49:A50"/>
    <mergeCell ref="B49:B50"/>
    <mergeCell ref="B53:D53"/>
    <mergeCell ref="A62:A67"/>
    <mergeCell ref="B62:B67"/>
    <mergeCell ref="G62:G67"/>
    <mergeCell ref="C65:C67"/>
    <mergeCell ref="B68:D68"/>
    <mergeCell ref="B80:D80"/>
    <mergeCell ref="B81:D81"/>
    <mergeCell ref="B82:B83"/>
    <mergeCell ref="G82:G83"/>
    <mergeCell ref="B84:B86"/>
    <mergeCell ref="G84:G86"/>
    <mergeCell ref="G54:G59"/>
    <mergeCell ref="C58:C59"/>
    <mergeCell ref="B78:D78"/>
    <mergeCell ref="B61:D61"/>
    <mergeCell ref="B70:D70"/>
    <mergeCell ref="B71:D71"/>
    <mergeCell ref="B73:D73"/>
    <mergeCell ref="B75:D75"/>
    <mergeCell ref="B77:D77"/>
    <mergeCell ref="B60:D60"/>
    <mergeCell ref="A88:A92"/>
    <mergeCell ref="B88:B92"/>
    <mergeCell ref="G88:G92"/>
    <mergeCell ref="C89:C91"/>
    <mergeCell ref="B87:D87"/>
    <mergeCell ref="B93:D93"/>
    <mergeCell ref="A101:A102"/>
    <mergeCell ref="B101:B102"/>
    <mergeCell ref="C101:C102"/>
    <mergeCell ref="G101:G102"/>
    <mergeCell ref="B94:D94"/>
    <mergeCell ref="A95:A97"/>
    <mergeCell ref="B95:B97"/>
    <mergeCell ref="C95:C97"/>
    <mergeCell ref="G95:G97"/>
    <mergeCell ref="B98:D98"/>
  </mergeCells>
  <conditionalFormatting sqref="G20:G23 G54 G12:G15">
    <cfRule type="colorScale" priority="738">
      <colorScale>
        <cfvo type="num" val="0"/>
        <cfvo type="num" val="0.6"/>
        <cfvo type="num" val="1"/>
        <color rgb="FFFF0000"/>
        <color rgb="FFFFFF00"/>
        <color rgb="FF92FB4B"/>
      </colorScale>
    </cfRule>
  </conditionalFormatting>
  <conditionalFormatting sqref="G16:G18">
    <cfRule type="colorScale" priority="737">
      <colorScale>
        <cfvo type="num" val="0"/>
        <cfvo type="num" val="0.6"/>
        <cfvo type="num" val="1"/>
        <color rgb="FFFF0000"/>
        <color rgb="FFFFFF00"/>
        <color rgb="FF92FB4B"/>
      </colorScale>
    </cfRule>
  </conditionalFormatting>
  <conditionalFormatting sqref="G25:G28">
    <cfRule type="colorScale" priority="736">
      <colorScale>
        <cfvo type="num" val="0"/>
        <cfvo type="num" val="0.6"/>
        <cfvo type="num" val="1"/>
        <color rgb="FFFF0000"/>
        <color rgb="FFFFFF00"/>
        <color rgb="FF92FB4B"/>
      </colorScale>
    </cfRule>
  </conditionalFormatting>
  <conditionalFormatting sqref="G88">
    <cfRule type="colorScale" priority="725">
      <colorScale>
        <cfvo type="num" val="0"/>
        <cfvo type="num" val="0.6"/>
        <cfvo type="num" val="1"/>
        <color rgb="FFFF0000"/>
        <color rgb="FFFFFF00"/>
        <color rgb="FF92FB4B"/>
      </colorScale>
    </cfRule>
  </conditionalFormatting>
  <conditionalFormatting sqref="G4">
    <cfRule type="colorScale" priority="698">
      <colorScale>
        <cfvo type="num" val="0"/>
        <cfvo type="num" val="0.6"/>
        <cfvo type="num" val="1"/>
        <color rgb="FFFF0000"/>
        <color rgb="FFFFFF00"/>
        <color rgb="FF92FB4B"/>
      </colorScale>
    </cfRule>
  </conditionalFormatting>
  <conditionalFormatting sqref="G6">
    <cfRule type="colorScale" priority="690">
      <colorScale>
        <cfvo type="num" val="0"/>
        <cfvo type="num" val="0.6"/>
        <cfvo type="num" val="1"/>
        <color rgb="FFFF0000"/>
        <color rgb="FFFFFF00"/>
        <color rgb="FF92FB4B"/>
      </colorScale>
    </cfRule>
  </conditionalFormatting>
  <conditionalFormatting sqref="F12">
    <cfRule type="colorScale" priority="689">
      <colorScale>
        <cfvo type="num" val="0"/>
        <cfvo type="num" val="0.6"/>
        <cfvo type="num" val="1"/>
        <color rgb="FFFF0000"/>
        <color rgb="FFFFFF00"/>
        <color rgb="FF92FB4B"/>
      </colorScale>
    </cfRule>
  </conditionalFormatting>
  <conditionalFormatting sqref="G10">
    <cfRule type="colorScale" priority="470">
      <colorScale>
        <cfvo type="num" val="0"/>
        <cfvo type="num" val="0.6"/>
        <cfvo type="num" val="1"/>
        <color rgb="FFFF0000"/>
        <color rgb="FFFFFF00"/>
        <color rgb="FF92FB4B"/>
      </colorScale>
    </cfRule>
  </conditionalFormatting>
  <conditionalFormatting sqref="G11">
    <cfRule type="colorScale" priority="265">
      <colorScale>
        <cfvo type="num" val="0"/>
        <cfvo type="num" val="0.6"/>
        <cfvo type="num" val="1"/>
        <color rgb="FFFF0000"/>
        <color rgb="FFFFFF00"/>
        <color rgb="FF92FB4B"/>
      </colorScale>
    </cfRule>
  </conditionalFormatting>
  <conditionalFormatting sqref="G95:G97">
    <cfRule type="colorScale" priority="220">
      <colorScale>
        <cfvo type="num" val="0"/>
        <cfvo type="num" val="0.6"/>
        <cfvo type="num" val="1"/>
        <color rgb="FFFF0000"/>
        <color rgb="FFFFFF00"/>
        <color rgb="FF92FB4B"/>
      </colorScale>
    </cfRule>
  </conditionalFormatting>
  <conditionalFormatting sqref="G19">
    <cfRule type="colorScale" priority="160">
      <colorScale>
        <cfvo type="num" val="0"/>
        <cfvo type="num" val="0.6"/>
        <cfvo type="num" val="1"/>
        <color rgb="FFFF0000"/>
        <color rgb="FFFFFF00"/>
        <color rgb="FF92FB4B"/>
      </colorScale>
    </cfRule>
  </conditionalFormatting>
  <conditionalFormatting sqref="F24 F19 F33 F38 F41 F44 F47:F48 F51 F53 F60:F61 F68 F70:F71 F73 F75 F77:F78 F80:F81 F87 F93:F94 F98">
    <cfRule type="colorScale" priority="113">
      <colorScale>
        <cfvo type="num" val="0"/>
        <cfvo type="num" val="0.6"/>
        <cfvo type="num" val="1"/>
        <color rgb="FFFF0000"/>
        <color rgb="FFFFFF00"/>
        <color rgb="FF92FB4B"/>
      </colorScale>
    </cfRule>
  </conditionalFormatting>
  <conditionalFormatting sqref="G42:G43">
    <cfRule type="colorScale" priority="112">
      <colorScale>
        <cfvo type="num" val="0"/>
        <cfvo type="num" val="0.6"/>
        <cfvo type="num" val="1"/>
        <color rgb="FFFF0000"/>
        <color rgb="FFFFFF00"/>
        <color rgb="FF92FB4B"/>
      </colorScale>
    </cfRule>
  </conditionalFormatting>
  <conditionalFormatting sqref="G45:G46">
    <cfRule type="colorScale" priority="111">
      <colorScale>
        <cfvo type="num" val="0"/>
        <cfvo type="num" val="0.6"/>
        <cfvo type="num" val="1"/>
        <color rgb="FFFF0000"/>
        <color rgb="FFFFFF00"/>
        <color rgb="FF92FB4B"/>
      </colorScale>
    </cfRule>
  </conditionalFormatting>
  <conditionalFormatting sqref="G82:G83">
    <cfRule type="colorScale" priority="109">
      <colorScale>
        <cfvo type="num" val="0"/>
        <cfvo type="num" val="0.6"/>
        <cfvo type="num" val="1"/>
        <color rgb="FFFF0000"/>
        <color rgb="FFFFFF00"/>
        <color rgb="FF92FB4B"/>
      </colorScale>
    </cfRule>
  </conditionalFormatting>
  <conditionalFormatting sqref="G101:G102">
    <cfRule type="colorScale" priority="108">
      <colorScale>
        <cfvo type="num" val="0"/>
        <cfvo type="num" val="0.6"/>
        <cfvo type="num" val="1"/>
        <color rgb="FFFF0000"/>
        <color rgb="FFFFFF00"/>
        <color rgb="FF92FB4B"/>
      </colorScale>
    </cfRule>
  </conditionalFormatting>
  <conditionalFormatting sqref="G24">
    <cfRule type="colorScale" priority="107">
      <colorScale>
        <cfvo type="num" val="0"/>
        <cfvo type="num" val="0.6"/>
        <cfvo type="num" val="1"/>
        <color rgb="FFFF0000"/>
        <color rgb="FFFFFF00"/>
        <color rgb="FF92FB4B"/>
      </colorScale>
    </cfRule>
  </conditionalFormatting>
  <conditionalFormatting sqref="G33">
    <cfRule type="colorScale" priority="106">
      <colorScale>
        <cfvo type="num" val="0"/>
        <cfvo type="num" val="0.6"/>
        <cfvo type="num" val="1"/>
        <color rgb="FFFF0000"/>
        <color rgb="FFFFFF00"/>
        <color rgb="FF92FB4B"/>
      </colorScale>
    </cfRule>
  </conditionalFormatting>
  <conditionalFormatting sqref="G34">
    <cfRule type="colorScale" priority="105">
      <colorScale>
        <cfvo type="num" val="0"/>
        <cfvo type="num" val="0.6"/>
        <cfvo type="num" val="1"/>
        <color rgb="FFFF0000"/>
        <color rgb="FFFFFF00"/>
        <color rgb="FF92FB4B"/>
      </colorScale>
    </cfRule>
  </conditionalFormatting>
  <conditionalFormatting sqref="G35">
    <cfRule type="colorScale" priority="104">
      <colorScale>
        <cfvo type="num" val="0"/>
        <cfvo type="num" val="0.6"/>
        <cfvo type="num" val="1"/>
        <color rgb="FFFF0000"/>
        <color rgb="FFFFFF00"/>
        <color rgb="FF92FB4B"/>
      </colorScale>
    </cfRule>
  </conditionalFormatting>
  <conditionalFormatting sqref="G36">
    <cfRule type="colorScale" priority="103">
      <colorScale>
        <cfvo type="num" val="0"/>
        <cfvo type="num" val="0.6"/>
        <cfvo type="num" val="1"/>
        <color rgb="FFFF0000"/>
        <color rgb="FFFFFF00"/>
        <color rgb="FF92FB4B"/>
      </colorScale>
    </cfRule>
  </conditionalFormatting>
  <conditionalFormatting sqref="G37">
    <cfRule type="colorScale" priority="102">
      <colorScale>
        <cfvo type="num" val="0"/>
        <cfvo type="num" val="0.6"/>
        <cfvo type="num" val="1"/>
        <color rgb="FFFF0000"/>
        <color rgb="FFFFFF00"/>
        <color rgb="FF92FB4B"/>
      </colorScale>
    </cfRule>
  </conditionalFormatting>
  <conditionalFormatting sqref="G38">
    <cfRule type="colorScale" priority="101">
      <colorScale>
        <cfvo type="num" val="0"/>
        <cfvo type="num" val="0.6"/>
        <cfvo type="num" val="1"/>
        <color rgb="FFFF0000"/>
        <color rgb="FFFFFF00"/>
        <color rgb="FF92FB4B"/>
      </colorScale>
    </cfRule>
  </conditionalFormatting>
  <conditionalFormatting sqref="G39:G40">
    <cfRule type="colorScale" priority="100">
      <colorScale>
        <cfvo type="num" val="0"/>
        <cfvo type="num" val="0.6"/>
        <cfvo type="num" val="1"/>
        <color rgb="FFFF0000"/>
        <color rgb="FFFFFF00"/>
        <color rgb="FF92FB4B"/>
      </colorScale>
    </cfRule>
  </conditionalFormatting>
  <conditionalFormatting sqref="G41">
    <cfRule type="colorScale" priority="99">
      <colorScale>
        <cfvo type="num" val="0"/>
        <cfvo type="num" val="0.6"/>
        <cfvo type="num" val="1"/>
        <color rgb="FFFF0000"/>
        <color rgb="FFFFFF00"/>
        <color rgb="FF92FB4B"/>
      </colorScale>
    </cfRule>
  </conditionalFormatting>
  <conditionalFormatting sqref="G44">
    <cfRule type="colorScale" priority="98">
      <colorScale>
        <cfvo type="num" val="0"/>
        <cfvo type="num" val="0.6"/>
        <cfvo type="num" val="1"/>
        <color rgb="FFFF0000"/>
        <color rgb="FFFFFF00"/>
        <color rgb="FF92FB4B"/>
      </colorScale>
    </cfRule>
  </conditionalFormatting>
  <conditionalFormatting sqref="G47">
    <cfRule type="colorScale" priority="97">
      <colorScale>
        <cfvo type="num" val="0"/>
        <cfvo type="num" val="0.6"/>
        <cfvo type="num" val="1"/>
        <color rgb="FFFF0000"/>
        <color rgb="FFFFFF00"/>
        <color rgb="FF92FB4B"/>
      </colorScale>
    </cfRule>
  </conditionalFormatting>
  <conditionalFormatting sqref="G48">
    <cfRule type="colorScale" priority="96">
      <colorScale>
        <cfvo type="num" val="0"/>
        <cfvo type="num" val="0.6"/>
        <cfvo type="num" val="1"/>
        <color rgb="FFFF0000"/>
        <color rgb="FFFFFF00"/>
        <color rgb="FF92FB4B"/>
      </colorScale>
    </cfRule>
  </conditionalFormatting>
  <conditionalFormatting sqref="G49:G50">
    <cfRule type="colorScale" priority="95">
      <colorScale>
        <cfvo type="num" val="0"/>
        <cfvo type="num" val="0.6"/>
        <cfvo type="num" val="1"/>
        <color rgb="FFFF0000"/>
        <color rgb="FFFFFF00"/>
        <color rgb="FF92FB4B"/>
      </colorScale>
    </cfRule>
  </conditionalFormatting>
  <conditionalFormatting sqref="G51">
    <cfRule type="colorScale" priority="94">
      <colorScale>
        <cfvo type="num" val="0"/>
        <cfvo type="num" val="0.6"/>
        <cfvo type="num" val="1"/>
        <color rgb="FFFF0000"/>
        <color rgb="FFFFFF00"/>
        <color rgb="FF92FB4B"/>
      </colorScale>
    </cfRule>
  </conditionalFormatting>
  <conditionalFormatting sqref="G52">
    <cfRule type="colorScale" priority="93">
      <colorScale>
        <cfvo type="num" val="0"/>
        <cfvo type="num" val="0.6"/>
        <cfvo type="num" val="1"/>
        <color rgb="FFFF0000"/>
        <color rgb="FFFFFF00"/>
        <color rgb="FF92FB4B"/>
      </colorScale>
    </cfRule>
  </conditionalFormatting>
  <conditionalFormatting sqref="G53">
    <cfRule type="colorScale" priority="92">
      <colorScale>
        <cfvo type="num" val="0"/>
        <cfvo type="num" val="0.6"/>
        <cfvo type="num" val="1"/>
        <color rgb="FFFF0000"/>
        <color rgb="FFFFFF00"/>
        <color rgb="FF92FB4B"/>
      </colorScale>
    </cfRule>
  </conditionalFormatting>
  <conditionalFormatting sqref="G60">
    <cfRule type="colorScale" priority="91">
      <colorScale>
        <cfvo type="num" val="0"/>
        <cfvo type="num" val="0.6"/>
        <cfvo type="num" val="1"/>
        <color rgb="FFFF0000"/>
        <color rgb="FFFFFF00"/>
        <color rgb="FF92FB4B"/>
      </colorScale>
    </cfRule>
  </conditionalFormatting>
  <conditionalFormatting sqref="G61">
    <cfRule type="colorScale" priority="90">
      <colorScale>
        <cfvo type="num" val="0"/>
        <cfvo type="num" val="0.6"/>
        <cfvo type="num" val="1"/>
        <color rgb="FFFF0000"/>
        <color rgb="FFFFFF00"/>
        <color rgb="FF92FB4B"/>
      </colorScale>
    </cfRule>
  </conditionalFormatting>
  <conditionalFormatting sqref="G62">
    <cfRule type="colorScale" priority="89">
      <colorScale>
        <cfvo type="num" val="0"/>
        <cfvo type="num" val="0.6"/>
        <cfvo type="num" val="1"/>
        <color rgb="FFFF0000"/>
        <color rgb="FFFFFF00"/>
        <color rgb="FF92FB4B"/>
      </colorScale>
    </cfRule>
  </conditionalFormatting>
  <conditionalFormatting sqref="G68">
    <cfRule type="colorScale" priority="88">
      <colorScale>
        <cfvo type="num" val="0"/>
        <cfvo type="num" val="0.6"/>
        <cfvo type="num" val="1"/>
        <color rgb="FFFF0000"/>
        <color rgb="FFFFFF00"/>
        <color rgb="FF92FB4B"/>
      </colorScale>
    </cfRule>
  </conditionalFormatting>
  <conditionalFormatting sqref="G69">
    <cfRule type="colorScale" priority="87">
      <colorScale>
        <cfvo type="num" val="0"/>
        <cfvo type="num" val="0.6"/>
        <cfvo type="num" val="1"/>
        <color rgb="FFFF0000"/>
        <color rgb="FFFFFF00"/>
        <color rgb="FF92FB4B"/>
      </colorScale>
    </cfRule>
  </conditionalFormatting>
  <conditionalFormatting sqref="G70">
    <cfRule type="colorScale" priority="86">
      <colorScale>
        <cfvo type="num" val="0"/>
        <cfvo type="num" val="0.6"/>
        <cfvo type="num" val="1"/>
        <color rgb="FFFF0000"/>
        <color rgb="FFFFFF00"/>
        <color rgb="FF92FB4B"/>
      </colorScale>
    </cfRule>
  </conditionalFormatting>
  <conditionalFormatting sqref="G71">
    <cfRule type="colorScale" priority="85">
      <colorScale>
        <cfvo type="num" val="0"/>
        <cfvo type="num" val="0.6"/>
        <cfvo type="num" val="1"/>
        <color rgb="FFFF0000"/>
        <color rgb="FFFFFF00"/>
        <color rgb="FF92FB4B"/>
      </colorScale>
    </cfRule>
  </conditionalFormatting>
  <conditionalFormatting sqref="G72">
    <cfRule type="colorScale" priority="84">
      <colorScale>
        <cfvo type="num" val="0"/>
        <cfvo type="num" val="0.6"/>
        <cfvo type="num" val="1"/>
        <color rgb="FFFF0000"/>
        <color rgb="FFFFFF00"/>
        <color rgb="FF92FB4B"/>
      </colorScale>
    </cfRule>
  </conditionalFormatting>
  <conditionalFormatting sqref="G73">
    <cfRule type="colorScale" priority="83">
      <colorScale>
        <cfvo type="num" val="0"/>
        <cfvo type="num" val="0.6"/>
        <cfvo type="num" val="1"/>
        <color rgb="FFFF0000"/>
        <color rgb="FFFFFF00"/>
        <color rgb="FF92FB4B"/>
      </colorScale>
    </cfRule>
  </conditionalFormatting>
  <conditionalFormatting sqref="G74">
    <cfRule type="colorScale" priority="82">
      <colorScale>
        <cfvo type="num" val="0"/>
        <cfvo type="num" val="0.6"/>
        <cfvo type="num" val="1"/>
        <color rgb="FFFF0000"/>
        <color rgb="FFFFFF00"/>
        <color rgb="FF92FB4B"/>
      </colorScale>
    </cfRule>
  </conditionalFormatting>
  <conditionalFormatting sqref="G75">
    <cfRule type="colorScale" priority="81">
      <colorScale>
        <cfvo type="num" val="0"/>
        <cfvo type="num" val="0.6"/>
        <cfvo type="num" val="1"/>
        <color rgb="FFFF0000"/>
        <color rgb="FFFFFF00"/>
        <color rgb="FF92FB4B"/>
      </colorScale>
    </cfRule>
  </conditionalFormatting>
  <conditionalFormatting sqref="G76">
    <cfRule type="colorScale" priority="80">
      <colorScale>
        <cfvo type="num" val="0"/>
        <cfvo type="num" val="0.6"/>
        <cfvo type="num" val="1"/>
        <color rgb="FFFF0000"/>
        <color rgb="FFFFFF00"/>
        <color rgb="FF92FB4B"/>
      </colorScale>
    </cfRule>
  </conditionalFormatting>
  <conditionalFormatting sqref="G77">
    <cfRule type="colorScale" priority="79">
      <colorScale>
        <cfvo type="num" val="0"/>
        <cfvo type="num" val="0.6"/>
        <cfvo type="num" val="1"/>
        <color rgb="FFFF0000"/>
        <color rgb="FFFFFF00"/>
        <color rgb="FF92FB4B"/>
      </colorScale>
    </cfRule>
  </conditionalFormatting>
  <conditionalFormatting sqref="G78">
    <cfRule type="colorScale" priority="78">
      <colorScale>
        <cfvo type="num" val="0"/>
        <cfvo type="num" val="0.6"/>
        <cfvo type="num" val="1"/>
        <color rgb="FFFF0000"/>
        <color rgb="FFFFFF00"/>
        <color rgb="FF92FB4B"/>
      </colorScale>
    </cfRule>
  </conditionalFormatting>
  <conditionalFormatting sqref="G79">
    <cfRule type="colorScale" priority="77">
      <colorScale>
        <cfvo type="num" val="0"/>
        <cfvo type="num" val="0.6"/>
        <cfvo type="num" val="1"/>
        <color rgb="FFFF0000"/>
        <color rgb="FFFFFF00"/>
        <color rgb="FF92FB4B"/>
      </colorScale>
    </cfRule>
  </conditionalFormatting>
  <conditionalFormatting sqref="G80">
    <cfRule type="colorScale" priority="76">
      <colorScale>
        <cfvo type="num" val="0"/>
        <cfvo type="num" val="0.6"/>
        <cfvo type="num" val="1"/>
        <color rgb="FFFF0000"/>
        <color rgb="FFFFFF00"/>
        <color rgb="FF92FB4B"/>
      </colorScale>
    </cfRule>
  </conditionalFormatting>
  <conditionalFormatting sqref="G81">
    <cfRule type="colorScale" priority="75">
      <colorScale>
        <cfvo type="num" val="0"/>
        <cfvo type="num" val="0.6"/>
        <cfvo type="num" val="1"/>
        <color rgb="FFFF0000"/>
        <color rgb="FFFFFF00"/>
        <color rgb="FF92FB4B"/>
      </colorScale>
    </cfRule>
  </conditionalFormatting>
  <conditionalFormatting sqref="G87">
    <cfRule type="colorScale" priority="74">
      <colorScale>
        <cfvo type="num" val="0"/>
        <cfvo type="num" val="0.6"/>
        <cfvo type="num" val="1"/>
        <color rgb="FFFF0000"/>
        <color rgb="FFFFFF00"/>
        <color rgb="FF92FB4B"/>
      </colorScale>
    </cfRule>
  </conditionalFormatting>
  <conditionalFormatting sqref="G93">
    <cfRule type="colorScale" priority="73">
      <colorScale>
        <cfvo type="num" val="0"/>
        <cfvo type="num" val="0.6"/>
        <cfvo type="num" val="1"/>
        <color rgb="FFFF0000"/>
        <color rgb="FFFFFF00"/>
        <color rgb="FF92FB4B"/>
      </colorScale>
    </cfRule>
  </conditionalFormatting>
  <conditionalFormatting sqref="G94">
    <cfRule type="colorScale" priority="72">
      <colorScale>
        <cfvo type="num" val="0"/>
        <cfvo type="num" val="0.6"/>
        <cfvo type="num" val="1"/>
        <color rgb="FFFF0000"/>
        <color rgb="FFFFFF00"/>
        <color rgb="FF92FB4B"/>
      </colorScale>
    </cfRule>
  </conditionalFormatting>
  <conditionalFormatting sqref="G98">
    <cfRule type="colorScale" priority="71">
      <colorScale>
        <cfvo type="num" val="0"/>
        <cfvo type="num" val="0.6"/>
        <cfvo type="num" val="1"/>
        <color rgb="FFFF0000"/>
        <color rgb="FFFFFF00"/>
        <color rgb="FF92FB4B"/>
      </colorScale>
    </cfRule>
  </conditionalFormatting>
  <conditionalFormatting sqref="G99">
    <cfRule type="colorScale" priority="68">
      <colorScale>
        <cfvo type="num" val="0"/>
        <cfvo type="num" val="0.6"/>
        <cfvo type="num" val="1"/>
        <color rgb="FFFF0000"/>
        <color rgb="FFFFFF00"/>
        <color rgb="FF92FB4B"/>
      </colorScale>
    </cfRule>
  </conditionalFormatting>
  <conditionalFormatting sqref="G100">
    <cfRule type="colorScale" priority="67">
      <colorScale>
        <cfvo type="num" val="0"/>
        <cfvo type="num" val="0.6"/>
        <cfvo type="num" val="1"/>
        <color rgb="FFFF0000"/>
        <color rgb="FFFFFF00"/>
        <color rgb="FF92FB4B"/>
      </colorScale>
    </cfRule>
  </conditionalFormatting>
  <conditionalFormatting sqref="G84:G86">
    <cfRule type="colorScale" priority="66">
      <colorScale>
        <cfvo type="num" val="0"/>
        <cfvo type="num" val="0.6"/>
        <cfvo type="num" val="1"/>
        <color rgb="FFFF0000"/>
        <color rgb="FFFFFF00"/>
        <color rgb="FF92FB4B"/>
      </colorScale>
    </cfRule>
  </conditionalFormatting>
  <conditionalFormatting sqref="F13">
    <cfRule type="colorScale" priority="65">
      <colorScale>
        <cfvo type="num" val="0"/>
        <cfvo type="num" val="0.6"/>
        <cfvo type="num" val="1"/>
        <color rgb="FFFF0000"/>
        <color rgb="FFFFFF00"/>
        <color rgb="FF92FB4B"/>
      </colorScale>
    </cfRule>
  </conditionalFormatting>
  <conditionalFormatting sqref="F14">
    <cfRule type="colorScale" priority="64">
      <colorScale>
        <cfvo type="num" val="0"/>
        <cfvo type="num" val="0.6"/>
        <cfvo type="num" val="1"/>
        <color rgb="FFFF0000"/>
        <color rgb="FFFFFF00"/>
        <color rgb="FF92FB4B"/>
      </colorScale>
    </cfRule>
  </conditionalFormatting>
  <conditionalFormatting sqref="F15">
    <cfRule type="colorScale" priority="63">
      <colorScale>
        <cfvo type="num" val="0"/>
        <cfvo type="num" val="0.6"/>
        <cfvo type="num" val="1"/>
        <color rgb="FFFF0000"/>
        <color rgb="FFFFFF00"/>
        <color rgb="FF92FB4B"/>
      </colorScale>
    </cfRule>
  </conditionalFormatting>
  <conditionalFormatting sqref="F16">
    <cfRule type="colorScale" priority="62">
      <colorScale>
        <cfvo type="num" val="0"/>
        <cfvo type="num" val="0.6"/>
        <cfvo type="num" val="1"/>
        <color rgb="FFFF0000"/>
        <color rgb="FFFFFF00"/>
        <color rgb="FF92FB4B"/>
      </colorScale>
    </cfRule>
  </conditionalFormatting>
  <conditionalFormatting sqref="F17">
    <cfRule type="colorScale" priority="61">
      <colorScale>
        <cfvo type="num" val="0"/>
        <cfvo type="num" val="0.6"/>
        <cfvo type="num" val="1"/>
        <color rgb="FFFF0000"/>
        <color rgb="FFFFFF00"/>
        <color rgb="FF92FB4B"/>
      </colorScale>
    </cfRule>
  </conditionalFormatting>
  <conditionalFormatting sqref="F18">
    <cfRule type="colorScale" priority="60">
      <colorScale>
        <cfvo type="num" val="0"/>
        <cfvo type="num" val="0.6"/>
        <cfvo type="num" val="1"/>
        <color rgb="FFFF0000"/>
        <color rgb="FFFFFF00"/>
        <color rgb="FF92FB4B"/>
      </colorScale>
    </cfRule>
  </conditionalFormatting>
  <conditionalFormatting sqref="F20">
    <cfRule type="colorScale" priority="59">
      <colorScale>
        <cfvo type="num" val="0"/>
        <cfvo type="num" val="0.6"/>
        <cfvo type="num" val="1"/>
        <color rgb="FFFF0000"/>
        <color rgb="FFFFFF00"/>
        <color rgb="FF92FB4B"/>
      </colorScale>
    </cfRule>
  </conditionalFormatting>
  <conditionalFormatting sqref="F21">
    <cfRule type="colorScale" priority="58">
      <colorScale>
        <cfvo type="num" val="0"/>
        <cfvo type="num" val="0.6"/>
        <cfvo type="num" val="1"/>
        <color rgb="FFFF0000"/>
        <color rgb="FFFFFF00"/>
        <color rgb="FF92FB4B"/>
      </colorScale>
    </cfRule>
  </conditionalFormatting>
  <conditionalFormatting sqref="F22">
    <cfRule type="colorScale" priority="57">
      <colorScale>
        <cfvo type="num" val="0"/>
        <cfvo type="num" val="0.6"/>
        <cfvo type="num" val="1"/>
        <color rgb="FFFF0000"/>
        <color rgb="FFFFFF00"/>
        <color rgb="FF92FB4B"/>
      </colorScale>
    </cfRule>
  </conditionalFormatting>
  <conditionalFormatting sqref="F23">
    <cfRule type="colorScale" priority="56">
      <colorScale>
        <cfvo type="num" val="0"/>
        <cfvo type="num" val="0.6"/>
        <cfvo type="num" val="1"/>
        <color rgb="FFFF0000"/>
        <color rgb="FFFFFF00"/>
        <color rgb="FF92FB4B"/>
      </colorScale>
    </cfRule>
  </conditionalFormatting>
  <conditionalFormatting sqref="F25">
    <cfRule type="colorScale" priority="55">
      <colorScale>
        <cfvo type="num" val="0"/>
        <cfvo type="num" val="0.6"/>
        <cfvo type="num" val="1"/>
        <color rgb="FFFF0000"/>
        <color rgb="FFFFFF00"/>
        <color rgb="FF92FB4B"/>
      </colorScale>
    </cfRule>
  </conditionalFormatting>
  <conditionalFormatting sqref="F26">
    <cfRule type="colorScale" priority="54">
      <colorScale>
        <cfvo type="num" val="0"/>
        <cfvo type="num" val="0.6"/>
        <cfvo type="num" val="1"/>
        <color rgb="FFFF0000"/>
        <color rgb="FFFFFF00"/>
        <color rgb="FF92FB4B"/>
      </colorScale>
    </cfRule>
  </conditionalFormatting>
  <conditionalFormatting sqref="F27">
    <cfRule type="colorScale" priority="53">
      <colorScale>
        <cfvo type="num" val="0"/>
        <cfvo type="num" val="0.6"/>
        <cfvo type="num" val="1"/>
        <color rgb="FFFF0000"/>
        <color rgb="FFFFFF00"/>
        <color rgb="FF92FB4B"/>
      </colorScale>
    </cfRule>
  </conditionalFormatting>
  <conditionalFormatting sqref="F28">
    <cfRule type="colorScale" priority="52">
      <colorScale>
        <cfvo type="num" val="0"/>
        <cfvo type="num" val="0.6"/>
        <cfvo type="num" val="1"/>
        <color rgb="FFFF0000"/>
        <color rgb="FFFFFF00"/>
        <color rgb="FF92FB4B"/>
      </colorScale>
    </cfRule>
  </conditionalFormatting>
  <conditionalFormatting sqref="F29">
    <cfRule type="colorScale" priority="51">
      <colorScale>
        <cfvo type="num" val="0"/>
        <cfvo type="num" val="0.6"/>
        <cfvo type="num" val="1"/>
        <color rgb="FFFF0000"/>
        <color rgb="FFFFFF00"/>
        <color rgb="FF92FB4B"/>
      </colorScale>
    </cfRule>
  </conditionalFormatting>
  <conditionalFormatting sqref="F30">
    <cfRule type="colorScale" priority="50">
      <colorScale>
        <cfvo type="num" val="0"/>
        <cfvo type="num" val="0.6"/>
        <cfvo type="num" val="1"/>
        <color rgb="FFFF0000"/>
        <color rgb="FFFFFF00"/>
        <color rgb="FF92FB4B"/>
      </colorScale>
    </cfRule>
  </conditionalFormatting>
  <conditionalFormatting sqref="F31">
    <cfRule type="colorScale" priority="49">
      <colorScale>
        <cfvo type="num" val="0"/>
        <cfvo type="num" val="0.6"/>
        <cfvo type="num" val="1"/>
        <color rgb="FFFF0000"/>
        <color rgb="FFFFFF00"/>
        <color rgb="FF92FB4B"/>
      </colorScale>
    </cfRule>
  </conditionalFormatting>
  <conditionalFormatting sqref="F32">
    <cfRule type="colorScale" priority="48">
      <colorScale>
        <cfvo type="num" val="0"/>
        <cfvo type="num" val="0.6"/>
        <cfvo type="num" val="1"/>
        <color rgb="FFFF0000"/>
        <color rgb="FFFFFF00"/>
        <color rgb="FF92FB4B"/>
      </colorScale>
    </cfRule>
  </conditionalFormatting>
  <conditionalFormatting sqref="F34">
    <cfRule type="colorScale" priority="47">
      <colorScale>
        <cfvo type="num" val="0"/>
        <cfvo type="num" val="0.6"/>
        <cfvo type="num" val="1"/>
        <color rgb="FFFF0000"/>
        <color rgb="FFFFFF00"/>
        <color rgb="FF92FB4B"/>
      </colorScale>
    </cfRule>
  </conditionalFormatting>
  <conditionalFormatting sqref="F35">
    <cfRule type="colorScale" priority="46">
      <colorScale>
        <cfvo type="num" val="0"/>
        <cfvo type="num" val="0.6"/>
        <cfvo type="num" val="1"/>
        <color rgb="FFFF0000"/>
        <color rgb="FFFFFF00"/>
        <color rgb="FF92FB4B"/>
      </colorScale>
    </cfRule>
  </conditionalFormatting>
  <conditionalFormatting sqref="F36">
    <cfRule type="colorScale" priority="45">
      <colorScale>
        <cfvo type="num" val="0"/>
        <cfvo type="num" val="0.6"/>
        <cfvo type="num" val="1"/>
        <color rgb="FFFF0000"/>
        <color rgb="FFFFFF00"/>
        <color rgb="FF92FB4B"/>
      </colorScale>
    </cfRule>
  </conditionalFormatting>
  <conditionalFormatting sqref="F37">
    <cfRule type="colorScale" priority="44">
      <colorScale>
        <cfvo type="num" val="0"/>
        <cfvo type="num" val="0.6"/>
        <cfvo type="num" val="1"/>
        <color rgb="FFFF0000"/>
        <color rgb="FFFFFF00"/>
        <color rgb="FF92FB4B"/>
      </colorScale>
    </cfRule>
  </conditionalFormatting>
  <conditionalFormatting sqref="F39">
    <cfRule type="colorScale" priority="43">
      <colorScale>
        <cfvo type="num" val="0"/>
        <cfvo type="num" val="0.6"/>
        <cfvo type="num" val="1"/>
        <color rgb="FFFF0000"/>
        <color rgb="FFFFFF00"/>
        <color rgb="FF92FB4B"/>
      </colorScale>
    </cfRule>
  </conditionalFormatting>
  <conditionalFormatting sqref="F40">
    <cfRule type="colorScale" priority="42">
      <colorScale>
        <cfvo type="num" val="0"/>
        <cfvo type="num" val="0.6"/>
        <cfvo type="num" val="1"/>
        <color rgb="FFFF0000"/>
        <color rgb="FFFFFF00"/>
        <color rgb="FF92FB4B"/>
      </colorScale>
    </cfRule>
  </conditionalFormatting>
  <conditionalFormatting sqref="F42">
    <cfRule type="colorScale" priority="41">
      <colorScale>
        <cfvo type="num" val="0"/>
        <cfvo type="num" val="0.6"/>
        <cfvo type="num" val="1"/>
        <color rgb="FFFF0000"/>
        <color rgb="FFFFFF00"/>
        <color rgb="FF92FB4B"/>
      </colorScale>
    </cfRule>
  </conditionalFormatting>
  <conditionalFormatting sqref="F43">
    <cfRule type="colorScale" priority="40">
      <colorScale>
        <cfvo type="num" val="0"/>
        <cfvo type="num" val="0.6"/>
        <cfvo type="num" val="1"/>
        <color rgb="FFFF0000"/>
        <color rgb="FFFFFF00"/>
        <color rgb="FF92FB4B"/>
      </colorScale>
    </cfRule>
  </conditionalFormatting>
  <conditionalFormatting sqref="F45">
    <cfRule type="colorScale" priority="39">
      <colorScale>
        <cfvo type="num" val="0"/>
        <cfvo type="num" val="0.6"/>
        <cfvo type="num" val="1"/>
        <color rgb="FFFF0000"/>
        <color rgb="FFFFFF00"/>
        <color rgb="FF92FB4B"/>
      </colorScale>
    </cfRule>
  </conditionalFormatting>
  <conditionalFormatting sqref="F46">
    <cfRule type="colorScale" priority="38">
      <colorScale>
        <cfvo type="num" val="0"/>
        <cfvo type="num" val="0.6"/>
        <cfvo type="num" val="1"/>
        <color rgb="FFFF0000"/>
        <color rgb="FFFFFF00"/>
        <color rgb="FF92FB4B"/>
      </colorScale>
    </cfRule>
  </conditionalFormatting>
  <conditionalFormatting sqref="F49">
    <cfRule type="colorScale" priority="37">
      <colorScale>
        <cfvo type="num" val="0"/>
        <cfvo type="num" val="0.6"/>
        <cfvo type="num" val="1"/>
        <color rgb="FFFF0000"/>
        <color rgb="FFFFFF00"/>
        <color rgb="FF92FB4B"/>
      </colorScale>
    </cfRule>
  </conditionalFormatting>
  <conditionalFormatting sqref="F50">
    <cfRule type="colorScale" priority="36">
      <colorScale>
        <cfvo type="num" val="0"/>
        <cfvo type="num" val="0.6"/>
        <cfvo type="num" val="1"/>
        <color rgb="FFFF0000"/>
        <color rgb="FFFFFF00"/>
        <color rgb="FF92FB4B"/>
      </colorScale>
    </cfRule>
  </conditionalFormatting>
  <conditionalFormatting sqref="F52">
    <cfRule type="colorScale" priority="35">
      <colorScale>
        <cfvo type="num" val="0"/>
        <cfvo type="num" val="0.6"/>
        <cfvo type="num" val="1"/>
        <color rgb="FFFF0000"/>
        <color rgb="FFFFFF00"/>
        <color rgb="FF92FB4B"/>
      </colorScale>
    </cfRule>
  </conditionalFormatting>
  <conditionalFormatting sqref="F54">
    <cfRule type="colorScale" priority="34">
      <colorScale>
        <cfvo type="num" val="0"/>
        <cfvo type="num" val="0.6"/>
        <cfvo type="num" val="1"/>
        <color rgb="FFFF0000"/>
        <color rgb="FFFFFF00"/>
        <color rgb="FF92FB4B"/>
      </colorScale>
    </cfRule>
  </conditionalFormatting>
  <conditionalFormatting sqref="F55">
    <cfRule type="colorScale" priority="33">
      <colorScale>
        <cfvo type="num" val="0"/>
        <cfvo type="num" val="0.6"/>
        <cfvo type="num" val="1"/>
        <color rgb="FFFF0000"/>
        <color rgb="FFFFFF00"/>
        <color rgb="FF92FB4B"/>
      </colorScale>
    </cfRule>
  </conditionalFormatting>
  <conditionalFormatting sqref="F56">
    <cfRule type="colorScale" priority="32">
      <colorScale>
        <cfvo type="num" val="0"/>
        <cfvo type="num" val="0.6"/>
        <cfvo type="num" val="1"/>
        <color rgb="FFFF0000"/>
        <color rgb="FFFFFF00"/>
        <color rgb="FF92FB4B"/>
      </colorScale>
    </cfRule>
  </conditionalFormatting>
  <conditionalFormatting sqref="F57">
    <cfRule type="colorScale" priority="31">
      <colorScale>
        <cfvo type="num" val="0"/>
        <cfvo type="num" val="0.6"/>
        <cfvo type="num" val="1"/>
        <color rgb="FFFF0000"/>
        <color rgb="FFFFFF00"/>
        <color rgb="FF92FB4B"/>
      </colorScale>
    </cfRule>
  </conditionalFormatting>
  <conditionalFormatting sqref="F58">
    <cfRule type="colorScale" priority="30">
      <colorScale>
        <cfvo type="num" val="0"/>
        <cfvo type="num" val="0.6"/>
        <cfvo type="num" val="1"/>
        <color rgb="FFFF0000"/>
        <color rgb="FFFFFF00"/>
        <color rgb="FF92FB4B"/>
      </colorScale>
    </cfRule>
  </conditionalFormatting>
  <conditionalFormatting sqref="F59">
    <cfRule type="colorScale" priority="29">
      <colorScale>
        <cfvo type="num" val="0"/>
        <cfvo type="num" val="0.6"/>
        <cfvo type="num" val="1"/>
        <color rgb="FFFF0000"/>
        <color rgb="FFFFFF00"/>
        <color rgb="FF92FB4B"/>
      </colorScale>
    </cfRule>
  </conditionalFormatting>
  <conditionalFormatting sqref="F62">
    <cfRule type="colorScale" priority="28">
      <colorScale>
        <cfvo type="num" val="0"/>
        <cfvo type="num" val="0.6"/>
        <cfvo type="num" val="1"/>
        <color rgb="FFFF0000"/>
        <color rgb="FFFFFF00"/>
        <color rgb="FF92FB4B"/>
      </colorScale>
    </cfRule>
  </conditionalFormatting>
  <conditionalFormatting sqref="F63">
    <cfRule type="colorScale" priority="27">
      <colorScale>
        <cfvo type="num" val="0"/>
        <cfvo type="num" val="0.6"/>
        <cfvo type="num" val="1"/>
        <color rgb="FFFF0000"/>
        <color rgb="FFFFFF00"/>
        <color rgb="FF92FB4B"/>
      </colorScale>
    </cfRule>
  </conditionalFormatting>
  <conditionalFormatting sqref="F64">
    <cfRule type="colorScale" priority="26">
      <colorScale>
        <cfvo type="num" val="0"/>
        <cfvo type="num" val="0.6"/>
        <cfvo type="num" val="1"/>
        <color rgb="FFFF0000"/>
        <color rgb="FFFFFF00"/>
        <color rgb="FF92FB4B"/>
      </colorScale>
    </cfRule>
  </conditionalFormatting>
  <conditionalFormatting sqref="F65">
    <cfRule type="colorScale" priority="25">
      <colorScale>
        <cfvo type="num" val="0"/>
        <cfvo type="num" val="0.6"/>
        <cfvo type="num" val="1"/>
        <color rgb="FFFF0000"/>
        <color rgb="FFFFFF00"/>
        <color rgb="FF92FB4B"/>
      </colorScale>
    </cfRule>
  </conditionalFormatting>
  <conditionalFormatting sqref="F66">
    <cfRule type="colorScale" priority="24">
      <colorScale>
        <cfvo type="num" val="0"/>
        <cfvo type="num" val="0.6"/>
        <cfvo type="num" val="1"/>
        <color rgb="FFFF0000"/>
        <color rgb="FFFFFF00"/>
        <color rgb="FF92FB4B"/>
      </colorScale>
    </cfRule>
  </conditionalFormatting>
  <conditionalFormatting sqref="F67">
    <cfRule type="colorScale" priority="23">
      <colorScale>
        <cfvo type="num" val="0"/>
        <cfvo type="num" val="0.6"/>
        <cfvo type="num" val="1"/>
        <color rgb="FFFF0000"/>
        <color rgb="FFFFFF00"/>
        <color rgb="FF92FB4B"/>
      </colorScale>
    </cfRule>
  </conditionalFormatting>
  <conditionalFormatting sqref="F69">
    <cfRule type="colorScale" priority="22">
      <colorScale>
        <cfvo type="num" val="0"/>
        <cfvo type="num" val="0.6"/>
        <cfvo type="num" val="1"/>
        <color rgb="FFFF0000"/>
        <color rgb="FFFFFF00"/>
        <color rgb="FF92FB4B"/>
      </colorScale>
    </cfRule>
  </conditionalFormatting>
  <conditionalFormatting sqref="F72">
    <cfRule type="colorScale" priority="21">
      <colorScale>
        <cfvo type="num" val="0"/>
        <cfvo type="num" val="0.6"/>
        <cfvo type="num" val="1"/>
        <color rgb="FFFF0000"/>
        <color rgb="FFFFFF00"/>
        <color rgb="FF92FB4B"/>
      </colorScale>
    </cfRule>
  </conditionalFormatting>
  <conditionalFormatting sqref="F74">
    <cfRule type="colorScale" priority="20">
      <colorScale>
        <cfvo type="num" val="0"/>
        <cfvo type="num" val="0.6"/>
        <cfvo type="num" val="1"/>
        <color rgb="FFFF0000"/>
        <color rgb="FFFFFF00"/>
        <color rgb="FF92FB4B"/>
      </colorScale>
    </cfRule>
  </conditionalFormatting>
  <conditionalFormatting sqref="F76">
    <cfRule type="colorScale" priority="19">
      <colorScale>
        <cfvo type="num" val="0"/>
        <cfvo type="num" val="0.6"/>
        <cfvo type="num" val="1"/>
        <color rgb="FFFF0000"/>
        <color rgb="FFFFFF00"/>
        <color rgb="FF92FB4B"/>
      </colorScale>
    </cfRule>
  </conditionalFormatting>
  <conditionalFormatting sqref="F79">
    <cfRule type="colorScale" priority="18">
      <colorScale>
        <cfvo type="num" val="0"/>
        <cfvo type="num" val="0.6"/>
        <cfvo type="num" val="1"/>
        <color rgb="FFFF0000"/>
        <color rgb="FFFFFF00"/>
        <color rgb="FF92FB4B"/>
      </colorScale>
    </cfRule>
  </conditionalFormatting>
  <conditionalFormatting sqref="F82">
    <cfRule type="colorScale" priority="17">
      <colorScale>
        <cfvo type="num" val="0"/>
        <cfvo type="num" val="0.6"/>
        <cfvo type="num" val="1"/>
        <color rgb="FFFF0000"/>
        <color rgb="FFFFFF00"/>
        <color rgb="FF92FB4B"/>
      </colorScale>
    </cfRule>
  </conditionalFormatting>
  <conditionalFormatting sqref="F83">
    <cfRule type="colorScale" priority="16">
      <colorScale>
        <cfvo type="num" val="0"/>
        <cfvo type="num" val="0.6"/>
        <cfvo type="num" val="1"/>
        <color rgb="FFFF0000"/>
        <color rgb="FFFFFF00"/>
        <color rgb="FF92FB4B"/>
      </colorScale>
    </cfRule>
  </conditionalFormatting>
  <conditionalFormatting sqref="F84">
    <cfRule type="colorScale" priority="15">
      <colorScale>
        <cfvo type="num" val="0"/>
        <cfvo type="num" val="0.6"/>
        <cfvo type="num" val="1"/>
        <color rgb="FFFF0000"/>
        <color rgb="FFFFFF00"/>
        <color rgb="FF92FB4B"/>
      </colorScale>
    </cfRule>
  </conditionalFormatting>
  <conditionalFormatting sqref="F85">
    <cfRule type="colorScale" priority="14">
      <colorScale>
        <cfvo type="num" val="0"/>
        <cfvo type="num" val="0.6"/>
        <cfvo type="num" val="1"/>
        <color rgb="FFFF0000"/>
        <color rgb="FFFFFF00"/>
        <color rgb="FF92FB4B"/>
      </colorScale>
    </cfRule>
  </conditionalFormatting>
  <conditionalFormatting sqref="F86">
    <cfRule type="colorScale" priority="13">
      <colorScale>
        <cfvo type="num" val="0"/>
        <cfvo type="num" val="0.6"/>
        <cfvo type="num" val="1"/>
        <color rgb="FFFF0000"/>
        <color rgb="FFFFFF00"/>
        <color rgb="FF92FB4B"/>
      </colorScale>
    </cfRule>
  </conditionalFormatting>
  <conditionalFormatting sqref="F88">
    <cfRule type="colorScale" priority="12">
      <colorScale>
        <cfvo type="num" val="0"/>
        <cfvo type="num" val="0.6"/>
        <cfvo type="num" val="1"/>
        <color rgb="FFFF0000"/>
        <color rgb="FFFFFF00"/>
        <color rgb="FF92FB4B"/>
      </colorScale>
    </cfRule>
  </conditionalFormatting>
  <conditionalFormatting sqref="F89">
    <cfRule type="colorScale" priority="11">
      <colorScale>
        <cfvo type="num" val="0"/>
        <cfvo type="num" val="0.6"/>
        <cfvo type="num" val="1"/>
        <color rgb="FFFF0000"/>
        <color rgb="FFFFFF00"/>
        <color rgb="FF92FB4B"/>
      </colorScale>
    </cfRule>
  </conditionalFormatting>
  <conditionalFormatting sqref="F90">
    <cfRule type="colorScale" priority="10">
      <colorScale>
        <cfvo type="num" val="0"/>
        <cfvo type="num" val="0.6"/>
        <cfvo type="num" val="1"/>
        <color rgb="FFFF0000"/>
        <color rgb="FFFFFF00"/>
        <color rgb="FF92FB4B"/>
      </colorScale>
    </cfRule>
  </conditionalFormatting>
  <conditionalFormatting sqref="F91">
    <cfRule type="colorScale" priority="9">
      <colorScale>
        <cfvo type="num" val="0"/>
        <cfvo type="num" val="0.6"/>
        <cfvo type="num" val="1"/>
        <color rgb="FFFF0000"/>
        <color rgb="FFFFFF00"/>
        <color rgb="FF92FB4B"/>
      </colorScale>
    </cfRule>
  </conditionalFormatting>
  <conditionalFormatting sqref="F92">
    <cfRule type="colorScale" priority="8">
      <colorScale>
        <cfvo type="num" val="0"/>
        <cfvo type="num" val="0.6"/>
        <cfvo type="num" val="1"/>
        <color rgb="FFFF0000"/>
        <color rgb="FFFFFF00"/>
        <color rgb="FF92FB4B"/>
      </colorScale>
    </cfRule>
  </conditionalFormatting>
  <conditionalFormatting sqref="F95">
    <cfRule type="colorScale" priority="7">
      <colorScale>
        <cfvo type="num" val="0"/>
        <cfvo type="num" val="0.6"/>
        <cfvo type="num" val="1"/>
        <color rgb="FFFF0000"/>
        <color rgb="FFFFFF00"/>
        <color rgb="FF92FB4B"/>
      </colorScale>
    </cfRule>
  </conditionalFormatting>
  <conditionalFormatting sqref="F96">
    <cfRule type="colorScale" priority="6">
      <colorScale>
        <cfvo type="num" val="0"/>
        <cfvo type="num" val="0.6"/>
        <cfvo type="num" val="1"/>
        <color rgb="FFFF0000"/>
        <color rgb="FFFFFF00"/>
        <color rgb="FF92FB4B"/>
      </colorScale>
    </cfRule>
  </conditionalFormatting>
  <conditionalFormatting sqref="F97">
    <cfRule type="colorScale" priority="5">
      <colorScale>
        <cfvo type="num" val="0"/>
        <cfvo type="num" val="0.6"/>
        <cfvo type="num" val="1"/>
        <color rgb="FFFF0000"/>
        <color rgb="FFFFFF00"/>
        <color rgb="FF92FB4B"/>
      </colorScale>
    </cfRule>
  </conditionalFormatting>
  <conditionalFormatting sqref="F99">
    <cfRule type="colorScale" priority="4">
      <colorScale>
        <cfvo type="num" val="0"/>
        <cfvo type="num" val="0.6"/>
        <cfvo type="num" val="1"/>
        <color rgb="FFFF0000"/>
        <color rgb="FFFFFF00"/>
        <color rgb="FF92FB4B"/>
      </colorScale>
    </cfRule>
  </conditionalFormatting>
  <conditionalFormatting sqref="F100">
    <cfRule type="colorScale" priority="3">
      <colorScale>
        <cfvo type="num" val="0"/>
        <cfvo type="num" val="0.6"/>
        <cfvo type="num" val="1"/>
        <color rgb="FFFF0000"/>
        <color rgb="FFFFFF00"/>
        <color rgb="FF92FB4B"/>
      </colorScale>
    </cfRule>
  </conditionalFormatting>
  <conditionalFormatting sqref="F101">
    <cfRule type="colorScale" priority="2">
      <colorScale>
        <cfvo type="num" val="0"/>
        <cfvo type="num" val="0.6"/>
        <cfvo type="num" val="1"/>
        <color rgb="FFFF0000"/>
        <color rgb="FFFFFF00"/>
        <color rgb="FF92FB4B"/>
      </colorScale>
    </cfRule>
  </conditionalFormatting>
  <conditionalFormatting sqref="F102">
    <cfRule type="colorScale" priority="1">
      <colorScale>
        <cfvo type="num" val="0"/>
        <cfvo type="num" val="0.6"/>
        <cfvo type="num" val="1"/>
        <color rgb="FFFF0000"/>
        <color rgb="FFFFFF00"/>
        <color rgb="FF92FB4B"/>
      </colorScale>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93D94-11F0-4551-8FD5-98F7123535E3}">
  <dimension ref="A1:AA168"/>
  <sheetViews>
    <sheetView topLeftCell="B1" zoomScale="60" zoomScaleNormal="60" workbookViewId="0">
      <selection activeCell="I13" sqref="I13"/>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871"/>
      <c r="R1" s="3"/>
      <c r="S1" s="4"/>
      <c r="U1" s="872"/>
      <c r="V1" s="872"/>
      <c r="W1" s="872"/>
      <c r="X1" s="872"/>
      <c r="Y1" s="872"/>
      <c r="Z1" s="872"/>
      <c r="AA1" s="872"/>
    </row>
    <row r="2" spans="1:27" ht="30" x14ac:dyDescent="1.1000000000000001">
      <c r="B2" s="873"/>
      <c r="C2" s="874"/>
      <c r="D2" s="875" t="s">
        <v>286</v>
      </c>
      <c r="E2" s="874"/>
      <c r="F2" s="876"/>
      <c r="G2" s="876"/>
      <c r="H2" s="876"/>
      <c r="I2" s="876"/>
      <c r="J2" s="876"/>
      <c r="K2" s="876"/>
      <c r="L2" s="876"/>
      <c r="M2" s="876"/>
      <c r="N2" s="876"/>
      <c r="O2" s="876"/>
      <c r="P2" s="876"/>
      <c r="Q2" s="874"/>
      <c r="R2" s="876"/>
      <c r="S2" s="6"/>
    </row>
    <row r="3" spans="1:27" ht="14.65" thickBot="1" x14ac:dyDescent="0.5">
      <c r="B3" s="877"/>
      <c r="C3" s="878"/>
      <c r="D3" s="878"/>
      <c r="E3" s="878"/>
      <c r="F3" s="879"/>
      <c r="G3" s="879"/>
      <c r="H3" s="879"/>
      <c r="I3" s="879"/>
      <c r="J3" s="879"/>
      <c r="K3" s="879"/>
      <c r="L3" s="879"/>
      <c r="M3" s="879"/>
      <c r="N3" s="879"/>
      <c r="O3" s="879"/>
      <c r="P3" s="879"/>
      <c r="Q3" s="878"/>
      <c r="R3" s="879"/>
      <c r="S3" s="7"/>
    </row>
    <row r="4" spans="1:27" ht="26.45" customHeight="1" thickBot="1" x14ac:dyDescent="0.5">
      <c r="B4" s="877"/>
      <c r="C4" s="878"/>
      <c r="D4" s="880" t="s">
        <v>195</v>
      </c>
      <c r="E4" s="878"/>
      <c r="F4" s="8" t="s">
        <v>228</v>
      </c>
      <c r="G4" s="879"/>
      <c r="H4" s="879"/>
      <c r="I4" s="879"/>
      <c r="J4" s="879"/>
      <c r="K4" s="1737" t="s">
        <v>723</v>
      </c>
      <c r="L4" s="1738"/>
      <c r="M4" s="1739"/>
      <c r="N4" s="881">
        <f>(N9+N46+N59+N69+N76+N79+N92)/7</f>
        <v>0.43100760800262183</v>
      </c>
      <c r="O4" s="882">
        <f>(O9+O46+O59+O69+O76+O79+O92)</f>
        <v>32.838488487525026</v>
      </c>
      <c r="P4" s="881">
        <f>O4/100</f>
        <v>0.32838488487525025</v>
      </c>
      <c r="Q4" s="878"/>
      <c r="R4" s="879"/>
      <c r="S4" s="7"/>
    </row>
    <row r="5" spans="1:27" ht="18.399999999999999" thickBot="1" x14ac:dyDescent="0.6">
      <c r="B5" s="1740"/>
      <c r="C5" s="1741"/>
      <c r="D5" s="1741"/>
      <c r="E5" s="1741"/>
      <c r="F5" s="1741"/>
      <c r="G5" s="1741"/>
      <c r="H5" s="1741"/>
      <c r="I5" s="1741"/>
      <c r="J5" s="1741"/>
      <c r="K5" s="1741"/>
      <c r="L5" s="68"/>
      <c r="M5" s="883">
        <f>100/28</f>
        <v>3.5714285714285716</v>
      </c>
      <c r="N5" s="9"/>
      <c r="O5" s="647"/>
      <c r="P5" s="647"/>
      <c r="Q5" s="884"/>
      <c r="R5" s="9"/>
      <c r="S5" s="10"/>
    </row>
    <row r="6" spans="1:27" ht="33.6" customHeight="1" thickBot="1" x14ac:dyDescent="0.5">
      <c r="B6" s="1742"/>
      <c r="C6" s="1743"/>
      <c r="D6" s="1743"/>
      <c r="E6" s="1743"/>
      <c r="F6" s="1744"/>
      <c r="G6" s="885"/>
      <c r="H6" s="885"/>
      <c r="I6" s="885"/>
      <c r="J6" s="885"/>
      <c r="K6" s="885"/>
      <c r="L6" s="885"/>
      <c r="M6" s="885"/>
      <c r="N6" s="886"/>
      <c r="O6" s="887"/>
      <c r="P6" s="887"/>
      <c r="Q6" s="886"/>
      <c r="R6" s="12"/>
      <c r="S6" s="13"/>
    </row>
    <row r="7" spans="1:27" ht="55.8" customHeight="1" thickBot="1" x14ac:dyDescent="0.5">
      <c r="B7" s="1745"/>
      <c r="C7" s="1746"/>
      <c r="D7" s="1746"/>
      <c r="E7" s="1746"/>
      <c r="F7" s="1747"/>
      <c r="G7" s="888"/>
      <c r="H7" s="889" t="s">
        <v>218</v>
      </c>
      <c r="I7" s="890" t="s">
        <v>219</v>
      </c>
      <c r="J7" s="891" t="s">
        <v>91</v>
      </c>
      <c r="K7" s="892" t="s">
        <v>107</v>
      </c>
      <c r="L7" s="892" t="s">
        <v>104</v>
      </c>
      <c r="M7" s="892" t="s">
        <v>105</v>
      </c>
      <c r="N7" s="890" t="s">
        <v>106</v>
      </c>
      <c r="O7" s="890" t="s">
        <v>646</v>
      </c>
      <c r="P7" s="893" t="s">
        <v>647</v>
      </c>
      <c r="Q7" s="894" t="s">
        <v>93</v>
      </c>
      <c r="R7" s="895" t="s">
        <v>110</v>
      </c>
      <c r="S7" s="896" t="s">
        <v>103</v>
      </c>
    </row>
    <row r="8" spans="1:27" ht="25.25" customHeight="1" thickBot="1" x14ac:dyDescent="0.5">
      <c r="B8" s="897" t="s">
        <v>2</v>
      </c>
      <c r="C8" s="897" t="s">
        <v>92</v>
      </c>
      <c r="D8" s="897" t="s">
        <v>3</v>
      </c>
      <c r="E8" s="897" t="s">
        <v>94</v>
      </c>
      <c r="F8" s="897" t="s">
        <v>102</v>
      </c>
      <c r="G8" s="897" t="s">
        <v>96</v>
      </c>
      <c r="H8" s="898"/>
      <c r="I8" s="899"/>
      <c r="J8" s="898"/>
      <c r="K8" s="900"/>
      <c r="L8" s="900"/>
      <c r="M8" s="897"/>
      <c r="N8" s="901"/>
      <c r="O8" s="902"/>
      <c r="P8" s="903"/>
      <c r="Q8" s="899"/>
      <c r="R8" s="901"/>
      <c r="S8" s="901"/>
      <c r="V8" s="904" t="s">
        <v>151</v>
      </c>
      <c r="W8" s="905"/>
      <c r="X8" s="905"/>
      <c r="Y8" s="905"/>
      <c r="Z8" s="906"/>
    </row>
    <row r="9" spans="1:27" s="207" customFormat="1" ht="25.25" customHeight="1" thickBot="1" x14ac:dyDescent="0.5">
      <c r="B9" s="1748" t="s">
        <v>0</v>
      </c>
      <c r="C9" s="1749"/>
      <c r="D9" s="1749"/>
      <c r="E9" s="1749"/>
      <c r="F9" s="1750"/>
      <c r="G9" s="907"/>
      <c r="H9" s="908"/>
      <c r="I9" s="909"/>
      <c r="J9" s="910"/>
      <c r="K9" s="910"/>
      <c r="L9" s="910"/>
      <c r="M9" s="907"/>
      <c r="N9" s="911">
        <f>(N10+N18+N23+N32+N37+N40+N43)/7</f>
        <v>0.11188932897787618</v>
      </c>
      <c r="O9" s="912">
        <f>(O10+O18+O23+O32+O37+O40+O43)</f>
        <v>9.5272568148765142</v>
      </c>
      <c r="P9" s="913">
        <f>O9/42.857136</f>
        <v>0.22230269458221649</v>
      </c>
      <c r="Q9" s="910"/>
      <c r="R9" s="914"/>
      <c r="S9" s="914"/>
      <c r="U9" s="915"/>
      <c r="V9" s="916"/>
      <c r="W9" s="917"/>
      <c r="X9" s="917"/>
      <c r="Y9" s="917"/>
      <c r="Z9" s="918"/>
      <c r="AA9" s="915"/>
    </row>
    <row r="10" spans="1:27" s="109" customFormat="1" ht="25.25" customHeight="1" thickBot="1" x14ac:dyDescent="0.5">
      <c r="B10" s="1751" t="s">
        <v>1</v>
      </c>
      <c r="C10" s="1752"/>
      <c r="D10" s="1752"/>
      <c r="E10" s="1752"/>
      <c r="F10" s="1753"/>
      <c r="G10" s="919"/>
      <c r="H10" s="920"/>
      <c r="I10" s="921"/>
      <c r="J10" s="922"/>
      <c r="K10" s="922"/>
      <c r="L10" s="922"/>
      <c r="M10" s="919"/>
      <c r="N10" s="911">
        <f>(N11+N13+N15)/3</f>
        <v>0.72897457590006243</v>
      </c>
      <c r="O10" s="912">
        <f>(O11+O13+O15)</f>
        <v>7.6128327368421056</v>
      </c>
      <c r="P10" s="913">
        <f>O10/10.714284</f>
        <v>0.71053116912358361</v>
      </c>
      <c r="Q10" s="922"/>
      <c r="R10" s="923"/>
      <c r="S10" s="923"/>
      <c r="U10" s="924"/>
      <c r="V10" s="925"/>
      <c r="W10" s="926"/>
      <c r="X10" s="926"/>
      <c r="Y10" s="926"/>
      <c r="Z10" s="927"/>
      <c r="AA10" s="924"/>
    </row>
    <row r="11" spans="1:27" ht="27.6" customHeight="1" thickBot="1" x14ac:dyDescent="0.5">
      <c r="A11" s="1617">
        <v>1</v>
      </c>
      <c r="B11" s="1733" t="s">
        <v>4</v>
      </c>
      <c r="C11" s="1735">
        <f>M5</f>
        <v>3.5714285714285716</v>
      </c>
      <c r="D11" s="928" t="s">
        <v>111</v>
      </c>
      <c r="E11" s="929">
        <f>$C$11/2</f>
        <v>1.7857142857142858</v>
      </c>
      <c r="F11" s="930" t="s">
        <v>5</v>
      </c>
      <c r="G11" s="931">
        <f>E11/1</f>
        <v>1.7857142857142858</v>
      </c>
      <c r="H11" s="302">
        <v>1240.0597737005351</v>
      </c>
      <c r="I11" s="303">
        <v>1250.4361876185735</v>
      </c>
      <c r="J11" s="932">
        <f>(H11-I11)</f>
        <v>-10.376413918038452</v>
      </c>
      <c r="K11" s="933">
        <f>(0.3*I11)*6/10</f>
        <v>225.07851377134324</v>
      </c>
      <c r="L11" s="934">
        <f>I11+K11</f>
        <v>1475.5147013899168</v>
      </c>
      <c r="M11" s="935">
        <f>IF(K11&lt;&gt;0,J11/K11,"0%")</f>
        <v>-4.6101308135435032E-2</v>
      </c>
      <c r="N11" s="1731">
        <f>(((G11/C11)*M11)+((G12/C11)*M12))</f>
        <v>1.0143440192967585</v>
      </c>
      <c r="O11" s="1646">
        <f>IF((((G11/C11)*M11)+((G12/C11)*M12))&gt;=1,3.57148,IF((((G11/C11)*M11)+((G12/C11)*M12))&lt;=0,0, (((G11/C11)*M11)+((G12/C11)*M12))*3.571428))</f>
        <v>3.5714800000000002</v>
      </c>
      <c r="P11" s="1630">
        <f>O11/3.571428</f>
        <v>1.0000145600023296</v>
      </c>
      <c r="Q11" s="936" t="s">
        <v>97</v>
      </c>
      <c r="R11" s="154" t="s">
        <v>292</v>
      </c>
      <c r="S11" s="155" t="s">
        <v>361</v>
      </c>
      <c r="V11" s="937" t="s">
        <v>109</v>
      </c>
      <c r="W11" s="938" t="e">
        <f>#REF!</f>
        <v>#REF!</v>
      </c>
      <c r="X11" s="939"/>
      <c r="Y11" s="939"/>
      <c r="Z11" s="940"/>
    </row>
    <row r="12" spans="1:27" ht="27" customHeight="1" thickBot="1" x14ac:dyDescent="0.5">
      <c r="A12" s="1617"/>
      <c r="B12" s="1734"/>
      <c r="C12" s="1736"/>
      <c r="D12" s="941" t="s">
        <v>112</v>
      </c>
      <c r="E12" s="942">
        <f>$C$11/2</f>
        <v>1.7857142857142858</v>
      </c>
      <c r="F12" s="943" t="s">
        <v>281</v>
      </c>
      <c r="G12" s="944">
        <f>E12/1</f>
        <v>1.7857142857142858</v>
      </c>
      <c r="H12" s="945">
        <v>0.68878159799065719</v>
      </c>
      <c r="I12" s="946">
        <v>1</v>
      </c>
      <c r="J12" s="947">
        <f>I12-H12</f>
        <v>0.31121840200934281</v>
      </c>
      <c r="K12" s="948">
        <f>(0.25*I12)*(6/10)</f>
        <v>0.15</v>
      </c>
      <c r="L12" s="949">
        <f>I12-K12</f>
        <v>0.85</v>
      </c>
      <c r="M12" s="950">
        <f>IF(K12&lt;&gt;0,J12/K12,"0%")</f>
        <v>2.0747893467289522</v>
      </c>
      <c r="N12" s="1732"/>
      <c r="O12" s="1647"/>
      <c r="P12" s="1631"/>
      <c r="Q12" s="951" t="s">
        <v>98</v>
      </c>
      <c r="R12" s="108" t="s">
        <v>293</v>
      </c>
      <c r="S12" s="155" t="s">
        <v>362</v>
      </c>
      <c r="V12" s="952">
        <v>0.02</v>
      </c>
      <c r="W12" s="953" t="e">
        <f>(W11-(W11*V12))</f>
        <v>#REF!</v>
      </c>
      <c r="X12" s="953" t="e">
        <f>W11-(V12*W11)</f>
        <v>#REF!</v>
      </c>
      <c r="Y12" s="939"/>
      <c r="Z12" s="940"/>
    </row>
    <row r="13" spans="1:27" ht="32.450000000000003" customHeight="1" thickBot="1" x14ac:dyDescent="0.5">
      <c r="A13" s="1617">
        <v>2</v>
      </c>
      <c r="B13" s="1754" t="s">
        <v>6</v>
      </c>
      <c r="C13" s="1756">
        <f>M5</f>
        <v>3.5714285714285716</v>
      </c>
      <c r="D13" s="954" t="s">
        <v>273</v>
      </c>
      <c r="E13" s="955">
        <f>$C$13/2</f>
        <v>1.7857142857142858</v>
      </c>
      <c r="F13" s="956" t="s">
        <v>7</v>
      </c>
      <c r="G13" s="957">
        <f>E13/1</f>
        <v>1.7857142857142858</v>
      </c>
      <c r="H13" s="302">
        <v>17</v>
      </c>
      <c r="I13" s="958">
        <v>18</v>
      </c>
      <c r="J13" s="959">
        <f>IF(I13=H13,(5-H13),I13-H13)</f>
        <v>1</v>
      </c>
      <c r="K13" s="960">
        <f>IF(I13&lt;=5,0,((I13-5)*(6/10)))</f>
        <v>7.8</v>
      </c>
      <c r="L13" s="961">
        <f>I13-K13</f>
        <v>10.199999999999999</v>
      </c>
      <c r="M13" s="962">
        <f>IF(I13&lt;=5,(1+(5-H13)/5),(J13/K13))</f>
        <v>0.12820512820512822</v>
      </c>
      <c r="N13" s="1731">
        <f>(((G13/C13)*M13)+((G14/C13)*M14))</f>
        <v>0.13157894736842107</v>
      </c>
      <c r="O13" s="1646">
        <f>IF((((G13/C13)*M13)+((G14/C13)*M14))&gt;=1,3.57148,IF((((G13/C13)*M13)+((G14/C13)*M14))&lt;=0,0, (((G13/C13)*M13)+((G14/C13)*M14))*3.571428))</f>
        <v>0.46992473684210534</v>
      </c>
      <c r="P13" s="1630">
        <f>O13/3.571428</f>
        <v>0.13157894736842107</v>
      </c>
      <c r="Q13" s="963" t="s">
        <v>99</v>
      </c>
      <c r="R13" s="108" t="s">
        <v>294</v>
      </c>
      <c r="S13" s="155" t="s">
        <v>363</v>
      </c>
      <c r="V13" s="952">
        <v>0.02</v>
      </c>
      <c r="W13" s="953" t="e">
        <f>(#REF!-(#REF!*V13))</f>
        <v>#REF!</v>
      </c>
      <c r="X13" s="953" t="e">
        <f>(W11-(V12*W11))-((W11-(V12*W11))*0.02)-(((W11-(V12*W11))-((W11-(V12*W11))*0.02))*0.02)-(((W11-(V12*W11))-((W11-(V12*W11))*0.02)-(((W11-(V12*W11))-((W11-(V12*W11))*0.02))*0.02))*0.02)</f>
        <v>#REF!</v>
      </c>
      <c r="Y13" s="964" t="e">
        <f>(W11-W14)/W11</f>
        <v>#REF!</v>
      </c>
      <c r="Z13" s="940"/>
    </row>
    <row r="14" spans="1:27" ht="33" customHeight="1" thickBot="1" x14ac:dyDescent="0.5">
      <c r="A14" s="1617"/>
      <c r="B14" s="1755"/>
      <c r="C14" s="1757"/>
      <c r="D14" s="941" t="s">
        <v>274</v>
      </c>
      <c r="E14" s="965">
        <f>$C$13/2</f>
        <v>1.7857142857142858</v>
      </c>
      <c r="F14" s="966" t="s">
        <v>8</v>
      </c>
      <c r="G14" s="967">
        <f>E14/1</f>
        <v>1.7857142857142858</v>
      </c>
      <c r="H14" s="945">
        <v>70</v>
      </c>
      <c r="I14" s="946">
        <v>67.5</v>
      </c>
      <c r="J14" s="968">
        <f>H14-I14</f>
        <v>2.5</v>
      </c>
      <c r="K14" s="969">
        <f>(0.95*(100-I14))*6/10</f>
        <v>18.524999999999999</v>
      </c>
      <c r="L14" s="970">
        <f>K14+I14</f>
        <v>86.025000000000006</v>
      </c>
      <c r="M14" s="971">
        <f>IF(K14&lt;&gt;0,J14/K14,"1%")</f>
        <v>0.1349527665317139</v>
      </c>
      <c r="N14" s="1732"/>
      <c r="O14" s="1647"/>
      <c r="P14" s="1631"/>
      <c r="Q14" s="972" t="s">
        <v>100</v>
      </c>
      <c r="R14" s="156" t="s">
        <v>295</v>
      </c>
      <c r="S14" s="155" t="s">
        <v>296</v>
      </c>
      <c r="V14" s="973">
        <v>0.02</v>
      </c>
      <c r="W14" s="974" t="e">
        <f>(#REF!-(#REF!*V14))</f>
        <v>#REF!</v>
      </c>
      <c r="X14" s="974"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975" t="e">
        <f>W11-X14</f>
        <v>#REF!</v>
      </c>
      <c r="Z14" s="976"/>
    </row>
    <row r="15" spans="1:27" ht="22.25" customHeight="1" thickBot="1" x14ac:dyDescent="0.5">
      <c r="A15" s="1651">
        <v>3</v>
      </c>
      <c r="B15" s="1727" t="s">
        <v>9</v>
      </c>
      <c r="C15" s="1729">
        <f>M5</f>
        <v>3.5714285714285716</v>
      </c>
      <c r="D15" s="1727" t="s">
        <v>113</v>
      </c>
      <c r="E15" s="1729">
        <f>$C$15/1</f>
        <v>3.5714285714285716</v>
      </c>
      <c r="F15" s="977" t="s">
        <v>221</v>
      </c>
      <c r="G15" s="978">
        <f>$E$15/3</f>
        <v>1.1904761904761905</v>
      </c>
      <c r="H15" s="302">
        <v>31.92</v>
      </c>
      <c r="I15" s="303">
        <v>29.2</v>
      </c>
      <c r="J15" s="979">
        <f>H15-I15</f>
        <v>2.7200000000000024</v>
      </c>
      <c r="K15" s="980">
        <f>(0.5*I15)*6/10</f>
        <v>8.76</v>
      </c>
      <c r="L15" s="934">
        <f>I15+K15</f>
        <v>37.96</v>
      </c>
      <c r="M15" s="935">
        <f>IF(K15&lt;&gt;0,J15/K15,"0%")</f>
        <v>0.31050228310502309</v>
      </c>
      <c r="N15" s="1702">
        <f>(((G15/C15)*M15)+((G16/C15)*M16)+((G17/C15)*M17))</f>
        <v>1.0410007610350076</v>
      </c>
      <c r="O15" s="1632">
        <f>IF((((G15/C15)*M15)+((G16/C15)*M16)+((G17/C15)*M17))&gt;=1,3.571428,IF((((G15/C15)*M15)+((G16/C15)*M16)+((G17/C15)*M17))&lt;=0,0,(((G15/C15)*M15)+((G16/C15)*M16)+((G17/C15)*M17))*3.571428))</f>
        <v>3.571428</v>
      </c>
      <c r="P15" s="1630">
        <f>O15/3.571428</f>
        <v>1</v>
      </c>
      <c r="Q15" s="981" t="s">
        <v>101</v>
      </c>
      <c r="R15" s="156" t="s">
        <v>297</v>
      </c>
      <c r="S15" s="155" t="s">
        <v>298</v>
      </c>
    </row>
    <row r="16" spans="1:27" ht="23.65" thickBot="1" x14ac:dyDescent="0.5">
      <c r="A16" s="1651"/>
      <c r="B16" s="1727"/>
      <c r="C16" s="1729"/>
      <c r="D16" s="1727"/>
      <c r="E16" s="1729"/>
      <c r="F16" s="982" t="s">
        <v>220</v>
      </c>
      <c r="G16" s="983">
        <f t="shared" ref="G16:G17" si="0">$E$15/3</f>
        <v>1.1904761904761905</v>
      </c>
      <c r="H16" s="984">
        <v>35.6</v>
      </c>
      <c r="I16" s="985">
        <v>38.4</v>
      </c>
      <c r="J16" s="986">
        <f>H16-I16</f>
        <v>-2.7999999999999972</v>
      </c>
      <c r="K16" s="987">
        <f>(0.5*I16)*6/10</f>
        <v>11.52</v>
      </c>
      <c r="L16" s="988">
        <f t="shared" ref="L16:L17" si="1">I16+K16</f>
        <v>49.92</v>
      </c>
      <c r="M16" s="989">
        <f>IF(K16&lt;&gt;0,J16/K16,"0%")</f>
        <v>-0.24305555555555533</v>
      </c>
      <c r="N16" s="1657"/>
      <c r="O16" s="1633"/>
      <c r="P16" s="1635"/>
      <c r="Q16" s="990" t="s">
        <v>95</v>
      </c>
      <c r="R16" s="156" t="s">
        <v>299</v>
      </c>
      <c r="S16" s="155" t="s">
        <v>300</v>
      </c>
    </row>
    <row r="17" spans="1:19" ht="25.25" customHeight="1" thickBot="1" x14ac:dyDescent="0.5">
      <c r="A17" s="1651"/>
      <c r="B17" s="1728"/>
      <c r="C17" s="1730"/>
      <c r="D17" s="1728"/>
      <c r="E17" s="1730"/>
      <c r="F17" s="991" t="s">
        <v>10</v>
      </c>
      <c r="G17" s="992">
        <f t="shared" si="0"/>
        <v>1.1904761904761905</v>
      </c>
      <c r="H17" s="111">
        <v>4.5999999999999996</v>
      </c>
      <c r="I17" s="112">
        <v>2.4</v>
      </c>
      <c r="J17" s="993">
        <f>H17-I17</f>
        <v>2.1999999999999997</v>
      </c>
      <c r="K17" s="994">
        <f>(0.5*I17)*6/10</f>
        <v>0.72</v>
      </c>
      <c r="L17" s="949">
        <f t="shared" si="1"/>
        <v>3.12</v>
      </c>
      <c r="M17" s="950">
        <f>IF(K17&lt;&gt;0,J17/K17,"0%")</f>
        <v>3.0555555555555554</v>
      </c>
      <c r="N17" s="1703"/>
      <c r="O17" s="1634"/>
      <c r="P17" s="1635"/>
      <c r="Q17" s="995" t="s">
        <v>162</v>
      </c>
      <c r="R17" s="156" t="s">
        <v>299</v>
      </c>
      <c r="S17" s="155" t="s">
        <v>301</v>
      </c>
    </row>
    <row r="18" spans="1:19" ht="21.4" thickBot="1" x14ac:dyDescent="0.7">
      <c r="A18" s="14"/>
      <c r="B18" s="1670" t="s">
        <v>11</v>
      </c>
      <c r="C18" s="1671"/>
      <c r="D18" s="1671"/>
      <c r="E18" s="1671"/>
      <c r="F18" s="1672"/>
      <c r="G18" s="996"/>
      <c r="H18" s="127"/>
      <c r="I18" s="128"/>
      <c r="J18" s="997"/>
      <c r="K18" s="997"/>
      <c r="L18" s="997"/>
      <c r="M18" s="998"/>
      <c r="N18" s="911">
        <f>N19</f>
        <v>-5.2378977916771013E-2</v>
      </c>
      <c r="O18" s="912">
        <f>O19</f>
        <v>0</v>
      </c>
      <c r="P18" s="913">
        <f>O18/3.571428</f>
        <v>0</v>
      </c>
      <c r="Q18" s="997"/>
      <c r="R18" s="15"/>
      <c r="S18" s="16"/>
    </row>
    <row r="19" spans="1:19" ht="34.25" customHeight="1" thickBot="1" x14ac:dyDescent="0.5">
      <c r="A19" s="1617">
        <v>4</v>
      </c>
      <c r="B19" s="1618" t="s">
        <v>12</v>
      </c>
      <c r="C19" s="1678">
        <f>M5</f>
        <v>3.5714285714285716</v>
      </c>
      <c r="D19" s="999" t="s">
        <v>114</v>
      </c>
      <c r="E19" s="931">
        <f>$C$19/4</f>
        <v>0.8928571428571429</v>
      </c>
      <c r="F19" s="1000" t="s">
        <v>222</v>
      </c>
      <c r="G19" s="978">
        <f>E19/1</f>
        <v>0.8928571428571429</v>
      </c>
      <c r="H19" s="101">
        <v>18</v>
      </c>
      <c r="I19" s="106">
        <v>12.1</v>
      </c>
      <c r="J19" s="1001">
        <f>H19-I19</f>
        <v>5.9</v>
      </c>
      <c r="K19" s="980">
        <f>(2*I19)*6/10</f>
        <v>14.52</v>
      </c>
      <c r="L19" s="1002">
        <f t="shared" ref="L19:L22" si="2">K19+I19</f>
        <v>26.619999999999997</v>
      </c>
      <c r="M19" s="935">
        <f>IF(K19&lt;&gt;0,J19/K19,"0%")</f>
        <v>0.40633608815427003</v>
      </c>
      <c r="N19" s="1721">
        <f>(((G19/C19)*M19)+((G20/C19)*M20)+((G21/C19)*M21)+((G22/C19)*M22))</f>
        <v>-5.2378977916771013E-2</v>
      </c>
      <c r="O19" s="1723">
        <f>IF((((G19/C19)*M19)+((G20/C19)*M20)+((G21/C19)*M21)+((G22/C19)*M22))&gt;=1,3.571428,IF((((G19/C19)*M19)+((G20/C19)*M20)+((G21/C19)*M21)+((G22/C19)*M22))&lt;=0,0,((((G19/C19)*M19)+((G20/C19)*M20)+((G21/C19)*M21)+((G22/C19)*M22))*3.571428)))</f>
        <v>0</v>
      </c>
      <c r="P19" s="1630">
        <f>O19/3.571428</f>
        <v>0</v>
      </c>
      <c r="Q19" s="1003" t="s">
        <v>163</v>
      </c>
      <c r="R19" s="157" t="s">
        <v>302</v>
      </c>
      <c r="S19" s="60" t="s">
        <v>303</v>
      </c>
    </row>
    <row r="20" spans="1:19" ht="39" customHeight="1" thickBot="1" x14ac:dyDescent="0.5">
      <c r="A20" s="1617"/>
      <c r="B20" s="1619"/>
      <c r="C20" s="1685"/>
      <c r="D20" s="1004" t="s">
        <v>152</v>
      </c>
      <c r="E20" s="1005">
        <f>($C$19/4)</f>
        <v>0.8928571428571429</v>
      </c>
      <c r="F20" s="1006" t="s">
        <v>265</v>
      </c>
      <c r="G20" s="983">
        <f>E20/1</f>
        <v>0.8928571428571429</v>
      </c>
      <c r="H20" s="101">
        <v>65.3</v>
      </c>
      <c r="I20" s="106">
        <v>70.2</v>
      </c>
      <c r="J20" s="1007">
        <f t="shared" ref="J20:J24" si="3">H20-I20</f>
        <v>-4.9000000000000057</v>
      </c>
      <c r="K20" s="987">
        <f>(100-I20)*(6/10)</f>
        <v>17.88</v>
      </c>
      <c r="L20" s="1008">
        <f t="shared" si="2"/>
        <v>88.08</v>
      </c>
      <c r="M20" s="935">
        <f>IF(K20&lt;&gt;0,J20/K20,"0%")</f>
        <v>-0.27404921700223744</v>
      </c>
      <c r="N20" s="1722"/>
      <c r="O20" s="1633"/>
      <c r="P20" s="1635"/>
      <c r="Q20" s="1009" t="s">
        <v>164</v>
      </c>
      <c r="R20" s="158" t="s">
        <v>299</v>
      </c>
      <c r="S20" s="62"/>
    </row>
    <row r="21" spans="1:19" ht="56.45" customHeight="1" thickBot="1" x14ac:dyDescent="0.5">
      <c r="A21" s="1617"/>
      <c r="B21" s="1619"/>
      <c r="C21" s="1685"/>
      <c r="D21" s="1004" t="s">
        <v>153</v>
      </c>
      <c r="E21" s="1005">
        <f t="shared" ref="E21:E22" si="4">($C$19/4)</f>
        <v>0.8928571428571429</v>
      </c>
      <c r="F21" s="1006" t="s">
        <v>155</v>
      </c>
      <c r="G21" s="983">
        <f>E21/1</f>
        <v>0.8928571428571429</v>
      </c>
      <c r="H21" s="477"/>
      <c r="I21" s="491"/>
      <c r="J21" s="1007">
        <f t="shared" si="3"/>
        <v>0</v>
      </c>
      <c r="K21" s="987">
        <f>(0.3*I21)*6/10</f>
        <v>0</v>
      </c>
      <c r="L21" s="1008">
        <f t="shared" si="2"/>
        <v>0</v>
      </c>
      <c r="M21" s="989" t="str">
        <f>IF(K21&lt;&gt;0,J21/K21,"0%")</f>
        <v>0%</v>
      </c>
      <c r="N21" s="1722"/>
      <c r="O21" s="1633"/>
      <c r="P21" s="1635"/>
      <c r="Q21" s="1009" t="s">
        <v>165</v>
      </c>
      <c r="R21" s="159"/>
      <c r="S21" s="237" t="s">
        <v>648</v>
      </c>
    </row>
    <row r="22" spans="1:19" ht="36.6" customHeight="1" thickBot="1" x14ac:dyDescent="0.5">
      <c r="A22" s="1617"/>
      <c r="B22" s="1724"/>
      <c r="C22" s="1725"/>
      <c r="D22" s="966" t="s">
        <v>154</v>
      </c>
      <c r="E22" s="1010">
        <f t="shared" si="4"/>
        <v>0.8928571428571429</v>
      </c>
      <c r="F22" s="1011" t="s">
        <v>156</v>
      </c>
      <c r="G22" s="1012">
        <f>E22/1</f>
        <v>0.8928571428571429</v>
      </c>
      <c r="H22" s="101">
        <v>33.6</v>
      </c>
      <c r="I22" s="106">
        <v>44.9</v>
      </c>
      <c r="J22" s="1013">
        <f t="shared" si="3"/>
        <v>-11.299999999999997</v>
      </c>
      <c r="K22" s="994">
        <f>(100-I22)*(6/10)</f>
        <v>33.06</v>
      </c>
      <c r="L22" s="1014">
        <f t="shared" si="2"/>
        <v>77.960000000000008</v>
      </c>
      <c r="M22" s="950">
        <f>IF(K22&lt;&gt;0,J22/K22,"100%")</f>
        <v>-0.34180278281911664</v>
      </c>
      <c r="N22" s="1726"/>
      <c r="O22" s="1634"/>
      <c r="P22" s="1631"/>
      <c r="Q22" s="1015" t="s">
        <v>95</v>
      </c>
      <c r="R22" s="158" t="s">
        <v>299</v>
      </c>
      <c r="S22" s="62"/>
    </row>
    <row r="23" spans="1:19" ht="20.45" customHeight="1" thickBot="1" x14ac:dyDescent="0.5">
      <c r="B23" s="1614" t="s">
        <v>13</v>
      </c>
      <c r="C23" s="1615"/>
      <c r="D23" s="1615"/>
      <c r="E23" s="1615"/>
      <c r="F23" s="1616"/>
      <c r="G23" s="996"/>
      <c r="H23" s="127"/>
      <c r="I23" s="128"/>
      <c r="J23" s="1016"/>
      <c r="K23" s="1017"/>
      <c r="L23" s="1017"/>
      <c r="M23" s="1018"/>
      <c r="N23" s="911">
        <f>N24</f>
        <v>0.50057783470804529</v>
      </c>
      <c r="O23" s="912">
        <f>O24</f>
        <v>1.7877776950556847</v>
      </c>
      <c r="P23" s="913">
        <f>O23/3.571428</f>
        <v>0.50057783470804529</v>
      </c>
      <c r="Q23" s="997"/>
      <c r="R23" s="17"/>
      <c r="S23" s="17"/>
    </row>
    <row r="24" spans="1:19" ht="36" customHeight="1" x14ac:dyDescent="0.45">
      <c r="A24" s="1617">
        <v>5</v>
      </c>
      <c r="B24" s="1618" t="s">
        <v>14</v>
      </c>
      <c r="C24" s="1678">
        <f>M5</f>
        <v>3.5714285714285716</v>
      </c>
      <c r="D24" s="999" t="s">
        <v>115</v>
      </c>
      <c r="E24" s="931">
        <f>$C$24/4</f>
        <v>0.8928571428571429</v>
      </c>
      <c r="F24" s="999" t="s">
        <v>280</v>
      </c>
      <c r="G24" s="931">
        <f>E24/1</f>
        <v>0.8928571428571429</v>
      </c>
      <c r="H24" s="113">
        <v>32.4</v>
      </c>
      <c r="I24" s="1019">
        <v>28.4</v>
      </c>
      <c r="J24" s="1020">
        <f t="shared" si="3"/>
        <v>4</v>
      </c>
      <c r="K24" s="980">
        <f>(0.3*I24)*6/10</f>
        <v>5.1120000000000001</v>
      </c>
      <c r="L24" s="1002">
        <f>K24+I24</f>
        <v>33.512</v>
      </c>
      <c r="M24" s="935">
        <f t="shared" ref="M24:M31" si="5">IF(K24&lt;&gt;0,J24/K24,"0%")</f>
        <v>0.78247261345852892</v>
      </c>
      <c r="N24" s="1721">
        <f>(((G24/C24)*M24)+((G25/C24)*M25)+ ((G26/C24)*M26)+((G27/C24)*M27)+((G28/C24)*M28)+((G29/C24)*M29)+((G30/C24)*M30)+((G31/C24)*M31))</f>
        <v>0.50057783470804529</v>
      </c>
      <c r="O24" s="1723">
        <f>IF((((G24/C24)*M24)+((G25/C24)*M25)+ ((G26/C24)*M26)+((G27/C24)*M27)+((G28/C24)*M28)+((G29/C24)*M29)+((G30/C24)*M30)+((G31/C24)*M31))&gt;=1,3.571428,IF((((G24/C24)*M24)+((G25/C24)*M25)+ ((G26/C24)*M26)+((G27/C24)*M27)+((G28/C24)*M28)+((G29/C24)*M29)+((G30/C24)*M30)+((G31/C24)*M31))&lt;=0,0,((((G24/C24)*M24)+((G25/C24)*M25)+ ((G26/C24)*M26)+((G27/C24)*M27)+((G28/C24)*M28)+((G29/C24)*M29)+((G30/C24)*M30)+((G31/C24)*M31))*3.571428)))</f>
        <v>1.7877776950556847</v>
      </c>
      <c r="P24" s="1630">
        <f>O24/3.571428</f>
        <v>0.50057783470804529</v>
      </c>
      <c r="Q24" s="1021" t="s">
        <v>166</v>
      </c>
      <c r="R24" s="158" t="s">
        <v>304</v>
      </c>
      <c r="S24" s="158" t="s">
        <v>305</v>
      </c>
    </row>
    <row r="25" spans="1:19" ht="19.8" customHeight="1" x14ac:dyDescent="0.45">
      <c r="A25" s="1617"/>
      <c r="B25" s="1619"/>
      <c r="C25" s="1685"/>
      <c r="D25" s="1625" t="s">
        <v>158</v>
      </c>
      <c r="E25" s="1688">
        <v>0.9</v>
      </c>
      <c r="F25" s="1004" t="s">
        <v>15</v>
      </c>
      <c r="G25" s="1005">
        <f>$E$25/3</f>
        <v>0.3</v>
      </c>
      <c r="H25" s="113">
        <v>391</v>
      </c>
      <c r="I25" s="1019">
        <v>397</v>
      </c>
      <c r="J25" s="1022">
        <f t="shared" ref="J25:J30" si="6">I25-H25</f>
        <v>6</v>
      </c>
      <c r="K25" s="987">
        <f>(0.5*I25)*6/10</f>
        <v>119.1</v>
      </c>
      <c r="L25" s="1008">
        <f t="shared" ref="L25:L30" si="7">I25-K25</f>
        <v>277.89999999999998</v>
      </c>
      <c r="M25" s="989">
        <f t="shared" si="5"/>
        <v>5.0377833753148617E-2</v>
      </c>
      <c r="N25" s="1722"/>
      <c r="O25" s="1633"/>
      <c r="P25" s="1635"/>
      <c r="Q25" s="1023" t="s">
        <v>167</v>
      </c>
      <c r="R25" s="158" t="s">
        <v>306</v>
      </c>
      <c r="S25" s="62"/>
    </row>
    <row r="26" spans="1:19" ht="19.8" customHeight="1" x14ac:dyDescent="0.45">
      <c r="A26" s="1617"/>
      <c r="B26" s="1619"/>
      <c r="C26" s="1685"/>
      <c r="D26" s="1713"/>
      <c r="E26" s="1714"/>
      <c r="F26" s="1004" t="s">
        <v>16</v>
      </c>
      <c r="G26" s="1005">
        <f t="shared" ref="G26:G27" si="8">$E$25/3</f>
        <v>0.3</v>
      </c>
      <c r="H26" s="113">
        <v>30</v>
      </c>
      <c r="I26" s="1019">
        <v>37.799999999999997</v>
      </c>
      <c r="J26" s="1022">
        <f t="shared" si="6"/>
        <v>7.7999999999999972</v>
      </c>
      <c r="K26" s="987">
        <f>(0.8*I26)*6/10</f>
        <v>18.143999999999998</v>
      </c>
      <c r="L26" s="1008">
        <f t="shared" si="7"/>
        <v>19.655999999999999</v>
      </c>
      <c r="M26" s="989">
        <f t="shared" si="5"/>
        <v>0.42989417989417977</v>
      </c>
      <c r="N26" s="1722"/>
      <c r="O26" s="1633"/>
      <c r="P26" s="1635"/>
      <c r="Q26" s="1023" t="s">
        <v>168</v>
      </c>
      <c r="R26" s="158" t="s">
        <v>307</v>
      </c>
      <c r="S26" s="158" t="s">
        <v>308</v>
      </c>
    </row>
    <row r="27" spans="1:19" ht="19.8" customHeight="1" x14ac:dyDescent="0.45">
      <c r="A27" s="1617"/>
      <c r="B27" s="1619"/>
      <c r="C27" s="1685"/>
      <c r="D27" s="1713"/>
      <c r="E27" s="1714"/>
      <c r="F27" s="1004" t="s">
        <v>17</v>
      </c>
      <c r="G27" s="1005">
        <f t="shared" si="8"/>
        <v>0.3</v>
      </c>
      <c r="H27" s="113">
        <v>96</v>
      </c>
      <c r="I27" s="1019">
        <v>115.2</v>
      </c>
      <c r="J27" s="1022">
        <f t="shared" si="6"/>
        <v>19.200000000000003</v>
      </c>
      <c r="K27" s="987">
        <f>(0.5*I27)*(6/10)</f>
        <v>34.56</v>
      </c>
      <c r="L27" s="1008">
        <f t="shared" si="7"/>
        <v>80.64</v>
      </c>
      <c r="M27" s="989">
        <f t="shared" si="5"/>
        <v>0.55555555555555558</v>
      </c>
      <c r="N27" s="1722"/>
      <c r="O27" s="1633"/>
      <c r="P27" s="1635"/>
      <c r="Q27" s="1023" t="s">
        <v>169</v>
      </c>
      <c r="R27" s="158" t="s">
        <v>307</v>
      </c>
      <c r="S27" s="158" t="s">
        <v>309</v>
      </c>
    </row>
    <row r="28" spans="1:19" ht="30.6" customHeight="1" x14ac:dyDescent="0.45">
      <c r="A28" s="22"/>
      <c r="B28" s="1619"/>
      <c r="C28" s="1685"/>
      <c r="D28" s="1625" t="s">
        <v>116</v>
      </c>
      <c r="E28" s="1688">
        <f t="shared" ref="E28:E31" si="9">$C$24/4</f>
        <v>0.8928571428571429</v>
      </c>
      <c r="F28" s="1004" t="s">
        <v>148</v>
      </c>
      <c r="G28" s="1005">
        <f>$E$28/3</f>
        <v>0.29761904761904762</v>
      </c>
      <c r="H28" s="113">
        <v>1.55</v>
      </c>
      <c r="I28" s="107">
        <v>2.16</v>
      </c>
      <c r="J28" s="1022">
        <f t="shared" si="6"/>
        <v>0.6100000000000001</v>
      </c>
      <c r="K28" s="987">
        <f>(0.5*I28)*(6/10)</f>
        <v>0.64800000000000002</v>
      </c>
      <c r="L28" s="1008">
        <f t="shared" si="7"/>
        <v>1.512</v>
      </c>
      <c r="M28" s="989">
        <f t="shared" si="5"/>
        <v>0.9413580246913581</v>
      </c>
      <c r="N28" s="1658"/>
      <c r="O28" s="1633"/>
      <c r="P28" s="1635"/>
      <c r="Q28" s="1023" t="s">
        <v>170</v>
      </c>
      <c r="R28" s="158" t="s">
        <v>310</v>
      </c>
      <c r="S28" s="158" t="s">
        <v>311</v>
      </c>
    </row>
    <row r="29" spans="1:19" ht="20.45" customHeight="1" x14ac:dyDescent="0.45">
      <c r="A29" s="22"/>
      <c r="B29" s="1619"/>
      <c r="C29" s="1685"/>
      <c r="D29" s="1713"/>
      <c r="E29" s="1714"/>
      <c r="F29" s="1004" t="s">
        <v>149</v>
      </c>
      <c r="G29" s="1005">
        <f t="shared" ref="G29:G30" si="10">$E$28/3</f>
        <v>0.29761904761904762</v>
      </c>
      <c r="H29" s="113">
        <v>0.31</v>
      </c>
      <c r="I29" s="107">
        <v>0.34</v>
      </c>
      <c r="J29" s="1022">
        <f t="shared" si="6"/>
        <v>3.0000000000000027E-2</v>
      </c>
      <c r="K29" s="987">
        <f>(0.5*I29)*(6/10)</f>
        <v>0.10200000000000001</v>
      </c>
      <c r="L29" s="1008">
        <f t="shared" si="7"/>
        <v>0.23800000000000002</v>
      </c>
      <c r="M29" s="989">
        <f t="shared" si="5"/>
        <v>0.29411764705882376</v>
      </c>
      <c r="N29" s="1658"/>
      <c r="O29" s="1633"/>
      <c r="P29" s="1635"/>
      <c r="Q29" s="1023" t="s">
        <v>171</v>
      </c>
      <c r="R29" s="158" t="s">
        <v>312</v>
      </c>
      <c r="S29" s="158" t="s">
        <v>313</v>
      </c>
    </row>
    <row r="30" spans="1:19" ht="20.45" customHeight="1" x14ac:dyDescent="0.45">
      <c r="A30" s="22"/>
      <c r="B30" s="1718"/>
      <c r="C30" s="1714"/>
      <c r="D30" s="1713"/>
      <c r="E30" s="1714"/>
      <c r="F30" s="1004" t="s">
        <v>150</v>
      </c>
      <c r="G30" s="1005">
        <f t="shared" si="10"/>
        <v>0.29761904761904762</v>
      </c>
      <c r="H30" s="113">
        <v>1.66</v>
      </c>
      <c r="I30" s="107">
        <v>1.69</v>
      </c>
      <c r="J30" s="1022">
        <f t="shared" si="6"/>
        <v>3.0000000000000027E-2</v>
      </c>
      <c r="K30" s="987">
        <f>(0.5*I30)*(6/10)</f>
        <v>0.50700000000000001</v>
      </c>
      <c r="L30" s="1008">
        <f t="shared" si="7"/>
        <v>1.1829999999999998</v>
      </c>
      <c r="M30" s="989">
        <f t="shared" si="5"/>
        <v>5.9171597633136147E-2</v>
      </c>
      <c r="N30" s="1658"/>
      <c r="O30" s="1633"/>
      <c r="P30" s="1635"/>
      <c r="Q30" s="1023" t="s">
        <v>172</v>
      </c>
      <c r="R30" s="158" t="s">
        <v>314</v>
      </c>
      <c r="S30" s="158" t="s">
        <v>313</v>
      </c>
    </row>
    <row r="31" spans="1:19" ht="34.9" customHeight="1" thickBot="1" x14ac:dyDescent="0.5">
      <c r="A31" s="22"/>
      <c r="B31" s="1719"/>
      <c r="C31" s="1720"/>
      <c r="D31" s="1024" t="s">
        <v>117</v>
      </c>
      <c r="E31" s="944">
        <f t="shared" si="9"/>
        <v>0.8928571428571429</v>
      </c>
      <c r="F31" s="1025" t="s">
        <v>223</v>
      </c>
      <c r="G31" s="944">
        <f>E31/1</f>
        <v>0.8928571428571429</v>
      </c>
      <c r="H31" s="115">
        <v>61</v>
      </c>
      <c r="I31" s="114">
        <v>47</v>
      </c>
      <c r="J31" s="1026">
        <f t="shared" ref="J31" si="11">H31-I31</f>
        <v>14</v>
      </c>
      <c r="K31" s="994">
        <f>(100-I31)*(6/10)</f>
        <v>31.799999999999997</v>
      </c>
      <c r="L31" s="1014">
        <f>K31+I31</f>
        <v>78.8</v>
      </c>
      <c r="M31" s="971">
        <f t="shared" si="5"/>
        <v>0.44025157232704404</v>
      </c>
      <c r="N31" s="1659"/>
      <c r="O31" s="1634"/>
      <c r="P31" s="1631"/>
      <c r="Q31" s="1027" t="s">
        <v>95</v>
      </c>
      <c r="R31" s="158" t="s">
        <v>315</v>
      </c>
      <c r="S31" s="158" t="s">
        <v>316</v>
      </c>
    </row>
    <row r="32" spans="1:19" ht="20.45" customHeight="1" thickBot="1" x14ac:dyDescent="0.5">
      <c r="B32" s="1715" t="s">
        <v>18</v>
      </c>
      <c r="C32" s="1716"/>
      <c r="D32" s="1716"/>
      <c r="E32" s="1716"/>
      <c r="F32" s="1717"/>
      <c r="G32" s="996"/>
      <c r="H32" s="129"/>
      <c r="I32" s="130"/>
      <c r="J32" s="1028"/>
      <c r="K32" s="1029"/>
      <c r="L32" s="1030"/>
      <c r="M32" s="1031"/>
      <c r="N32" s="911">
        <f>(N33+N34+N35+N36)/4</f>
        <v>-6.3123547291256951E-2</v>
      </c>
      <c r="O32" s="912">
        <f>(O33+O34+O35+O36)</f>
        <v>0.12664638297872297</v>
      </c>
      <c r="P32" s="913">
        <f>O32/14.285712</f>
        <v>8.865248226950324E-3</v>
      </c>
      <c r="Q32" s="997"/>
      <c r="R32" s="16"/>
      <c r="S32" s="16"/>
    </row>
    <row r="33" spans="1:19" ht="33.6" customHeight="1" thickBot="1" x14ac:dyDescent="0.5">
      <c r="A33" s="22">
        <v>6</v>
      </c>
      <c r="B33" s="1032" t="s">
        <v>19</v>
      </c>
      <c r="C33" s="1033">
        <f>$M$5</f>
        <v>3.5714285714285716</v>
      </c>
      <c r="D33" s="1034" t="s">
        <v>287</v>
      </c>
      <c r="E33" s="1035">
        <f>C33/1</f>
        <v>3.5714285714285716</v>
      </c>
      <c r="F33" s="1032" t="s">
        <v>288</v>
      </c>
      <c r="G33" s="1033">
        <f>E33/1</f>
        <v>3.5714285714285716</v>
      </c>
      <c r="H33" s="116">
        <v>6.7</v>
      </c>
      <c r="I33" s="131">
        <v>7.2</v>
      </c>
      <c r="J33" s="1036">
        <f>IF(H33&lt;7,(H33-7),(H33-I33))</f>
        <v>-0.29999999999999982</v>
      </c>
      <c r="K33" s="1037">
        <f>IF((7-H33&gt;=0),(7-H33),0)</f>
        <v>0.29999999999999982</v>
      </c>
      <c r="L33" s="1038">
        <f>IF((I33&lt;7),7,I33)</f>
        <v>7.2</v>
      </c>
      <c r="M33" s="1039">
        <f>IF(K33&lt;&gt;0,J33/7,(1+((H33-I33)/I33)))</f>
        <v>-4.285714285714283E-2</v>
      </c>
      <c r="N33" s="1040">
        <f>((G33/C33)*M33)</f>
        <v>-4.285714285714283E-2</v>
      </c>
      <c r="O33" s="1041">
        <f>IF(((G33/C33)*M33)&gt;=1,3.571428,IF(((G33/C33)*M33)&lt;=0,0,((G33/C33)*M33)*3.571428))</f>
        <v>0</v>
      </c>
      <c r="P33" s="913">
        <f>O33/3.571428</f>
        <v>0</v>
      </c>
      <c r="Q33" s="1042" t="s">
        <v>97</v>
      </c>
      <c r="R33" s="160" t="s">
        <v>317</v>
      </c>
      <c r="S33" s="155" t="s">
        <v>318</v>
      </c>
    </row>
    <row r="34" spans="1:19" ht="51" customHeight="1" thickBot="1" x14ac:dyDescent="0.5">
      <c r="A34" s="22">
        <v>7</v>
      </c>
      <c r="B34" s="1032" t="s">
        <v>20</v>
      </c>
      <c r="C34" s="1033">
        <f t="shared" ref="C34:C36" si="12">$M$5</f>
        <v>3.5714285714285716</v>
      </c>
      <c r="D34" s="1032" t="s">
        <v>118</v>
      </c>
      <c r="E34" s="1035">
        <f t="shared" ref="E34:E36" si="13">C34/1</f>
        <v>3.5714285714285716</v>
      </c>
      <c r="F34" s="1032" t="s">
        <v>21</v>
      </c>
      <c r="G34" s="1033">
        <f>E34/1</f>
        <v>3.5714285714285716</v>
      </c>
      <c r="H34" s="314">
        <v>9.5</v>
      </c>
      <c r="I34" s="1043">
        <v>9.4</v>
      </c>
      <c r="J34" s="1044">
        <f>H34-I34</f>
        <v>9.9999999999999645E-2</v>
      </c>
      <c r="K34" s="1045">
        <f>(0.5*I34)*(6/10)</f>
        <v>2.82</v>
      </c>
      <c r="L34" s="1046">
        <f>K34+I34</f>
        <v>12.22</v>
      </c>
      <c r="M34" s="1039">
        <f>IF(K34&lt;&gt;0,J34/K34,"0%")</f>
        <v>3.5460992907801296E-2</v>
      </c>
      <c r="N34" s="1040">
        <f>((G34/C34)*M34)</f>
        <v>3.5460992907801296E-2</v>
      </c>
      <c r="O34" s="1041">
        <f>IF(((G34/C34)*M34)&gt;=1,3.571428,IF(((G34/C34)*M34)&lt;=0,0,((G34/C34)*M34)*3.571428))</f>
        <v>0.12664638297872297</v>
      </c>
      <c r="P34" s="913">
        <f t="shared" ref="P34:P36" si="14">O34/3.571428</f>
        <v>3.5460992907801296E-2</v>
      </c>
      <c r="Q34" s="1042" t="s">
        <v>173</v>
      </c>
      <c r="R34" s="160" t="s">
        <v>292</v>
      </c>
      <c r="S34" s="155" t="s">
        <v>319</v>
      </c>
    </row>
    <row r="35" spans="1:19" ht="40.799999999999997" customHeight="1" thickBot="1" x14ac:dyDescent="0.5">
      <c r="A35" s="22">
        <v>8</v>
      </c>
      <c r="B35" s="1032" t="s">
        <v>22</v>
      </c>
      <c r="C35" s="1033">
        <f t="shared" si="12"/>
        <v>3.5714285714285716</v>
      </c>
      <c r="D35" s="1032" t="s">
        <v>119</v>
      </c>
      <c r="E35" s="1035">
        <f t="shared" si="13"/>
        <v>3.5714285714285716</v>
      </c>
      <c r="F35" s="1032" t="s">
        <v>23</v>
      </c>
      <c r="G35" s="1033">
        <f>E35/1</f>
        <v>3.5714285714285716</v>
      </c>
      <c r="H35" s="472"/>
      <c r="I35" s="511"/>
      <c r="J35" s="1047">
        <f>H35-I35</f>
        <v>0</v>
      </c>
      <c r="K35" s="1048">
        <f>IF((I35&gt;=1),0,((1-I35)*0.6))</f>
        <v>0.6</v>
      </c>
      <c r="L35" s="1038">
        <f>I35+K35</f>
        <v>0.6</v>
      </c>
      <c r="M35" s="1039">
        <f>IF(K35&lt;&gt;0,J35/K35,"0%")</f>
        <v>0</v>
      </c>
      <c r="N35" s="1040">
        <f>((G35/C35)*M35)</f>
        <v>0</v>
      </c>
      <c r="O35" s="1041">
        <f>IF(((G35/C35)*M35)&gt;=1,3.571428,IF(((G35/C35)*M35)&lt;=0,0,((G35/C35)*M35)*3.571428))</f>
        <v>0</v>
      </c>
      <c r="P35" s="913">
        <f t="shared" si="14"/>
        <v>0</v>
      </c>
      <c r="Q35" s="1042" t="s">
        <v>174</v>
      </c>
      <c r="R35" s="161"/>
      <c r="S35" s="193" t="s">
        <v>649</v>
      </c>
    </row>
    <row r="36" spans="1:19" ht="32.450000000000003" customHeight="1" thickBot="1" x14ac:dyDescent="0.5">
      <c r="A36" s="22">
        <v>9</v>
      </c>
      <c r="B36" s="1032" t="s">
        <v>24</v>
      </c>
      <c r="C36" s="1033">
        <f t="shared" si="12"/>
        <v>3.5714285714285716</v>
      </c>
      <c r="D36" s="1032" t="s">
        <v>275</v>
      </c>
      <c r="E36" s="1035">
        <f t="shared" si="13"/>
        <v>3.5714285714285716</v>
      </c>
      <c r="F36" s="1049" t="s">
        <v>25</v>
      </c>
      <c r="G36" s="1033">
        <f>E36/1</f>
        <v>3.5714285714285716</v>
      </c>
      <c r="H36" s="314">
        <v>2.9</v>
      </c>
      <c r="I36" s="1043">
        <v>3.4</v>
      </c>
      <c r="J36" s="1050">
        <f>H36-I36</f>
        <v>-0.5</v>
      </c>
      <c r="K36" s="1051">
        <f>(1*I36)*(6/10)</f>
        <v>2.04</v>
      </c>
      <c r="L36" s="1052">
        <f>I36+K36</f>
        <v>5.4399999999999995</v>
      </c>
      <c r="M36" s="1039">
        <f>IF(K36&lt;&gt;0,J36/K36,"0%")</f>
        <v>-0.24509803921568626</v>
      </c>
      <c r="N36" s="1040">
        <f>((G36/C36)*M36)</f>
        <v>-0.24509803921568626</v>
      </c>
      <c r="O36" s="1041">
        <f>IF(((G36/C36)*M36)&gt;=1,3.571428,IF(((G36/C36)*M36)&lt;=0,0,((G36/C36)*M36)*3.571428))</f>
        <v>0</v>
      </c>
      <c r="P36" s="913">
        <f t="shared" si="14"/>
        <v>0</v>
      </c>
      <c r="Q36" s="1053" t="s">
        <v>175</v>
      </c>
      <c r="R36" s="160" t="s">
        <v>320</v>
      </c>
      <c r="S36" s="155" t="s">
        <v>321</v>
      </c>
    </row>
    <row r="37" spans="1:19" ht="30.6" customHeight="1" thickBot="1" x14ac:dyDescent="0.5">
      <c r="B37" s="1710" t="s">
        <v>26</v>
      </c>
      <c r="C37" s="1711"/>
      <c r="D37" s="1711"/>
      <c r="E37" s="1711"/>
      <c r="F37" s="1712"/>
      <c r="G37" s="1054"/>
      <c r="H37" s="132"/>
      <c r="I37" s="133"/>
      <c r="J37" s="1055"/>
      <c r="K37" s="1056"/>
      <c r="L37" s="1056"/>
      <c r="M37" s="1057"/>
      <c r="N37" s="911">
        <f>N38</f>
        <v>-3.3205534935898777E-2</v>
      </c>
      <c r="O37" s="912">
        <f>O38</f>
        <v>0</v>
      </c>
      <c r="P37" s="913">
        <f>O37/3.571428</f>
        <v>0</v>
      </c>
      <c r="Q37" s="1058"/>
      <c r="R37" s="15"/>
      <c r="S37" s="16"/>
    </row>
    <row r="38" spans="1:19" ht="25.8" customHeight="1" thickBot="1" x14ac:dyDescent="0.5">
      <c r="A38" s="1617">
        <v>10</v>
      </c>
      <c r="B38" s="1618" t="s">
        <v>27</v>
      </c>
      <c r="C38" s="1678">
        <f>M5</f>
        <v>3.5714285714285716</v>
      </c>
      <c r="D38" s="977" t="s">
        <v>120</v>
      </c>
      <c r="E38" s="931">
        <f>$C$38/2</f>
        <v>1.7857142857142858</v>
      </c>
      <c r="F38" s="1059" t="s">
        <v>224</v>
      </c>
      <c r="G38" s="931">
        <f>E38/1</f>
        <v>1.7857142857142858</v>
      </c>
      <c r="H38" s="314">
        <v>1.4588648939998099</v>
      </c>
      <c r="I38" s="1043">
        <v>1.5194082088321299</v>
      </c>
      <c r="J38" s="1060">
        <f>H38-I38</f>
        <v>-6.0543314832320005E-2</v>
      </c>
      <c r="K38" s="1061">
        <f>(1*I38)*(6/10)</f>
        <v>0.91164492529927788</v>
      </c>
      <c r="L38" s="1062">
        <f>I38+K38</f>
        <v>2.4310531341314077</v>
      </c>
      <c r="M38" s="935">
        <f>IF(K38&lt;&gt;0,J38/K38,"0%")</f>
        <v>-6.6411069871797554E-2</v>
      </c>
      <c r="N38" s="1702">
        <f>(((G38/C38)*M38)+((G39/C38)*M39))</f>
        <v>-3.3205534935898777E-2</v>
      </c>
      <c r="O38" s="1646">
        <f>IF((((G38/C38)*M38)+((G39/C38)*M39))&gt;=1,3.57148,IF((((G38/C38)*M38)+((G39/C38)*M39))&lt;=0,0, (((G38/C38)*M38)+((G39/C38)*M39))*3.571428))</f>
        <v>0</v>
      </c>
      <c r="P38" s="1630">
        <f>O38/3.571428</f>
        <v>0</v>
      </c>
      <c r="Q38" s="1063" t="s">
        <v>176</v>
      </c>
      <c r="R38" s="69" t="s">
        <v>322</v>
      </c>
      <c r="S38" s="155" t="s">
        <v>323</v>
      </c>
    </row>
    <row r="39" spans="1:19" ht="35.25" thickBot="1" x14ac:dyDescent="0.5">
      <c r="A39" s="1617"/>
      <c r="B39" s="1619"/>
      <c r="C39" s="1685"/>
      <c r="D39" s="982" t="s">
        <v>157</v>
      </c>
      <c r="E39" s="944">
        <f>$C$38/2</f>
        <v>1.7857142857142858</v>
      </c>
      <c r="F39" s="1064" t="s">
        <v>225</v>
      </c>
      <c r="G39" s="1005">
        <f>E39/1</f>
        <v>1.7857142857142858</v>
      </c>
      <c r="H39" s="314">
        <v>15.444897391373241</v>
      </c>
      <c r="I39" s="1043">
        <v>14.494187164456427</v>
      </c>
      <c r="J39" s="1065">
        <f>H39-I39</f>
        <v>0.95071022691681328</v>
      </c>
      <c r="K39" s="1066">
        <f>IF(AND(I39&gt;=10,H39&gt;=I39),0,((10-H39)*(6/10)))</f>
        <v>0</v>
      </c>
      <c r="L39" s="1067">
        <f>I39+K39</f>
        <v>14.494187164456427</v>
      </c>
      <c r="M39" s="950" t="str">
        <f>IF(K39&lt;&gt;0,J39/K39,"0%")</f>
        <v>0%</v>
      </c>
      <c r="N39" s="1657"/>
      <c r="O39" s="1647"/>
      <c r="P39" s="1631"/>
      <c r="Q39" s="1068" t="s">
        <v>95</v>
      </c>
      <c r="R39" s="155" t="s">
        <v>324</v>
      </c>
      <c r="S39" s="155" t="s">
        <v>325</v>
      </c>
    </row>
    <row r="40" spans="1:19" ht="20.45" customHeight="1" thickBot="1" x14ac:dyDescent="0.5">
      <c r="B40" s="1679" t="s">
        <v>28</v>
      </c>
      <c r="C40" s="1680"/>
      <c r="D40" s="1680"/>
      <c r="E40" s="1704"/>
      <c r="F40" s="1681"/>
      <c r="G40" s="1054"/>
      <c r="H40" s="134"/>
      <c r="I40" s="135"/>
      <c r="J40" s="1069"/>
      <c r="K40" s="1070"/>
      <c r="L40" s="1070"/>
      <c r="M40" s="1071"/>
      <c r="N40" s="911">
        <f>N41</f>
        <v>-0.29761904761904762</v>
      </c>
      <c r="O40" s="912">
        <f>O41</f>
        <v>0</v>
      </c>
      <c r="P40" s="913">
        <f>O40/3.571428</f>
        <v>0</v>
      </c>
      <c r="Q40" s="1072"/>
      <c r="R40" s="19"/>
      <c r="S40" s="17"/>
    </row>
    <row r="41" spans="1:19" ht="35.25" thickBot="1" x14ac:dyDescent="0.5">
      <c r="A41" s="1617">
        <v>11</v>
      </c>
      <c r="B41" s="1705" t="s">
        <v>29</v>
      </c>
      <c r="C41" s="1707">
        <f>M5</f>
        <v>3.5714285714285716</v>
      </c>
      <c r="D41" s="1073" t="s">
        <v>121</v>
      </c>
      <c r="E41" s="1074">
        <f>$C$41/2</f>
        <v>1.7857142857142858</v>
      </c>
      <c r="F41" s="956" t="s">
        <v>30</v>
      </c>
      <c r="G41" s="1075">
        <f>E41/1</f>
        <v>1.7857142857142858</v>
      </c>
      <c r="H41" s="314">
        <v>2.2999999999999998</v>
      </c>
      <c r="I41" s="1043">
        <v>2.8</v>
      </c>
      <c r="J41" s="1076">
        <f>H41-I41</f>
        <v>-0.5</v>
      </c>
      <c r="K41" s="1077">
        <f>(0.5*I41)*(6/10)</f>
        <v>0.84</v>
      </c>
      <c r="L41" s="1078">
        <f>I41+K41</f>
        <v>3.6399999999999997</v>
      </c>
      <c r="M41" s="935">
        <f>IF(K41&lt;&gt;0,J41/K41,"0%")</f>
        <v>-0.59523809523809523</v>
      </c>
      <c r="N41" s="1709">
        <f>(((G41/C41)*M41)+(G42/C41)*M42)</f>
        <v>-0.29761904761904762</v>
      </c>
      <c r="O41" s="1646">
        <f>IF((((G41/C41)*M41)+((G42/C41)*M42))&gt;=1,3.57148,IF((((G41/C41)*M41)+((G42/C41)*M42))&lt;=0,0, (((G41/C41)*M41)+((G42/C41)*M42))*3.571428))</f>
        <v>0</v>
      </c>
      <c r="P41" s="1630">
        <f>O41/3.571428</f>
        <v>0</v>
      </c>
      <c r="Q41" s="1079" t="s">
        <v>177</v>
      </c>
      <c r="R41" s="160" t="s">
        <v>320</v>
      </c>
      <c r="S41" s="155" t="s">
        <v>326</v>
      </c>
    </row>
    <row r="42" spans="1:19" ht="23.65" thickBot="1" x14ac:dyDescent="0.5">
      <c r="A42" s="1617"/>
      <c r="B42" s="1706"/>
      <c r="C42" s="1708"/>
      <c r="D42" s="1080" t="s">
        <v>122</v>
      </c>
      <c r="E42" s="1010">
        <f>$C$41/2</f>
        <v>1.7857142857142858</v>
      </c>
      <c r="F42" s="966" t="s">
        <v>31</v>
      </c>
      <c r="G42" s="1081">
        <f>E42/1</f>
        <v>1.7857142857142858</v>
      </c>
      <c r="H42" s="505"/>
      <c r="I42" s="515"/>
      <c r="J42" s="1082">
        <f>H42-I42</f>
        <v>0</v>
      </c>
      <c r="K42" s="969">
        <f>(0.5*I42)*(6/10)</f>
        <v>0</v>
      </c>
      <c r="L42" s="1083">
        <f>I42+K42</f>
        <v>0</v>
      </c>
      <c r="M42" s="950" t="str">
        <f>IF(K42&lt;&gt;0,J42/K42,"0%")</f>
        <v>0%</v>
      </c>
      <c r="N42" s="1709"/>
      <c r="O42" s="1647"/>
      <c r="P42" s="1631"/>
      <c r="Q42" s="1079" t="s">
        <v>95</v>
      </c>
      <c r="R42" s="162"/>
      <c r="S42" s="237" t="s">
        <v>648</v>
      </c>
    </row>
    <row r="43" spans="1:19" ht="30.6" customHeight="1" thickBot="1" x14ac:dyDescent="0.5">
      <c r="B43" s="1670" t="s">
        <v>32</v>
      </c>
      <c r="C43" s="1671"/>
      <c r="D43" s="1671"/>
      <c r="E43" s="1671"/>
      <c r="F43" s="1672"/>
      <c r="G43" s="996"/>
      <c r="H43" s="136"/>
      <c r="I43" s="137"/>
      <c r="J43" s="1084"/>
      <c r="K43" s="1085"/>
      <c r="L43" s="1085"/>
      <c r="M43" s="996"/>
      <c r="N43" s="911">
        <f>N44</f>
        <v>0</v>
      </c>
      <c r="O43" s="912">
        <f>O44</f>
        <v>0</v>
      </c>
      <c r="P43" s="913">
        <f>O43/3.571428</f>
        <v>0</v>
      </c>
      <c r="Q43" s="1086"/>
      <c r="R43" s="17"/>
      <c r="S43" s="17"/>
    </row>
    <row r="44" spans="1:19" ht="37.799999999999997" customHeight="1" thickBot="1" x14ac:dyDescent="0.5">
      <c r="A44" s="1617">
        <v>12</v>
      </c>
      <c r="B44" s="1624" t="s">
        <v>33</v>
      </c>
      <c r="C44" s="1678">
        <f>M5</f>
        <v>3.5714285714285716</v>
      </c>
      <c r="D44" s="999" t="s">
        <v>123</v>
      </c>
      <c r="E44" s="1087">
        <f>C44/2</f>
        <v>1.7857142857142858</v>
      </c>
      <c r="F44" s="999" t="s">
        <v>34</v>
      </c>
      <c r="G44" s="931">
        <f>$E$44/1</f>
        <v>1.7857142857142858</v>
      </c>
      <c r="H44" s="477"/>
      <c r="I44" s="491"/>
      <c r="J44" s="1088">
        <f>IF(I44=H44,(H44-30),H44-I44)</f>
        <v>-30</v>
      </c>
      <c r="K44" s="980">
        <f>IF(I44&gt;=30,0,((30-I44)*(6/10)))</f>
        <v>18</v>
      </c>
      <c r="L44" s="1089">
        <f>I44+K44</f>
        <v>18</v>
      </c>
      <c r="M44" s="950" t="str">
        <f>IF(H44=0,"0%",J44/K44)</f>
        <v>0%</v>
      </c>
      <c r="N44" s="1702">
        <f>(((G44/C44)*M44)+((G45/C44)*M45))</f>
        <v>0</v>
      </c>
      <c r="O44" s="1646">
        <f>IF((((G44/C44)*M44)+((G45/C44)*M45))&gt;=1,3.57148,IF((((G44/C44)*M44)+((G45/C44)*M45))&lt;=0,0, (((G44/C44)*M44)+((G45/C44)*M45))*3.571428))</f>
        <v>0</v>
      </c>
      <c r="P44" s="1630">
        <f>O44/3.571428</f>
        <v>0</v>
      </c>
      <c r="Q44" s="981" t="s">
        <v>178</v>
      </c>
      <c r="R44" s="163"/>
      <c r="S44" s="237" t="s">
        <v>650</v>
      </c>
    </row>
    <row r="45" spans="1:19" ht="35.25" thickBot="1" x14ac:dyDescent="0.5">
      <c r="A45" s="1617"/>
      <c r="B45" s="1626"/>
      <c r="C45" s="1686"/>
      <c r="D45" s="1024" t="s">
        <v>124</v>
      </c>
      <c r="E45" s="1090">
        <f>(C44/2)</f>
        <v>1.7857142857142858</v>
      </c>
      <c r="F45" s="1024" t="s">
        <v>35</v>
      </c>
      <c r="G45" s="944">
        <f>$E$45/1</f>
        <v>1.7857142857142858</v>
      </c>
      <c r="H45" s="475"/>
      <c r="I45" s="492"/>
      <c r="J45" s="1091">
        <f>IF(I45=H45,(H45-17),H45-I45)</f>
        <v>-17</v>
      </c>
      <c r="K45" s="1092">
        <f>IF(I45&gt;=17,0,((17-I45)*(6/10)))</f>
        <v>10.199999999999999</v>
      </c>
      <c r="L45" s="1093">
        <f>I45+K45</f>
        <v>10.199999999999999</v>
      </c>
      <c r="M45" s="1094" t="str">
        <f>IF(K45&lt;&gt;0,"0%",J45/K45)</f>
        <v>0%</v>
      </c>
      <c r="N45" s="1703"/>
      <c r="O45" s="1647"/>
      <c r="P45" s="1631"/>
      <c r="Q45" s="995" t="s">
        <v>179</v>
      </c>
      <c r="R45" s="165"/>
      <c r="S45" s="237" t="s">
        <v>650</v>
      </c>
    </row>
    <row r="46" spans="1:19" ht="30.6" customHeight="1" thickBot="1" x14ac:dyDescent="0.5">
      <c r="B46" s="1694" t="s">
        <v>36</v>
      </c>
      <c r="C46" s="1695"/>
      <c r="D46" s="1695"/>
      <c r="E46" s="1695"/>
      <c r="F46" s="1696"/>
      <c r="G46" s="1095"/>
      <c r="H46" s="138"/>
      <c r="I46" s="139"/>
      <c r="J46" s="1096"/>
      <c r="K46" s="1097"/>
      <c r="L46" s="1097"/>
      <c r="M46" s="1098"/>
      <c r="N46" s="911">
        <f>(N47+N50+N52)/3</f>
        <v>0.3362886126672891</v>
      </c>
      <c r="O46" s="912">
        <f>(O47+O50+O52)</f>
        <v>3.6030917020833337</v>
      </c>
      <c r="P46" s="913">
        <f>O46/10.714284</f>
        <v>0.33628861266728921</v>
      </c>
      <c r="Q46" s="1099"/>
      <c r="R46" s="20"/>
      <c r="S46" s="20"/>
    </row>
    <row r="47" spans="1:19" ht="20.45" customHeight="1" thickBot="1" x14ac:dyDescent="0.5">
      <c r="B47" s="1614" t="s">
        <v>37</v>
      </c>
      <c r="C47" s="1615"/>
      <c r="D47" s="1615"/>
      <c r="E47" s="1615"/>
      <c r="F47" s="1616"/>
      <c r="G47" s="1100"/>
      <c r="H47" s="134"/>
      <c r="I47" s="135"/>
      <c r="J47" s="1101"/>
      <c r="K47" s="1102"/>
      <c r="L47" s="1102"/>
      <c r="M47" s="996"/>
      <c r="N47" s="911">
        <f>N48</f>
        <v>0</v>
      </c>
      <c r="O47" s="912">
        <f>O48</f>
        <v>0</v>
      </c>
      <c r="P47" s="913">
        <f>O47/3.571428</f>
        <v>0</v>
      </c>
      <c r="Q47" s="1086"/>
      <c r="R47" s="17"/>
      <c r="S47" s="17"/>
    </row>
    <row r="48" spans="1:19" ht="37.799999999999997" customHeight="1" x14ac:dyDescent="0.45">
      <c r="A48" s="1617">
        <v>13</v>
      </c>
      <c r="B48" s="1624" t="s">
        <v>38</v>
      </c>
      <c r="C48" s="1678">
        <f>M5</f>
        <v>3.5714285714285716</v>
      </c>
      <c r="D48" s="999" t="s">
        <v>125</v>
      </c>
      <c r="E48" s="931">
        <f>$C$48/2</f>
        <v>1.7857142857142858</v>
      </c>
      <c r="F48" s="1103" t="s">
        <v>289</v>
      </c>
      <c r="G48" s="931">
        <f>E48/1</f>
        <v>1.7857142857142858</v>
      </c>
      <c r="H48" s="477"/>
      <c r="I48" s="491"/>
      <c r="J48" s="1104">
        <f>H48-I48</f>
        <v>0</v>
      </c>
      <c r="K48" s="1105">
        <f>(0.5*I48)* (6/10)</f>
        <v>0</v>
      </c>
      <c r="L48" s="1106">
        <f>I48-K48</f>
        <v>0</v>
      </c>
      <c r="M48" s="962" t="str">
        <f>IF(K48&lt;&gt;0,J48/K48,"0%")</f>
        <v>0%</v>
      </c>
      <c r="N48" s="1700">
        <f>(((G48/C48)*M48)+((G49/C48)*M49))</f>
        <v>0</v>
      </c>
      <c r="O48" s="1646">
        <f>IF((((G48/C48)*M48)+((G49/C48)*M49))&gt;=1,3.57148,IF((((G48/C48)*M48)+((G49/C48)*M49))&lt;=0,0, (((G48/C48)*M48)+((G49/C48)*M49))*3.571428))</f>
        <v>0</v>
      </c>
      <c r="P48" s="1630">
        <f>O48/3.571428</f>
        <v>0</v>
      </c>
      <c r="Q48" s="1021" t="s">
        <v>95</v>
      </c>
      <c r="R48" s="69"/>
      <c r="S48" s="237" t="s">
        <v>648</v>
      </c>
    </row>
    <row r="49" spans="1:19" ht="30.6" customHeight="1" thickBot="1" x14ac:dyDescent="0.5">
      <c r="A49" s="1617"/>
      <c r="B49" s="1626"/>
      <c r="C49" s="1686"/>
      <c r="D49" s="1024" t="s">
        <v>126</v>
      </c>
      <c r="E49" s="944">
        <f>$C$48/2</f>
        <v>1.7857142857142858</v>
      </c>
      <c r="F49" s="1024" t="s">
        <v>290</v>
      </c>
      <c r="G49" s="944">
        <f>E49/1</f>
        <v>1.7857142857142858</v>
      </c>
      <c r="H49" s="498"/>
      <c r="I49" s="516"/>
      <c r="J49" s="1026">
        <f>H49-I49</f>
        <v>0</v>
      </c>
      <c r="K49" s="1107">
        <f>(2*I49)*(6/10)</f>
        <v>0</v>
      </c>
      <c r="L49" s="1108">
        <f>I49+K49</f>
        <v>0</v>
      </c>
      <c r="M49" s="950" t="str">
        <f>IF(K49&lt;&gt;0,J49/K49,"0%")</f>
        <v>0%</v>
      </c>
      <c r="N49" s="1701"/>
      <c r="O49" s="1647"/>
      <c r="P49" s="1631"/>
      <c r="Q49" s="1027" t="s">
        <v>95</v>
      </c>
      <c r="R49" s="162"/>
      <c r="S49" s="237" t="s">
        <v>648</v>
      </c>
    </row>
    <row r="50" spans="1:19" ht="15" customHeight="1" thickBot="1" x14ac:dyDescent="0.5">
      <c r="B50" s="1670" t="s">
        <v>39</v>
      </c>
      <c r="C50" s="1671"/>
      <c r="D50" s="1671"/>
      <c r="E50" s="1671"/>
      <c r="F50" s="1672"/>
      <c r="G50" s="1109"/>
      <c r="H50" s="140"/>
      <c r="I50" s="141"/>
      <c r="J50" s="1110"/>
      <c r="K50" s="1110"/>
      <c r="L50" s="1110"/>
      <c r="M50" s="1111"/>
      <c r="N50" s="911">
        <f>N51</f>
        <v>0.83333333333333337</v>
      </c>
      <c r="O50" s="912">
        <f>O51</f>
        <v>2.9761900000000003</v>
      </c>
      <c r="P50" s="913">
        <f>O50/3.571428</f>
        <v>0.83333333333333337</v>
      </c>
      <c r="Q50" s="1112"/>
      <c r="R50" s="18"/>
      <c r="S50" s="18"/>
    </row>
    <row r="51" spans="1:19" ht="30.6" customHeight="1" thickBot="1" x14ac:dyDescent="0.5">
      <c r="A51" s="21">
        <v>14</v>
      </c>
      <c r="B51" s="1113" t="s">
        <v>226</v>
      </c>
      <c r="C51" s="1114">
        <f>M5</f>
        <v>3.5714285714285716</v>
      </c>
      <c r="D51" s="1115" t="s">
        <v>272</v>
      </c>
      <c r="E51" s="1116">
        <f>C51</f>
        <v>3.5714285714285716</v>
      </c>
      <c r="F51" s="1117" t="s">
        <v>266</v>
      </c>
      <c r="G51" s="1118">
        <f>E51/1</f>
        <v>3.5714285714285716</v>
      </c>
      <c r="H51" s="461">
        <v>50</v>
      </c>
      <c r="I51" s="462">
        <v>0</v>
      </c>
      <c r="J51" s="1119">
        <f>H51-I51</f>
        <v>50</v>
      </c>
      <c r="K51" s="1120">
        <f>(100-I51)*(6/10)</f>
        <v>60</v>
      </c>
      <c r="L51" s="1121">
        <f>I51+K51</f>
        <v>60</v>
      </c>
      <c r="M51" s="971">
        <f>IF(K51&lt;&gt;0,J51/K51,"100%")</f>
        <v>0.83333333333333337</v>
      </c>
      <c r="N51" s="1040">
        <f>((G51/C51)*M51)</f>
        <v>0.83333333333333337</v>
      </c>
      <c r="O51" s="1041">
        <f>IF(((G51/C51)*M51)&gt;=1,3.571428,IF(((G51/C51)*M51)&lt;=0,0,((G51/C51)*M51)*3.571428))</f>
        <v>2.9761900000000003</v>
      </c>
      <c r="P51" s="913">
        <f>O51/3.571428</f>
        <v>0.83333333333333337</v>
      </c>
      <c r="Q51" s="1122" t="s">
        <v>95</v>
      </c>
      <c r="R51" s="167" t="s">
        <v>327</v>
      </c>
      <c r="S51" s="167" t="s">
        <v>328</v>
      </c>
    </row>
    <row r="52" spans="1:19" ht="20.45" customHeight="1" thickBot="1" x14ac:dyDescent="0.5">
      <c r="B52" s="1670" t="s">
        <v>40</v>
      </c>
      <c r="C52" s="1671"/>
      <c r="D52" s="1671"/>
      <c r="E52" s="1671"/>
      <c r="F52" s="1672"/>
      <c r="G52" s="1100"/>
      <c r="H52" s="152"/>
      <c r="I52" s="153"/>
      <c r="J52" s="1101"/>
      <c r="K52" s="1102"/>
      <c r="L52" s="1102"/>
      <c r="M52" s="1018"/>
      <c r="N52" s="911">
        <f>N53</f>
        <v>0.17553250466853404</v>
      </c>
      <c r="O52" s="912">
        <f>O53</f>
        <v>0.62690170208333318</v>
      </c>
      <c r="P52" s="913">
        <f>O52/3.571428</f>
        <v>0.17553250466853404</v>
      </c>
      <c r="Q52" s="1123"/>
      <c r="R52" s="18"/>
      <c r="S52" s="18"/>
    </row>
    <row r="53" spans="1:19" ht="43.8" customHeight="1" x14ac:dyDescent="0.45">
      <c r="A53" s="1617">
        <v>15</v>
      </c>
      <c r="B53" s="1618" t="s">
        <v>108</v>
      </c>
      <c r="C53" s="1678">
        <f>M5</f>
        <v>3.5714285714285716</v>
      </c>
      <c r="D53" s="1124" t="s">
        <v>127</v>
      </c>
      <c r="E53" s="1125">
        <f>$C$53/5</f>
        <v>0.7142857142857143</v>
      </c>
      <c r="F53" s="1126" t="s">
        <v>41</v>
      </c>
      <c r="G53" s="978">
        <f>E53/1</f>
        <v>0.7142857142857143</v>
      </c>
      <c r="H53" s="101">
        <v>20</v>
      </c>
      <c r="I53" s="106">
        <v>0</v>
      </c>
      <c r="J53" s="1001">
        <f>H53-I53</f>
        <v>20</v>
      </c>
      <c r="K53" s="1105">
        <f>(100-I53)*(6/10)</f>
        <v>60</v>
      </c>
      <c r="L53" s="1062">
        <f t="shared" ref="L53:L58" si="15">I53+K53</f>
        <v>60</v>
      </c>
      <c r="M53" s="935">
        <f t="shared" ref="M53:M54" si="16">IF(K53&lt;&gt;0,J53/K53,"0%")</f>
        <v>0.33333333333333331</v>
      </c>
      <c r="N53" s="1697">
        <f>(((G53/C53)*M53)+((G54/C53)*M54)+((G55/C53)*M55)+((G56/C53)*M56)+((G57/C53)*M57)+((G58/C53)*M58))</f>
        <v>0.17553250466853404</v>
      </c>
      <c r="O53" s="1687">
        <f>IF((((G53/C53)*M53)+((G54/C53)*M54)+((G55/C53)*M55)+((G56/C53)*M56)+((G57/C53)*M57)+((G58/C53)*M58))&gt;=1,3.571428,IF((((G53/C53)*M53)+((G54/C53)*M54)+((G55/C53)*M55)+((G56/C53)*M56)+((G57/C53)*M57)+((G58/C53)*M58))&lt;=0,0,((((G53/C53)*M53)+((G54/C53)*M54)+((G55/C53)*M55)+((G56/C53)*M56)+((G57/C53)*M57)+((G58/C53)*M58))*3.571428)))</f>
        <v>0.62690170208333318</v>
      </c>
      <c r="P53" s="1630">
        <f>O53/3.571428</f>
        <v>0.17553250466853404</v>
      </c>
      <c r="Q53" s="1127" t="s">
        <v>95</v>
      </c>
      <c r="R53" s="168"/>
      <c r="S53" s="168"/>
    </row>
    <row r="54" spans="1:19" ht="35.450000000000003" customHeight="1" thickBot="1" x14ac:dyDescent="0.5">
      <c r="A54" s="1617"/>
      <c r="B54" s="1619"/>
      <c r="C54" s="1685"/>
      <c r="D54" s="1128" t="s">
        <v>128</v>
      </c>
      <c r="E54" s="1129">
        <f t="shared" ref="E54:E57" si="17">$C$53/5</f>
        <v>0.7142857142857143</v>
      </c>
      <c r="F54" s="1130" t="s">
        <v>42</v>
      </c>
      <c r="G54" s="983">
        <f>E54/1</f>
        <v>0.7142857142857143</v>
      </c>
      <c r="H54" s="113">
        <v>0</v>
      </c>
      <c r="I54" s="107">
        <v>0</v>
      </c>
      <c r="J54" s="1007">
        <f>H54-I54</f>
        <v>0</v>
      </c>
      <c r="K54" s="1066">
        <f>(100-I54)*(6/6)</f>
        <v>100</v>
      </c>
      <c r="L54" s="1067">
        <f>I54+K54</f>
        <v>100</v>
      </c>
      <c r="M54" s="989">
        <f t="shared" si="16"/>
        <v>0</v>
      </c>
      <c r="N54" s="1698"/>
      <c r="O54" s="1633"/>
      <c r="P54" s="1635"/>
      <c r="Q54" s="1131" t="s">
        <v>95</v>
      </c>
      <c r="R54" s="169"/>
      <c r="S54" s="169"/>
    </row>
    <row r="55" spans="1:19" ht="34.25" customHeight="1" thickBot="1" x14ac:dyDescent="0.5">
      <c r="A55" s="1617"/>
      <c r="B55" s="1619"/>
      <c r="C55" s="1685"/>
      <c r="D55" s="1128" t="s">
        <v>129</v>
      </c>
      <c r="E55" s="1129">
        <f t="shared" si="17"/>
        <v>0.7142857142857143</v>
      </c>
      <c r="F55" s="1130" t="s">
        <v>43</v>
      </c>
      <c r="G55" s="983">
        <f>E55/1</f>
        <v>0.7142857142857143</v>
      </c>
      <c r="H55" s="470">
        <v>100</v>
      </c>
      <c r="I55" s="496">
        <v>100</v>
      </c>
      <c r="J55" s="1007">
        <f>H55-I55</f>
        <v>0</v>
      </c>
      <c r="K55" s="1066">
        <f>(100-I55)*(6/10)</f>
        <v>0</v>
      </c>
      <c r="L55" s="1067">
        <f t="shared" si="15"/>
        <v>100</v>
      </c>
      <c r="M55" s="935">
        <f>IF(I55&gt;=100,(1+(H55-100)/100),(J55/K55))</f>
        <v>1</v>
      </c>
      <c r="N55" s="1698"/>
      <c r="O55" s="1633"/>
      <c r="P55" s="1635"/>
      <c r="Q55" s="1131" t="s">
        <v>95</v>
      </c>
      <c r="R55" s="169"/>
      <c r="S55" s="253" t="s">
        <v>651</v>
      </c>
    </row>
    <row r="56" spans="1:19" ht="37.25" customHeight="1" thickBot="1" x14ac:dyDescent="0.5">
      <c r="A56" s="1617"/>
      <c r="B56" s="1619"/>
      <c r="C56" s="1685"/>
      <c r="D56" s="1128" t="s">
        <v>130</v>
      </c>
      <c r="E56" s="1129">
        <f t="shared" si="17"/>
        <v>0.7142857142857143</v>
      </c>
      <c r="F56" s="1130" t="s">
        <v>44</v>
      </c>
      <c r="G56" s="983">
        <f>E56/1</f>
        <v>0.7142857142857143</v>
      </c>
      <c r="H56" s="321">
        <v>34.5</v>
      </c>
      <c r="I56" s="107">
        <v>38.4</v>
      </c>
      <c r="J56" s="1007">
        <f>H56-I56</f>
        <v>-3.8999999999999986</v>
      </c>
      <c r="K56" s="1132">
        <f>(0.5*I56)*(6/7)</f>
        <v>16.457142857142856</v>
      </c>
      <c r="L56" s="1067">
        <f t="shared" si="15"/>
        <v>54.857142857142854</v>
      </c>
      <c r="M56" s="989">
        <f>IF(K56&lt;&gt;0,J56/K56,"0%")</f>
        <v>-0.2369791666666666</v>
      </c>
      <c r="N56" s="1698"/>
      <c r="O56" s="1633"/>
      <c r="P56" s="1635"/>
      <c r="Q56" s="1131" t="s">
        <v>101</v>
      </c>
      <c r="R56" s="158" t="s">
        <v>329</v>
      </c>
      <c r="S56" s="155" t="s">
        <v>330</v>
      </c>
    </row>
    <row r="57" spans="1:19" ht="22.8" customHeight="1" thickBot="1" x14ac:dyDescent="0.5">
      <c r="A57" s="1617"/>
      <c r="B57" s="1619"/>
      <c r="C57" s="1685"/>
      <c r="D57" s="1690" t="s">
        <v>131</v>
      </c>
      <c r="E57" s="1692">
        <f t="shared" si="17"/>
        <v>0.7142857142857143</v>
      </c>
      <c r="F57" s="1130" t="s">
        <v>45</v>
      </c>
      <c r="G57" s="983">
        <f>$E$57/2</f>
        <v>0.35714285714285715</v>
      </c>
      <c r="H57" s="321">
        <v>83.9</v>
      </c>
      <c r="I57" s="107">
        <v>71.400000000000006</v>
      </c>
      <c r="J57" s="1007">
        <f t="shared" ref="J57:J58" si="18">H57-I57</f>
        <v>12.5</v>
      </c>
      <c r="K57" s="1133">
        <f>(1*I57)*(6/10)</f>
        <v>42.84</v>
      </c>
      <c r="L57" s="1067">
        <f t="shared" si="15"/>
        <v>114.24000000000001</v>
      </c>
      <c r="M57" s="989">
        <f>IF(K57&lt;&gt;0,J57/K57,"0%")</f>
        <v>0.2917833800186741</v>
      </c>
      <c r="N57" s="1698"/>
      <c r="O57" s="1633"/>
      <c r="P57" s="1635"/>
      <c r="Q57" s="1131" t="s">
        <v>180</v>
      </c>
      <c r="R57" s="158" t="s">
        <v>331</v>
      </c>
      <c r="S57" s="155" t="s">
        <v>332</v>
      </c>
    </row>
    <row r="58" spans="1:19" ht="15" customHeight="1" thickBot="1" x14ac:dyDescent="0.5">
      <c r="A58" s="1617"/>
      <c r="B58" s="1620"/>
      <c r="C58" s="1686"/>
      <c r="D58" s="1691"/>
      <c r="E58" s="1693"/>
      <c r="F58" s="943" t="s">
        <v>46</v>
      </c>
      <c r="G58" s="992">
        <f>$E$57/2</f>
        <v>0.35714285714285715</v>
      </c>
      <c r="H58" s="312">
        <v>1.8</v>
      </c>
      <c r="I58" s="114">
        <v>3.2</v>
      </c>
      <c r="J58" s="1013">
        <f t="shared" si="18"/>
        <v>-1.4000000000000001</v>
      </c>
      <c r="K58" s="1107">
        <f>(1*I58)*(6/10)</f>
        <v>1.92</v>
      </c>
      <c r="L58" s="1134">
        <f t="shared" si="15"/>
        <v>5.12</v>
      </c>
      <c r="M58" s="950">
        <f>IF(K58&lt;&gt;0,J58/K58,"0%")</f>
        <v>-0.72916666666666674</v>
      </c>
      <c r="N58" s="1699"/>
      <c r="O58" s="1634"/>
      <c r="P58" s="1631"/>
      <c r="Q58" s="1135" t="s">
        <v>95</v>
      </c>
      <c r="R58" s="160" t="s">
        <v>333</v>
      </c>
      <c r="S58" s="155" t="s">
        <v>334</v>
      </c>
    </row>
    <row r="59" spans="1:19" ht="23.45" customHeight="1" thickBot="1" x14ac:dyDescent="0.5">
      <c r="B59" s="1694" t="s">
        <v>47</v>
      </c>
      <c r="C59" s="1695"/>
      <c r="D59" s="1695"/>
      <c r="E59" s="1695"/>
      <c r="F59" s="1696"/>
      <c r="G59" s="1136"/>
      <c r="H59" s="142"/>
      <c r="I59" s="143"/>
      <c r="J59" s="1137"/>
      <c r="K59" s="1137"/>
      <c r="L59" s="1137"/>
      <c r="M59" s="1098"/>
      <c r="N59" s="911">
        <f>(N60+N67)/2</f>
        <v>0.39209219046422145</v>
      </c>
      <c r="O59" s="912">
        <f>(O60+O67)</f>
        <v>2.8006580552105071</v>
      </c>
      <c r="P59" s="913">
        <f>O59/7.142856</f>
        <v>0.39209219046422145</v>
      </c>
      <c r="Q59" s="1138"/>
      <c r="R59" s="60"/>
      <c r="S59" s="60"/>
    </row>
    <row r="60" spans="1:19" ht="22.25" customHeight="1" thickBot="1" x14ac:dyDescent="0.5">
      <c r="B60" s="1670" t="s">
        <v>48</v>
      </c>
      <c r="C60" s="1671"/>
      <c r="D60" s="1671"/>
      <c r="E60" s="1671"/>
      <c r="F60" s="1672"/>
      <c r="G60" s="996"/>
      <c r="H60" s="136"/>
      <c r="I60" s="137"/>
      <c r="J60" s="1016"/>
      <c r="K60" s="1017"/>
      <c r="L60" s="1017"/>
      <c r="M60" s="996"/>
      <c r="N60" s="911">
        <f>N61</f>
        <v>0.73852228047182189</v>
      </c>
      <c r="O60" s="912">
        <f>O61</f>
        <v>2.6375791511009181</v>
      </c>
      <c r="P60" s="913">
        <f>O60/3.571428</f>
        <v>0.73852228047182189</v>
      </c>
      <c r="Q60" s="997"/>
      <c r="R60" s="17"/>
      <c r="S60" s="17"/>
    </row>
    <row r="61" spans="1:19" ht="39" customHeight="1" thickBot="1" x14ac:dyDescent="0.5">
      <c r="A61" s="1617">
        <v>16</v>
      </c>
      <c r="B61" s="1618" t="s">
        <v>49</v>
      </c>
      <c r="C61" s="1678">
        <f>M5</f>
        <v>3.5714285714285716</v>
      </c>
      <c r="D61" s="999" t="s">
        <v>133</v>
      </c>
      <c r="E61" s="931">
        <f>$C$61/4</f>
        <v>0.8928571428571429</v>
      </c>
      <c r="F61" s="999" t="s">
        <v>50</v>
      </c>
      <c r="G61" s="978">
        <f>E61/1</f>
        <v>0.8928571428571429</v>
      </c>
      <c r="H61" s="1139">
        <v>54</v>
      </c>
      <c r="I61" s="106">
        <v>71.8</v>
      </c>
      <c r="J61" s="1088">
        <f>IF(I61=H61,(H61-70),H61-I61)</f>
        <v>-17.799999999999997</v>
      </c>
      <c r="K61" s="980">
        <f>IF(I61&gt;=70,0,((70-I61)*(6/10)))</f>
        <v>0</v>
      </c>
      <c r="L61" s="1140">
        <f t="shared" ref="L61:L66" si="19">I61+K61</f>
        <v>71.8</v>
      </c>
      <c r="M61" s="935">
        <f>IF(I61&gt;=70,(1+(H61-70)/70),(J61/K61))</f>
        <v>0.77142857142857146</v>
      </c>
      <c r="N61" s="1627">
        <f>(((G61/C61)*M61)+((G62/C61)*M62)+((G63/C61)*M63)+((G64/C61)*M64)+((G65/C61)*M65)+((G66/C61)*M66))</f>
        <v>0.73852228047182189</v>
      </c>
      <c r="O61" s="1687">
        <f>IF((((G61/C61)*M61)+((G62/C61)*M62)+((G63/C61)*M63)+((G64/C61)*M64)+((G65/C61)*M65)+((G66/C61)*M66))&gt;=1,3.571428,IF((((G61/C61)*M61)+((G62/C61)*M62)+((G63/C61)*M63)+((G64/C61)*M64)+((G65/C61)*M65)+((G66/C61)*M66))&lt;=0,0,((((G61/C61)*M61)+((G62/C61)*M62)+((G63/C61)*M63)+((G64/C61)*M64)+((G65/C61)*M65)+((G66/C61)*M66))*3.571428)))</f>
        <v>2.6375791511009181</v>
      </c>
      <c r="P61" s="1630">
        <f>O61/3.571428</f>
        <v>0.73852228047182189</v>
      </c>
      <c r="Q61" s="1063" t="s">
        <v>181</v>
      </c>
      <c r="R61" s="155" t="s">
        <v>335</v>
      </c>
      <c r="S61" s="155" t="s">
        <v>336</v>
      </c>
    </row>
    <row r="62" spans="1:19" ht="58.25" customHeight="1" thickBot="1" x14ac:dyDescent="0.5">
      <c r="A62" s="1617"/>
      <c r="B62" s="1619"/>
      <c r="C62" s="1685"/>
      <c r="D62" s="1004" t="s">
        <v>134</v>
      </c>
      <c r="E62" s="1005">
        <f t="shared" ref="E62:E63" si="20">$C$61/4</f>
        <v>0.8928571428571429</v>
      </c>
      <c r="F62" s="1128" t="s">
        <v>276</v>
      </c>
      <c r="G62" s="983">
        <f>$E$62/1</f>
        <v>0.8928571428571429</v>
      </c>
      <c r="H62" s="321">
        <v>51.8</v>
      </c>
      <c r="I62" s="107">
        <v>80.900000000000006</v>
      </c>
      <c r="J62" s="1141">
        <f>IF(I62=H62,(H62-70),H62-I62)</f>
        <v>-29.100000000000009</v>
      </c>
      <c r="K62" s="987">
        <f t="shared" ref="K62:K63" si="21">IF(I62&gt;=70,0,((70-I62)*(6/10)))</f>
        <v>0</v>
      </c>
      <c r="L62" s="1142">
        <f t="shared" si="19"/>
        <v>80.900000000000006</v>
      </c>
      <c r="M62" s="962">
        <f t="shared" ref="M62:M63" si="22">IF(I62&gt;=70,(1+(H62-70)/70),(J62/K62))</f>
        <v>0.74</v>
      </c>
      <c r="N62" s="1628"/>
      <c r="O62" s="1633"/>
      <c r="P62" s="1635"/>
      <c r="Q62" s="1068" t="s">
        <v>182</v>
      </c>
      <c r="R62" s="155" t="s">
        <v>335</v>
      </c>
      <c r="S62" s="155" t="s">
        <v>337</v>
      </c>
    </row>
    <row r="63" spans="1:19" ht="26.45" customHeight="1" x14ac:dyDescent="0.45">
      <c r="A63" s="1617"/>
      <c r="B63" s="1619"/>
      <c r="C63" s="1685"/>
      <c r="D63" s="1004" t="s">
        <v>135</v>
      </c>
      <c r="E63" s="1005">
        <f t="shared" si="20"/>
        <v>0.8928571428571429</v>
      </c>
      <c r="F63" s="1004" t="s">
        <v>51</v>
      </c>
      <c r="G63" s="983">
        <f>E63/1</f>
        <v>0.8928571428571429</v>
      </c>
      <c r="H63" s="321">
        <v>46.7</v>
      </c>
      <c r="I63" s="107">
        <v>26.4</v>
      </c>
      <c r="J63" s="1141">
        <f>IF(I63=H63,(H63-70),H63-I63)</f>
        <v>20.300000000000004</v>
      </c>
      <c r="K63" s="987">
        <f t="shared" si="21"/>
        <v>26.16</v>
      </c>
      <c r="L63" s="1142">
        <f t="shared" si="19"/>
        <v>52.56</v>
      </c>
      <c r="M63" s="962">
        <f t="shared" si="22"/>
        <v>0.77599388379204914</v>
      </c>
      <c r="N63" s="1628"/>
      <c r="O63" s="1633"/>
      <c r="P63" s="1635"/>
      <c r="Q63" s="1068" t="s">
        <v>95</v>
      </c>
      <c r="R63" s="155" t="s">
        <v>335</v>
      </c>
      <c r="S63" s="155" t="s">
        <v>338</v>
      </c>
    </row>
    <row r="64" spans="1:19" ht="15" customHeight="1" thickBot="1" x14ac:dyDescent="0.5">
      <c r="A64" s="1617"/>
      <c r="B64" s="1619"/>
      <c r="C64" s="1685"/>
      <c r="D64" s="1625" t="s">
        <v>136</v>
      </c>
      <c r="E64" s="1688">
        <f>$C$61/4</f>
        <v>0.8928571428571429</v>
      </c>
      <c r="F64" s="1143" t="s">
        <v>52</v>
      </c>
      <c r="G64" s="1144">
        <f>$E$64/3</f>
        <v>0.29761904761904762</v>
      </c>
      <c r="H64" s="650">
        <v>100</v>
      </c>
      <c r="I64" s="651">
        <v>100</v>
      </c>
      <c r="J64" s="1145">
        <f t="shared" ref="J64:J66" si="23">H64-I64</f>
        <v>0</v>
      </c>
      <c r="K64" s="1146">
        <f>(100-I64)*(6/10)</f>
        <v>0</v>
      </c>
      <c r="L64" s="1142">
        <f t="shared" si="19"/>
        <v>100</v>
      </c>
      <c r="M64" s="989" t="str">
        <f t="shared" ref="M64:M66" si="24">IF(K64&lt;&gt;0,J64/K64,"100%")</f>
        <v>100%</v>
      </c>
      <c r="N64" s="1628"/>
      <c r="O64" s="1633"/>
      <c r="P64" s="1635"/>
      <c r="Q64" s="1068" t="s">
        <v>95</v>
      </c>
      <c r="R64" s="170"/>
      <c r="S64" s="526" t="s">
        <v>544</v>
      </c>
    </row>
    <row r="65" spans="1:19" ht="23.65" thickBot="1" x14ac:dyDescent="0.5">
      <c r="A65" s="1617"/>
      <c r="B65" s="1619"/>
      <c r="C65" s="1685"/>
      <c r="D65" s="1625"/>
      <c r="E65" s="1688"/>
      <c r="F65" s="1143" t="s">
        <v>53</v>
      </c>
      <c r="G65" s="1144">
        <f t="shared" ref="G65:G66" si="25">$E$64/3</f>
        <v>0.29761904761904762</v>
      </c>
      <c r="H65" s="650">
        <v>100</v>
      </c>
      <c r="I65" s="651">
        <v>100</v>
      </c>
      <c r="J65" s="1145">
        <f t="shared" si="23"/>
        <v>0</v>
      </c>
      <c r="K65" s="1146">
        <f>(100-I65)*(6/10)</f>
        <v>0</v>
      </c>
      <c r="L65" s="1142">
        <f t="shared" si="19"/>
        <v>100</v>
      </c>
      <c r="M65" s="989" t="str">
        <f t="shared" si="24"/>
        <v>100%</v>
      </c>
      <c r="N65" s="1628"/>
      <c r="O65" s="1633"/>
      <c r="P65" s="1635"/>
      <c r="Q65" s="1068" t="s">
        <v>95</v>
      </c>
      <c r="R65" s="171"/>
      <c r="S65" s="526" t="s">
        <v>544</v>
      </c>
    </row>
    <row r="66" spans="1:19" ht="27.6" customHeight="1" thickBot="1" x14ac:dyDescent="0.5">
      <c r="A66" s="1617"/>
      <c r="B66" s="1620"/>
      <c r="C66" s="1686"/>
      <c r="D66" s="1626"/>
      <c r="E66" s="1689"/>
      <c r="F66" s="1147" t="s">
        <v>54</v>
      </c>
      <c r="G66" s="1148">
        <f t="shared" si="25"/>
        <v>0.29761904761904762</v>
      </c>
      <c r="H66" s="485"/>
      <c r="I66" s="486"/>
      <c r="J66" s="1149">
        <f t="shared" si="23"/>
        <v>0</v>
      </c>
      <c r="K66" s="1150">
        <f>(100-I66)*(6/10)</f>
        <v>60</v>
      </c>
      <c r="L66" s="1151">
        <f t="shared" si="19"/>
        <v>60</v>
      </c>
      <c r="M66" s="950">
        <f t="shared" si="24"/>
        <v>0</v>
      </c>
      <c r="N66" s="1629"/>
      <c r="O66" s="1634"/>
      <c r="P66" s="1631"/>
      <c r="Q66" s="1152" t="s">
        <v>95</v>
      </c>
      <c r="R66" s="162"/>
      <c r="S66" s="527" t="s">
        <v>652</v>
      </c>
    </row>
    <row r="67" spans="1:19" ht="27" customHeight="1" thickBot="1" x14ac:dyDescent="0.5">
      <c r="B67" s="1614" t="s">
        <v>55</v>
      </c>
      <c r="C67" s="1615"/>
      <c r="D67" s="1615"/>
      <c r="E67" s="1615"/>
      <c r="F67" s="1616"/>
      <c r="G67" s="1084"/>
      <c r="H67" s="136"/>
      <c r="I67" s="137"/>
      <c r="J67" s="1084"/>
      <c r="K67" s="1085"/>
      <c r="L67" s="1085"/>
      <c r="M67" s="996"/>
      <c r="N67" s="911">
        <f>N68</f>
        <v>4.5662100456620995E-2</v>
      </c>
      <c r="O67" s="912">
        <f>O68</f>
        <v>0.163078904109589</v>
      </c>
      <c r="P67" s="913">
        <f>O67/3.571428</f>
        <v>4.5662100456620995E-2</v>
      </c>
      <c r="Q67" s="1153"/>
      <c r="R67" s="109"/>
      <c r="S67" s="18"/>
    </row>
    <row r="68" spans="1:19" ht="58.5" thickBot="1" x14ac:dyDescent="0.5">
      <c r="A68" s="22">
        <v>17</v>
      </c>
      <c r="B68" s="1154" t="s">
        <v>56</v>
      </c>
      <c r="C68" s="1155">
        <f>M5</f>
        <v>3.5714285714285716</v>
      </c>
      <c r="D68" s="1154" t="s">
        <v>137</v>
      </c>
      <c r="E68" s="1155">
        <f>C68</f>
        <v>3.5714285714285716</v>
      </c>
      <c r="F68" s="1154" t="s">
        <v>57</v>
      </c>
      <c r="G68" s="1156">
        <f>E68/1</f>
        <v>3.5714285714285716</v>
      </c>
      <c r="H68" s="1019">
        <v>2.5</v>
      </c>
      <c r="I68" s="107">
        <v>4.3</v>
      </c>
      <c r="J68" s="1157">
        <f>IF(I68=H68,(H68-70),I68-H68)</f>
        <v>1.7999999999999998</v>
      </c>
      <c r="K68" s="1051">
        <f t="shared" ref="K68" si="26">IF(I68&gt;=70,0,((70-I68)*(6/10)))</f>
        <v>39.42</v>
      </c>
      <c r="L68" s="1158">
        <f>I68-K68</f>
        <v>-35.120000000000005</v>
      </c>
      <c r="M68" s="1039">
        <f t="shared" ref="M68" si="27">IF(I68&gt;=70,(1+(H68-70)/70),(J68/K68))</f>
        <v>4.5662100456620995E-2</v>
      </c>
      <c r="N68" s="1159">
        <f>((G68/C68)*M68)</f>
        <v>4.5662100456620995E-2</v>
      </c>
      <c r="O68" s="1041">
        <f>IF(((G68/C68)*M68)&gt;=1,3.571428,IF(((G68/C68)*M68)&lt;=0,0,((G68/C68)*M68)*3.571428))</f>
        <v>0.163078904109589</v>
      </c>
      <c r="P68" s="913">
        <f>O68/3.571428</f>
        <v>4.5662100456620995E-2</v>
      </c>
      <c r="Q68" s="1160" t="s">
        <v>132</v>
      </c>
      <c r="R68" s="110" t="s">
        <v>339</v>
      </c>
      <c r="S68" s="110" t="s">
        <v>340</v>
      </c>
    </row>
    <row r="69" spans="1:19" ht="22.25" customHeight="1" thickBot="1" x14ac:dyDescent="0.5">
      <c r="B69" s="1563" t="s">
        <v>58</v>
      </c>
      <c r="C69" s="1564"/>
      <c r="D69" s="1564"/>
      <c r="E69" s="1564"/>
      <c r="F69" s="1565"/>
      <c r="G69" s="223"/>
      <c r="H69" s="144"/>
      <c r="I69" s="145"/>
      <c r="J69" s="224"/>
      <c r="K69" s="92"/>
      <c r="L69" s="92"/>
      <c r="M69" s="1161"/>
      <c r="N69" s="911">
        <f>(N70+N72+N74)/3</f>
        <v>0.66666666666666663</v>
      </c>
      <c r="O69" s="912">
        <f>(O70+O72+O74)</f>
        <v>7.1428560000000001</v>
      </c>
      <c r="P69" s="913">
        <f>O69/10.714284</f>
        <v>0.66666666666666674</v>
      </c>
      <c r="Q69" s="886"/>
      <c r="R69" s="12"/>
      <c r="S69" s="13"/>
    </row>
    <row r="70" spans="1:19" ht="20.45" customHeight="1" thickBot="1" x14ac:dyDescent="0.5">
      <c r="B70" s="1670" t="s">
        <v>59</v>
      </c>
      <c r="C70" s="1671"/>
      <c r="D70" s="1671"/>
      <c r="E70" s="1671"/>
      <c r="F70" s="1672"/>
      <c r="G70" s="996"/>
      <c r="H70" s="136"/>
      <c r="I70" s="137"/>
      <c r="J70" s="997"/>
      <c r="K70" s="997"/>
      <c r="L70" s="997"/>
      <c r="M70" s="1162"/>
      <c r="N70" s="911">
        <f>N71</f>
        <v>0</v>
      </c>
      <c r="O70" s="912">
        <f>O71</f>
        <v>0</v>
      </c>
      <c r="P70" s="913">
        <f t="shared" ref="P70:P78" si="28">O70/3.571428</f>
        <v>0</v>
      </c>
      <c r="Q70" s="1123"/>
      <c r="R70" s="18"/>
      <c r="S70" s="18"/>
    </row>
    <row r="71" spans="1:19" ht="52.25" customHeight="1" thickBot="1" x14ac:dyDescent="0.5">
      <c r="A71" s="22">
        <v>18</v>
      </c>
      <c r="B71" s="1163" t="s">
        <v>60</v>
      </c>
      <c r="C71" s="1164">
        <f>M5</f>
        <v>3.5714285714285716</v>
      </c>
      <c r="D71" s="1165" t="s">
        <v>138</v>
      </c>
      <c r="E71" s="1166">
        <f>C71</f>
        <v>3.5714285714285716</v>
      </c>
      <c r="F71" s="1167" t="s">
        <v>61</v>
      </c>
      <c r="G71" s="1168">
        <f>E71/1</f>
        <v>3.5714285714285716</v>
      </c>
      <c r="H71" s="472"/>
      <c r="I71" s="511"/>
      <c r="J71" s="1169">
        <f>I71-H71</f>
        <v>0</v>
      </c>
      <c r="K71" s="1048">
        <f>(0.5*I71)*0.6</f>
        <v>0</v>
      </c>
      <c r="L71" s="1158">
        <f>I71-K71</f>
        <v>0</v>
      </c>
      <c r="M71" s="950" t="str">
        <f>IF(H71=0,"0%",J71/K71)</f>
        <v>0%</v>
      </c>
      <c r="N71" s="1159">
        <f>((G71/C71)*M71)</f>
        <v>0</v>
      </c>
      <c r="O71" s="1041">
        <f>IF(((G71/C71)*M71)&gt;=1,3.571428,IF(((G71/C71)*M71)&lt;=0,0,((G71/C71)*M71)*3.571428))</f>
        <v>0</v>
      </c>
      <c r="P71" s="913">
        <f t="shared" si="28"/>
        <v>0</v>
      </c>
      <c r="Q71" s="1170" t="s">
        <v>183</v>
      </c>
      <c r="R71" s="24"/>
      <c r="S71" s="193" t="s">
        <v>615</v>
      </c>
    </row>
    <row r="72" spans="1:19" ht="20.45" customHeight="1" thickBot="1" x14ac:dyDescent="0.5">
      <c r="B72" s="1679" t="s">
        <v>277</v>
      </c>
      <c r="C72" s="1680"/>
      <c r="D72" s="1680"/>
      <c r="E72" s="1680"/>
      <c r="F72" s="1681"/>
      <c r="G72" s="1054"/>
      <c r="H72" s="134"/>
      <c r="I72" s="135"/>
      <c r="J72" s="1055"/>
      <c r="K72" s="1056"/>
      <c r="L72" s="1056"/>
      <c r="M72" s="1057"/>
      <c r="N72" s="911">
        <f>N73</f>
        <v>1</v>
      </c>
      <c r="O72" s="912">
        <f>O73</f>
        <v>3.571428</v>
      </c>
      <c r="P72" s="913">
        <f t="shared" si="28"/>
        <v>1</v>
      </c>
      <c r="Q72" s="1171"/>
      <c r="R72" s="18"/>
      <c r="S72" s="18"/>
    </row>
    <row r="73" spans="1:19" ht="45" customHeight="1" thickBot="1" x14ac:dyDescent="0.5">
      <c r="A73" s="22">
        <v>19</v>
      </c>
      <c r="B73" s="1172" t="s">
        <v>62</v>
      </c>
      <c r="C73" s="1173">
        <f>M5</f>
        <v>3.5714285714285716</v>
      </c>
      <c r="D73" s="1174" t="s">
        <v>139</v>
      </c>
      <c r="E73" s="1173">
        <f>C73</f>
        <v>3.5714285714285716</v>
      </c>
      <c r="F73" s="1175" t="s">
        <v>63</v>
      </c>
      <c r="G73" s="1176">
        <f>E73/1</f>
        <v>3.5714285714285716</v>
      </c>
      <c r="H73" s="96">
        <v>0</v>
      </c>
      <c r="I73" s="103">
        <v>0</v>
      </c>
      <c r="J73" s="1177">
        <f>I73-H73</f>
        <v>0</v>
      </c>
      <c r="K73" s="1178">
        <f>IF(H73&gt;0,(H73),I73)</f>
        <v>0</v>
      </c>
      <c r="L73" s="1179">
        <f>I73-K73</f>
        <v>0</v>
      </c>
      <c r="M73" s="989" t="str">
        <f t="shared" ref="M73" si="29">IF(K73&lt;&gt;0,J73/K73,"100%")</f>
        <v>100%</v>
      </c>
      <c r="N73" s="1159">
        <f>((G73/C73)*M73)</f>
        <v>1</v>
      </c>
      <c r="O73" s="1041">
        <f>IF(((G73/C73)*M73)&gt;=1,3.571428,IF(((G73/C73)*M73)&lt;=0,0,((G73/C73)*M73)*3.571428))</f>
        <v>3.571428</v>
      </c>
      <c r="P73" s="913">
        <f t="shared" si="28"/>
        <v>1</v>
      </c>
      <c r="Q73" s="1180" t="s">
        <v>95</v>
      </c>
      <c r="R73" s="24" t="s">
        <v>341</v>
      </c>
      <c r="S73" s="24" t="s">
        <v>342</v>
      </c>
    </row>
    <row r="74" spans="1:19" ht="30.6" customHeight="1" thickBot="1" x14ac:dyDescent="0.5">
      <c r="B74" s="1670" t="s">
        <v>64</v>
      </c>
      <c r="C74" s="1671"/>
      <c r="D74" s="1671"/>
      <c r="E74" s="1671"/>
      <c r="F74" s="1672"/>
      <c r="G74" s="997"/>
      <c r="H74" s="136"/>
      <c r="I74" s="137"/>
      <c r="J74" s="997"/>
      <c r="K74" s="997"/>
      <c r="L74" s="997"/>
      <c r="M74" s="996"/>
      <c r="N74" s="911">
        <f>N75</f>
        <v>1</v>
      </c>
      <c r="O74" s="912">
        <f>O75</f>
        <v>3.571428</v>
      </c>
      <c r="P74" s="913">
        <f t="shared" si="28"/>
        <v>1</v>
      </c>
      <c r="Q74" s="1123"/>
      <c r="R74" s="18"/>
      <c r="S74" s="18"/>
    </row>
    <row r="75" spans="1:19" ht="29.45" customHeight="1" thickBot="1" x14ac:dyDescent="0.5">
      <c r="A75" s="22">
        <v>20</v>
      </c>
      <c r="B75" s="1172" t="s">
        <v>65</v>
      </c>
      <c r="C75" s="1035">
        <f>M5</f>
        <v>3.5714285714285716</v>
      </c>
      <c r="D75" s="1165" t="s">
        <v>140</v>
      </c>
      <c r="E75" s="1181">
        <f>C75</f>
        <v>3.5714285714285716</v>
      </c>
      <c r="F75" s="1174" t="s">
        <v>66</v>
      </c>
      <c r="G75" s="1168">
        <f>E75/1</f>
        <v>3.5714285714285716</v>
      </c>
      <c r="H75" s="326">
        <v>1</v>
      </c>
      <c r="I75" s="325">
        <v>1</v>
      </c>
      <c r="J75" s="1119">
        <f>H75-I75</f>
        <v>0</v>
      </c>
      <c r="K75" s="1120">
        <f>IF(AND(H75=0,I75=1)," 1",(H75-I75))</f>
        <v>0</v>
      </c>
      <c r="L75" s="1182">
        <f>I75+K75</f>
        <v>1</v>
      </c>
      <c r="M75" s="1183">
        <f>(IF(I75=1,1,(J75/K75)))</f>
        <v>1</v>
      </c>
      <c r="N75" s="1159">
        <f>((G75/C75)*M75)</f>
        <v>1</v>
      </c>
      <c r="O75" s="1041">
        <f>IF(((G75/C75)*M75)&gt;=1,3.571428,IF(((G75/C75)*M75)&lt;=0,0,((G75/C75)*M75)*3.571428))</f>
        <v>3.571428</v>
      </c>
      <c r="P75" s="913">
        <f t="shared" si="28"/>
        <v>1</v>
      </c>
      <c r="Q75" s="1184" t="s">
        <v>95</v>
      </c>
      <c r="R75" s="82"/>
      <c r="S75" s="110"/>
    </row>
    <row r="76" spans="1:19" ht="20.45" customHeight="1" thickBot="1" x14ac:dyDescent="0.5">
      <c r="B76" s="1682" t="s">
        <v>67</v>
      </c>
      <c r="C76" s="1683"/>
      <c r="D76" s="1683"/>
      <c r="E76" s="1683"/>
      <c r="F76" s="1684"/>
      <c r="G76" s="1185"/>
      <c r="H76" s="146"/>
      <c r="I76" s="147"/>
      <c r="J76" s="1186"/>
      <c r="K76" s="885"/>
      <c r="L76" s="885"/>
      <c r="M76" s="1185"/>
      <c r="N76" s="911">
        <f t="shared" ref="N76:O77" si="30">N77</f>
        <v>0</v>
      </c>
      <c r="O76" s="912">
        <f t="shared" si="30"/>
        <v>0</v>
      </c>
      <c r="P76" s="913">
        <f t="shared" si="28"/>
        <v>0</v>
      </c>
      <c r="Q76" s="1187"/>
      <c r="R76" s="23"/>
      <c r="S76" s="23"/>
    </row>
    <row r="77" spans="1:19" ht="20.45" customHeight="1" thickBot="1" x14ac:dyDescent="0.5">
      <c r="B77" s="1670" t="s">
        <v>68</v>
      </c>
      <c r="C77" s="1671"/>
      <c r="D77" s="1671"/>
      <c r="E77" s="1671"/>
      <c r="F77" s="1672"/>
      <c r="G77" s="996"/>
      <c r="H77" s="136"/>
      <c r="I77" s="137"/>
      <c r="J77" s="1016"/>
      <c r="K77" s="1017"/>
      <c r="L77" s="1017"/>
      <c r="M77" s="998"/>
      <c r="N77" s="911">
        <f t="shared" si="30"/>
        <v>0</v>
      </c>
      <c r="O77" s="912">
        <f t="shared" si="30"/>
        <v>0</v>
      </c>
      <c r="P77" s="913">
        <f t="shared" si="28"/>
        <v>0</v>
      </c>
      <c r="Q77" s="1123"/>
      <c r="R77" s="18"/>
      <c r="S77" s="18"/>
    </row>
    <row r="78" spans="1:19" ht="35.25" thickBot="1" x14ac:dyDescent="0.5">
      <c r="A78" s="22">
        <v>21</v>
      </c>
      <c r="B78" s="1172" t="s">
        <v>69</v>
      </c>
      <c r="C78" s="1181">
        <f>M5</f>
        <v>3.5714285714285716</v>
      </c>
      <c r="D78" s="1188" t="s">
        <v>141</v>
      </c>
      <c r="E78" s="1181">
        <f>C78</f>
        <v>3.5714285714285716</v>
      </c>
      <c r="F78" s="1188" t="s">
        <v>70</v>
      </c>
      <c r="G78" s="1155">
        <f>E78/1</f>
        <v>3.5714285714285716</v>
      </c>
      <c r="H78" s="96">
        <v>0</v>
      </c>
      <c r="I78" s="103">
        <v>0</v>
      </c>
      <c r="J78" s="1157">
        <f>IF(I78=H78,(H78-60),H78-I78)</f>
        <v>-60</v>
      </c>
      <c r="K78" s="1051">
        <f>IF(I78&gt;=60,0,((60-I78)*(6/10)))</f>
        <v>36</v>
      </c>
      <c r="L78" s="1158">
        <f t="shared" ref="L78" si="31">K78+I78</f>
        <v>36</v>
      </c>
      <c r="M78" s="1039">
        <f>IF(I78&gt;=60,(1+(H78-60)/60),(H78/L78))</f>
        <v>0</v>
      </c>
      <c r="N78" s="1159">
        <f>((G78/C78)*M78)</f>
        <v>0</v>
      </c>
      <c r="O78" s="1041">
        <f>IF(((G78/C78)*M78)&gt;=1,3.571428,IF(((G78/C78)*M78)&lt;=0,0,((G78/C78)*M78)*3.571428))</f>
        <v>0</v>
      </c>
      <c r="P78" s="913">
        <f t="shared" si="28"/>
        <v>0</v>
      </c>
      <c r="Q78" s="1189" t="s">
        <v>95</v>
      </c>
      <c r="R78" s="24" t="s">
        <v>343</v>
      </c>
      <c r="S78" s="193" t="s">
        <v>653</v>
      </c>
    </row>
    <row r="79" spans="1:19" ht="21.6" customHeight="1" thickBot="1" x14ac:dyDescent="0.5">
      <c r="B79" s="1673" t="s">
        <v>71</v>
      </c>
      <c r="C79" s="1674"/>
      <c r="D79" s="1674"/>
      <c r="E79" s="1674"/>
      <c r="F79" s="1675"/>
      <c r="G79" s="1185"/>
      <c r="H79" s="146"/>
      <c r="I79" s="147"/>
      <c r="J79" s="1190"/>
      <c r="K79" s="1191"/>
      <c r="L79" s="1191"/>
      <c r="M79" s="1185"/>
      <c r="N79" s="911">
        <f>(N80+N86)/2</f>
        <v>0.39367777411472787</v>
      </c>
      <c r="O79" s="912">
        <f>(O80+O86)</f>
        <v>4.6266549561250452</v>
      </c>
      <c r="P79" s="913">
        <f>O79/10.714284</f>
        <v>0.43182119832972932</v>
      </c>
      <c r="Q79" s="1187"/>
      <c r="R79" s="23"/>
      <c r="S79" s="23"/>
    </row>
    <row r="80" spans="1:19" ht="20.45" customHeight="1" thickBot="1" x14ac:dyDescent="0.5">
      <c r="B80" s="1614" t="s">
        <v>72</v>
      </c>
      <c r="C80" s="1615"/>
      <c r="D80" s="1615"/>
      <c r="E80" s="1615"/>
      <c r="F80" s="1616"/>
      <c r="G80" s="1018"/>
      <c r="H80" s="148"/>
      <c r="I80" s="149"/>
      <c r="J80" s="997"/>
      <c r="K80" s="997"/>
      <c r="L80" s="997"/>
      <c r="M80" s="1018"/>
      <c r="N80" s="911">
        <f>(N81+N83)/2</f>
        <v>0.50810804675973209</v>
      </c>
      <c r="O80" s="912">
        <f>(O81+O83)</f>
        <v>3.6293426104460331</v>
      </c>
      <c r="P80" s="913">
        <f>O80/7.142856</f>
        <v>0.50810804675973209</v>
      </c>
      <c r="Q80" s="1192"/>
      <c r="R80" s="17"/>
      <c r="S80" s="17"/>
    </row>
    <row r="81" spans="1:19" ht="46.9" thickBot="1" x14ac:dyDescent="0.5">
      <c r="A81" s="22"/>
      <c r="B81" s="1676" t="s">
        <v>73</v>
      </c>
      <c r="C81" s="1678">
        <f>M5</f>
        <v>3.5714285714285716</v>
      </c>
      <c r="D81" s="999" t="s">
        <v>267</v>
      </c>
      <c r="E81" s="931">
        <f>$C$81/2</f>
        <v>1.7857142857142858</v>
      </c>
      <c r="F81" s="1124" t="s">
        <v>278</v>
      </c>
      <c r="G81" s="978">
        <f>E81/1</f>
        <v>1.7857142857142858</v>
      </c>
      <c r="H81" s="101">
        <v>58</v>
      </c>
      <c r="I81" s="106">
        <v>67.8</v>
      </c>
      <c r="J81" s="1088">
        <f>IF(I81=H81,(H81-50),H81-I81)</f>
        <v>-9.7999999999999972</v>
      </c>
      <c r="K81" s="980">
        <f>IF(I81&gt;=50,0,((50-I81)*(6/10)))</f>
        <v>0</v>
      </c>
      <c r="L81" s="1193">
        <f>I81+K81</f>
        <v>67.8</v>
      </c>
      <c r="M81" s="935">
        <f>IF(I81&gt;=50,(1+(H81-50)/50),(J81/K81))</f>
        <v>1.1599999999999999</v>
      </c>
      <c r="N81" s="1627">
        <f>(((G81/C81)*M81)+((G82/C81)*M82))</f>
        <v>0.74853932584269656</v>
      </c>
      <c r="O81" s="1646">
        <f>IF((((G81/C81)*M81)+((G82/C81)*M82))&gt;=1,3.57148,IF((((G81/C81)*M81)+((G82/C81)*M82))&lt;=0,0, (((G81/C81)*M81)+((G82/C81)*M82))*3.571428))</f>
        <v>2.67335430741573</v>
      </c>
      <c r="P81" s="1630">
        <f>O81/3.571428</f>
        <v>0.74853932584269656</v>
      </c>
      <c r="Q81" s="1194" t="s">
        <v>279</v>
      </c>
      <c r="R81" s="158" t="s">
        <v>344</v>
      </c>
      <c r="S81" s="110" t="s">
        <v>345</v>
      </c>
    </row>
    <row r="82" spans="1:19" ht="39.6" customHeight="1" thickBot="1" x14ac:dyDescent="0.5">
      <c r="A82" s="22"/>
      <c r="B82" s="1677"/>
      <c r="C82" s="1575"/>
      <c r="D82" s="1024" t="s">
        <v>268</v>
      </c>
      <c r="E82" s="944">
        <f>$C$81/2</f>
        <v>1.7857142857142858</v>
      </c>
      <c r="F82" s="1025" t="s">
        <v>74</v>
      </c>
      <c r="G82" s="992">
        <f>E82/1</f>
        <v>1.7857142857142858</v>
      </c>
      <c r="H82" s="115">
        <v>7.2</v>
      </c>
      <c r="I82" s="114">
        <v>8.4</v>
      </c>
      <c r="J82" s="1195">
        <f>IF(I82=H82,(H82-30),H82-I82)</f>
        <v>-1.2000000000000002</v>
      </c>
      <c r="K82" s="994">
        <f>IF(I82&gt;=30,0,((30-I82)*(6/10)))</f>
        <v>12.96</v>
      </c>
      <c r="L82" s="1196">
        <f t="shared" ref="L82" si="32">K82+I82</f>
        <v>21.36</v>
      </c>
      <c r="M82" s="971">
        <f>IF(I82&gt;=30,(1+(H82-30)/30),(H82/L82))</f>
        <v>0.33707865168539325</v>
      </c>
      <c r="N82" s="1629"/>
      <c r="O82" s="1647"/>
      <c r="P82" s="1631"/>
      <c r="Q82" s="1197" t="s">
        <v>282</v>
      </c>
      <c r="R82" s="172" t="s">
        <v>346</v>
      </c>
      <c r="S82" s="110" t="s">
        <v>347</v>
      </c>
    </row>
    <row r="83" spans="1:19" ht="60" customHeight="1" thickBot="1" x14ac:dyDescent="0.5">
      <c r="A83" s="22"/>
      <c r="B83" s="1660" t="s">
        <v>142</v>
      </c>
      <c r="C83" s="1662">
        <f>M5</f>
        <v>3.5714285714285716</v>
      </c>
      <c r="D83" s="1198" t="s">
        <v>145</v>
      </c>
      <c r="E83" s="931">
        <f>$C$81/3</f>
        <v>1.1904761904761905</v>
      </c>
      <c r="F83" s="999" t="s">
        <v>143</v>
      </c>
      <c r="G83" s="931">
        <f>E83/1</f>
        <v>1.1904761904761905</v>
      </c>
      <c r="H83" s="101">
        <v>21.2</v>
      </c>
      <c r="I83" s="106">
        <v>22</v>
      </c>
      <c r="J83" s="1199">
        <f>I83-H83</f>
        <v>0.80000000000000071</v>
      </c>
      <c r="K83" s="1077">
        <f>(0.2*I83)*(6/10)</f>
        <v>2.64</v>
      </c>
      <c r="L83" s="1200">
        <f>I83-K83</f>
        <v>19.36</v>
      </c>
      <c r="M83" s="935">
        <f>IF(K83&lt;&gt;0,J83/K83,"0%")</f>
        <v>0.30303030303030326</v>
      </c>
      <c r="N83" s="1665">
        <f>(((G83/C83)*M83)+((G84/C83)*M84)+((G85/C83)*M85))</f>
        <v>0.26767676767676774</v>
      </c>
      <c r="O83" s="1632">
        <f>IF((((G83/C83)*M83)+((G84/C83)*M84)+((G85/C83)*M85))&gt;=1,3.571428,IF((((G83/C83)*M83)+((G84/C83)*M84)+((G85/C83)*M85))&lt;=0,0,(((G83/C83)*M83)+((G84/C83)*M84)+((G85/C83)*M85))*3.571428))</f>
        <v>0.95598830303030324</v>
      </c>
      <c r="P83" s="1630">
        <f>O83/3.571428</f>
        <v>0.26767676767676774</v>
      </c>
      <c r="Q83" s="1201" t="s">
        <v>184</v>
      </c>
      <c r="R83" s="652" t="s">
        <v>348</v>
      </c>
      <c r="S83" s="653" t="s">
        <v>349</v>
      </c>
    </row>
    <row r="84" spans="1:19" ht="45" customHeight="1" thickBot="1" x14ac:dyDescent="0.5">
      <c r="A84" s="22"/>
      <c r="B84" s="1660"/>
      <c r="C84" s="1663"/>
      <c r="D84" s="1202" t="s">
        <v>146</v>
      </c>
      <c r="E84" s="1005">
        <f t="shared" ref="E84:E85" si="33">$C$81/3</f>
        <v>1.1904761904761905</v>
      </c>
      <c r="F84" s="1128" t="s">
        <v>283</v>
      </c>
      <c r="G84" s="1005">
        <f>E84/1</f>
        <v>1.1904761904761905</v>
      </c>
      <c r="H84" s="471"/>
      <c r="I84" s="478"/>
      <c r="J84" s="1203">
        <f>I84-H84</f>
        <v>0</v>
      </c>
      <c r="K84" s="1077">
        <f>(0.5*I84)*(6/10)</f>
        <v>0</v>
      </c>
      <c r="L84" s="1204">
        <f>I84-K84</f>
        <v>0</v>
      </c>
      <c r="M84" s="989" t="str">
        <f>IF(H84=0,"0%",J84/K84)</f>
        <v>0%</v>
      </c>
      <c r="N84" s="1666"/>
      <c r="O84" s="1633"/>
      <c r="P84" s="1635"/>
      <c r="Q84" s="1205" t="s">
        <v>185</v>
      </c>
      <c r="R84" s="173"/>
      <c r="S84" s="193" t="s">
        <v>615</v>
      </c>
    </row>
    <row r="85" spans="1:19" ht="38.450000000000003" customHeight="1" thickBot="1" x14ac:dyDescent="0.5">
      <c r="A85" s="22"/>
      <c r="B85" s="1661"/>
      <c r="C85" s="1664"/>
      <c r="D85" s="1206" t="s">
        <v>147</v>
      </c>
      <c r="E85" s="944">
        <f t="shared" si="33"/>
        <v>1.1904761904761905</v>
      </c>
      <c r="F85" s="1025" t="s">
        <v>144</v>
      </c>
      <c r="G85" s="944">
        <f>E85/1</f>
        <v>1.1904761904761905</v>
      </c>
      <c r="H85" s="115">
        <v>86</v>
      </c>
      <c r="I85" s="114">
        <v>80</v>
      </c>
      <c r="J85" s="1207">
        <f>H85-I85</f>
        <v>6</v>
      </c>
      <c r="K85" s="1208">
        <f>(100-I85)*(6/10)</f>
        <v>12</v>
      </c>
      <c r="L85" s="1209">
        <f>I85+K85</f>
        <v>92</v>
      </c>
      <c r="M85" s="950">
        <f>IF(H85&gt;=100,167%, IF(K85&lt;&gt;0,J85/K85,"0%"))</f>
        <v>0.5</v>
      </c>
      <c r="N85" s="1667"/>
      <c r="O85" s="1634"/>
      <c r="P85" s="1631"/>
      <c r="Q85" s="1210" t="s">
        <v>284</v>
      </c>
      <c r="R85" s="175" t="s">
        <v>350</v>
      </c>
      <c r="S85" s="175" t="s">
        <v>351</v>
      </c>
    </row>
    <row r="86" spans="1:19" ht="20.45" customHeight="1" thickBot="1" x14ac:dyDescent="0.5">
      <c r="B86" s="1648" t="s">
        <v>75</v>
      </c>
      <c r="C86" s="1649"/>
      <c r="D86" s="1649"/>
      <c r="E86" s="1649"/>
      <c r="F86" s="1650"/>
      <c r="G86" s="1162"/>
      <c r="H86" s="150"/>
      <c r="I86" s="151"/>
      <c r="J86" s="1211"/>
      <c r="K86" s="1212"/>
      <c r="L86" s="1212"/>
      <c r="M86" s="998"/>
      <c r="N86" s="911">
        <f>N87</f>
        <v>0.27924750146972366</v>
      </c>
      <c r="O86" s="912">
        <f>O87</f>
        <v>0.99731234567901228</v>
      </c>
      <c r="P86" s="913">
        <f>O86/3.571428</f>
        <v>0.27924750146972366</v>
      </c>
      <c r="Q86" s="1085"/>
      <c r="R86" s="18"/>
      <c r="S86" s="18"/>
    </row>
    <row r="87" spans="1:19" ht="27.6" customHeight="1" x14ac:dyDescent="0.45">
      <c r="A87" s="1651">
        <v>24</v>
      </c>
      <c r="B87" s="1652" t="s">
        <v>76</v>
      </c>
      <c r="C87" s="1654">
        <f>M5</f>
        <v>3.5714285714285716</v>
      </c>
      <c r="D87" s="1073" t="s">
        <v>159</v>
      </c>
      <c r="E87" s="1074">
        <f>($C$87/3)</f>
        <v>1.1904761904761905</v>
      </c>
      <c r="F87" s="1213" t="s">
        <v>285</v>
      </c>
      <c r="G87" s="1214">
        <f>E87/1</f>
        <v>1.1904761904761905</v>
      </c>
      <c r="H87" s="479">
        <v>0</v>
      </c>
      <c r="I87" s="323">
        <v>9.1</v>
      </c>
      <c r="J87" s="1215">
        <f>I87-H87</f>
        <v>9.1</v>
      </c>
      <c r="K87" s="1216">
        <f>(0.25*I87)*(6/10)</f>
        <v>1.365</v>
      </c>
      <c r="L87" s="1217">
        <f>I87-K87</f>
        <v>7.7349999999999994</v>
      </c>
      <c r="M87" s="989" t="str">
        <f>IF(H87=0,"0%",J87/K87)</f>
        <v>0%</v>
      </c>
      <c r="N87" s="1657">
        <f>(((G87/C87)*M87)+((G88/C87)*M88)+((G89/C87)*M89)+((G90/C87)*M90)+((G91/C87)*M91))</f>
        <v>0.27924750146972366</v>
      </c>
      <c r="O87" s="1632">
        <f>IF((((G87/C87)*M87)+((G88/C87)*M88)+((G89/C87)*M89)+((G90/C87)*M90)+((G91/C87)*M91))&gt;=1,3.571428,IF((((G87/C87)*M87)+((G88/C87)*M88)+((G89/C87)*M89)+((G90/C87)*M90)+((G91/C87)*M91))&lt;=0,0,((((G87/C87)*M87)+((G88/C87)*M88)+((G89/C87)*M89)+((G90/C87)*M90)+((G91/C87)*M91))*3.571428)))</f>
        <v>0.99731234567901228</v>
      </c>
      <c r="P87" s="1630">
        <f>O87/3.571428</f>
        <v>0.27924750146972366</v>
      </c>
      <c r="Q87" s="1218" t="s">
        <v>186</v>
      </c>
      <c r="R87" s="176" t="s">
        <v>352</v>
      </c>
      <c r="S87" s="177" t="s">
        <v>353</v>
      </c>
    </row>
    <row r="88" spans="1:19" ht="25.8" customHeight="1" thickBot="1" x14ac:dyDescent="0.5">
      <c r="A88" s="1651"/>
      <c r="B88" s="1652"/>
      <c r="C88" s="1655"/>
      <c r="D88" s="1668" t="s">
        <v>160</v>
      </c>
      <c r="E88" s="1669">
        <f>C87/3</f>
        <v>1.1904761904761905</v>
      </c>
      <c r="F88" s="1006" t="s">
        <v>77</v>
      </c>
      <c r="G88" s="1219">
        <f>$E$88/3</f>
        <v>0.3968253968253968</v>
      </c>
      <c r="H88" s="118">
        <v>20.3</v>
      </c>
      <c r="I88" s="121">
        <v>26.1</v>
      </c>
      <c r="J88" s="1220">
        <f>I88-H88</f>
        <v>5.8000000000000007</v>
      </c>
      <c r="K88" s="1221">
        <f>I88*(6/10)</f>
        <v>15.66</v>
      </c>
      <c r="L88" s="1222">
        <f>I88-K88</f>
        <v>10.440000000000001</v>
      </c>
      <c r="M88" s="989">
        <f>IF(K88&lt;&gt;0,J88/K88,"0%")</f>
        <v>0.37037037037037041</v>
      </c>
      <c r="N88" s="1658"/>
      <c r="O88" s="1633"/>
      <c r="P88" s="1635"/>
      <c r="Q88" s="1223" t="s">
        <v>187</v>
      </c>
      <c r="R88" s="176" t="s">
        <v>354</v>
      </c>
      <c r="S88" s="176" t="s">
        <v>355</v>
      </c>
    </row>
    <row r="89" spans="1:19" ht="59.65" customHeight="1" thickBot="1" x14ac:dyDescent="0.5">
      <c r="A89" s="1651"/>
      <c r="B89" s="1652"/>
      <c r="C89" s="1655"/>
      <c r="D89" s="1668"/>
      <c r="E89" s="1669"/>
      <c r="F89" s="1006" t="s">
        <v>78</v>
      </c>
      <c r="G89" s="1219">
        <f>$E$88/3</f>
        <v>0.3968253968253968</v>
      </c>
      <c r="H89" s="481"/>
      <c r="I89" s="482"/>
      <c r="J89" s="1220">
        <f>I89-H89</f>
        <v>0</v>
      </c>
      <c r="K89" s="1221">
        <f>I89*(6/10)</f>
        <v>0</v>
      </c>
      <c r="L89" s="1222">
        <f>I89-K89</f>
        <v>0</v>
      </c>
      <c r="M89" s="989" t="str">
        <f>IF(K89&lt;&gt;0,J89/K89,"0%")</f>
        <v>0%</v>
      </c>
      <c r="N89" s="1658"/>
      <c r="O89" s="1633"/>
      <c r="P89" s="1635"/>
      <c r="Q89" s="1223" t="s">
        <v>188</v>
      </c>
      <c r="R89" s="178"/>
      <c r="S89" s="193" t="s">
        <v>615</v>
      </c>
    </row>
    <row r="90" spans="1:19" ht="26.45" customHeight="1" thickBot="1" x14ac:dyDescent="0.5">
      <c r="A90" s="1651"/>
      <c r="B90" s="1652"/>
      <c r="C90" s="1655"/>
      <c r="D90" s="1668"/>
      <c r="E90" s="1669"/>
      <c r="F90" s="1006" t="s">
        <v>79</v>
      </c>
      <c r="G90" s="1219">
        <f>$E$88/3</f>
        <v>0.3968253968253968</v>
      </c>
      <c r="H90" s="483"/>
      <c r="I90" s="484"/>
      <c r="J90" s="1220">
        <f>I90-H90</f>
        <v>0</v>
      </c>
      <c r="K90" s="1224">
        <f>(I90)*(6/10)</f>
        <v>0</v>
      </c>
      <c r="L90" s="1225">
        <f>I90-K90</f>
        <v>0</v>
      </c>
      <c r="M90" s="989" t="str">
        <f>IF(H90=0,"0%",J90/K90)</f>
        <v>0%</v>
      </c>
      <c r="N90" s="1658"/>
      <c r="O90" s="1633"/>
      <c r="P90" s="1635"/>
      <c r="Q90" s="1226" t="s">
        <v>189</v>
      </c>
      <c r="R90" s="178"/>
      <c r="S90" s="193" t="s">
        <v>615</v>
      </c>
    </row>
    <row r="91" spans="1:19" ht="40.799999999999997" customHeight="1" thickBot="1" x14ac:dyDescent="0.5">
      <c r="A91" s="1651"/>
      <c r="B91" s="1653"/>
      <c r="C91" s="1656"/>
      <c r="D91" s="991" t="s">
        <v>161</v>
      </c>
      <c r="E91" s="944">
        <f>$C$87/3</f>
        <v>1.1904761904761905</v>
      </c>
      <c r="F91" s="1227" t="s">
        <v>80</v>
      </c>
      <c r="G91" s="1228">
        <f>E91/1</f>
        <v>1.1904761904761905</v>
      </c>
      <c r="H91" s="111">
        <v>50</v>
      </c>
      <c r="I91" s="112">
        <v>25</v>
      </c>
      <c r="J91" s="1229">
        <f>H91-I91</f>
        <v>25</v>
      </c>
      <c r="K91" s="1208">
        <f>(100-I91)*(6/10)</f>
        <v>45</v>
      </c>
      <c r="L91" s="1230">
        <f>I91+K91</f>
        <v>70</v>
      </c>
      <c r="M91" s="950">
        <f>IF(I91&gt;=60,(1+(H91-60)/60),(H91/L91))</f>
        <v>0.7142857142857143</v>
      </c>
      <c r="N91" s="1659"/>
      <c r="O91" s="1634"/>
      <c r="P91" s="1631"/>
      <c r="Q91" s="1231" t="s">
        <v>95</v>
      </c>
      <c r="R91" s="525"/>
      <c r="S91" s="526" t="s">
        <v>544</v>
      </c>
    </row>
    <row r="92" spans="1:19" ht="14.65" thickBot="1" x14ac:dyDescent="0.5">
      <c r="B92" s="1586" t="s">
        <v>81</v>
      </c>
      <c r="C92" s="1587"/>
      <c r="D92" s="1587"/>
      <c r="E92" s="1587"/>
      <c r="F92" s="1588"/>
      <c r="G92" s="11"/>
      <c r="H92" s="146"/>
      <c r="I92" s="147"/>
      <c r="J92" s="225"/>
      <c r="K92" s="11"/>
      <c r="L92" s="11"/>
      <c r="M92" s="223"/>
      <c r="N92" s="911">
        <f>(N93+N97)/2</f>
        <v>1.1164386831275719</v>
      </c>
      <c r="O92" s="912">
        <f>(O93+O97)</f>
        <v>5.1379709592296301</v>
      </c>
      <c r="P92" s="913">
        <f>O92/14.285712</f>
        <v>0.35965802469135805</v>
      </c>
      <c r="Q92" s="1099"/>
      <c r="R92" s="20"/>
      <c r="S92" s="23"/>
    </row>
    <row r="93" spans="1:19" ht="20.45" customHeight="1" thickBot="1" x14ac:dyDescent="0.5">
      <c r="B93" s="1614" t="s">
        <v>82</v>
      </c>
      <c r="C93" s="1615"/>
      <c r="D93" s="1615"/>
      <c r="E93" s="1615"/>
      <c r="F93" s="1616"/>
      <c r="G93" s="996"/>
      <c r="H93" s="136"/>
      <c r="I93" s="137"/>
      <c r="J93" s="1017"/>
      <c r="K93" s="1017"/>
      <c r="L93" s="1017"/>
      <c r="M93" s="1018"/>
      <c r="N93" s="911">
        <f>N94</f>
        <v>0</v>
      </c>
      <c r="O93" s="912">
        <f>O94</f>
        <v>0</v>
      </c>
      <c r="P93" s="913">
        <f>O93/3.571428</f>
        <v>0</v>
      </c>
      <c r="Q93" s="1086"/>
      <c r="R93" s="17"/>
      <c r="S93" s="18"/>
    </row>
    <row r="94" spans="1:19" ht="34.799999999999997" customHeight="1" thickBot="1" x14ac:dyDescent="0.5">
      <c r="A94" s="1617">
        <v>25</v>
      </c>
      <c r="B94" s="1618" t="s">
        <v>83</v>
      </c>
      <c r="C94" s="1621">
        <f>M5</f>
        <v>3.5714285714285716</v>
      </c>
      <c r="D94" s="1624" t="s">
        <v>214</v>
      </c>
      <c r="E94" s="1087">
        <f>$C$94/3</f>
        <v>1.1904761904761905</v>
      </c>
      <c r="F94" s="999" t="s">
        <v>269</v>
      </c>
      <c r="G94" s="1232">
        <f>E94/1</f>
        <v>1.1904761904761905</v>
      </c>
      <c r="H94" s="489"/>
      <c r="I94" s="231"/>
      <c r="J94" s="1233">
        <f>H94-I94</f>
        <v>0</v>
      </c>
      <c r="K94" s="1234">
        <f>(100-I94)*(6/10)</f>
        <v>60</v>
      </c>
      <c r="L94" s="1235">
        <f>I94+K94</f>
        <v>60</v>
      </c>
      <c r="M94" s="935">
        <f>IF(K94&lt;&gt;0,J94/K94,"100%")</f>
        <v>0</v>
      </c>
      <c r="N94" s="1627">
        <f>(((G94/C94)*M94)+((G95/C94)*M95)+((G96/C94)*M96))</f>
        <v>0</v>
      </c>
      <c r="O94" s="1632">
        <f>IF((((G94/C94)*M94)+((G95/C94)*M95)+((G96/C94)*M96))&gt;=1,3.571428,IF((((G94/C94)*M94)+((G95/C94)*M95)+((G96/C94)*M96))&lt;=0,0,(((G94/C94)*M94)+((G95/C94)*M95)+((G96/C94)*M96))*3.571428))</f>
        <v>0</v>
      </c>
      <c r="P94" s="1630">
        <f>O94/3.571428</f>
        <v>0</v>
      </c>
      <c r="Q94" s="1236" t="s">
        <v>190</v>
      </c>
      <c r="R94" s="60"/>
      <c r="S94" s="193" t="s">
        <v>615</v>
      </c>
    </row>
    <row r="95" spans="1:19" ht="39.6" customHeight="1" thickBot="1" x14ac:dyDescent="0.5">
      <c r="A95" s="1617"/>
      <c r="B95" s="1619"/>
      <c r="C95" s="1622"/>
      <c r="D95" s="1625"/>
      <c r="E95" s="1237">
        <f t="shared" ref="E95:E96" si="34">$C$94/3</f>
        <v>1.1904761904761905</v>
      </c>
      <c r="F95" s="1128" t="s">
        <v>270</v>
      </c>
      <c r="G95" s="1219">
        <f>E95/1</f>
        <v>1.1904761904761905</v>
      </c>
      <c r="H95" s="470"/>
      <c r="I95" s="496"/>
      <c r="J95" s="1220">
        <f>IF(AND(I95&gt;1,(H95-I95=0)),(H95-1),(H95-I95))</f>
        <v>0</v>
      </c>
      <c r="K95" s="1066">
        <f>IF(AND(I95&gt;=1,H95&gt;=1),"0",((1-I95)*(6/10)))</f>
        <v>0.6</v>
      </c>
      <c r="L95" s="1238">
        <f t="shared" ref="L95:L96" si="35">I95+K95</f>
        <v>0.6</v>
      </c>
      <c r="M95" s="989">
        <f>IF(I95&gt;=1,(1+(H95-1)/1),(J95/K95))</f>
        <v>0</v>
      </c>
      <c r="N95" s="1628"/>
      <c r="O95" s="1633"/>
      <c r="P95" s="1635"/>
      <c r="Q95" s="1239" t="s">
        <v>191</v>
      </c>
      <c r="R95" s="62"/>
      <c r="S95" s="193" t="s">
        <v>615</v>
      </c>
    </row>
    <row r="96" spans="1:19" ht="41.45" customHeight="1" thickBot="1" x14ac:dyDescent="0.5">
      <c r="A96" s="1617"/>
      <c r="B96" s="1620"/>
      <c r="C96" s="1623"/>
      <c r="D96" s="1626"/>
      <c r="E96" s="1090">
        <f t="shared" si="34"/>
        <v>1.1904761904761905</v>
      </c>
      <c r="F96" s="1024" t="s">
        <v>84</v>
      </c>
      <c r="G96" s="1228">
        <f>E96/1</f>
        <v>1.1904761904761905</v>
      </c>
      <c r="H96" s="475"/>
      <c r="I96" s="492"/>
      <c r="J96" s="1229">
        <f>H96-I96</f>
        <v>0</v>
      </c>
      <c r="K96" s="1208">
        <f>(100-I96)*(6/10)</f>
        <v>60</v>
      </c>
      <c r="L96" s="1230">
        <f t="shared" si="35"/>
        <v>60</v>
      </c>
      <c r="M96" s="950">
        <f>IF(K96&lt;&gt;0,J96/K96,"100%")</f>
        <v>0</v>
      </c>
      <c r="N96" s="1629"/>
      <c r="O96" s="1634"/>
      <c r="P96" s="1631"/>
      <c r="Q96" s="1240" t="s">
        <v>95</v>
      </c>
      <c r="R96" s="57"/>
      <c r="S96" s="193" t="s">
        <v>615</v>
      </c>
    </row>
    <row r="97" spans="1:19" ht="18" customHeight="1" thickBot="1" x14ac:dyDescent="0.5">
      <c r="B97" s="1636" t="s">
        <v>85</v>
      </c>
      <c r="C97" s="1637"/>
      <c r="D97" s="1637"/>
      <c r="E97" s="1637"/>
      <c r="F97" s="1638"/>
      <c r="G97" s="1241"/>
      <c r="H97" s="125"/>
      <c r="I97" s="126"/>
      <c r="J97" s="1241"/>
      <c r="K97" s="1242"/>
      <c r="L97" s="1242"/>
      <c r="M97" s="1243"/>
      <c r="N97" s="1244">
        <f>(N98+N99+N100)/3</f>
        <v>2.2328773662551438</v>
      </c>
      <c r="O97" s="1245">
        <f>(O98+O99+O100)</f>
        <v>5.1379709592296301</v>
      </c>
      <c r="P97" s="913">
        <f>O97/10.714284</f>
        <v>0.4795440329218108</v>
      </c>
      <c r="Q97" s="1246"/>
      <c r="R97" s="25"/>
      <c r="S97" s="25"/>
    </row>
    <row r="98" spans="1:19" ht="29.45" customHeight="1" thickBot="1" x14ac:dyDescent="0.5">
      <c r="A98" s="22">
        <v>26</v>
      </c>
      <c r="B98" s="1032" t="s">
        <v>86</v>
      </c>
      <c r="C98" s="1033">
        <f>$M$5</f>
        <v>3.5714285714285716</v>
      </c>
      <c r="D98" s="1032" t="s">
        <v>215</v>
      </c>
      <c r="E98" s="1033">
        <f>C98/1</f>
        <v>3.5714285714285716</v>
      </c>
      <c r="F98" s="1163" t="s">
        <v>291</v>
      </c>
      <c r="G98" s="1033">
        <f>E98/1</f>
        <v>3.5714285714285716</v>
      </c>
      <c r="H98" s="326">
        <v>62.6</v>
      </c>
      <c r="I98" s="1247">
        <v>46.4</v>
      </c>
      <c r="J98" s="1248">
        <f>IF(I98=H98,(H98-10),H98-I98)</f>
        <v>16.200000000000003</v>
      </c>
      <c r="K98" s="1051">
        <f>IF(I98&gt;=10,0,((10-I98)*(6/10)))</f>
        <v>0</v>
      </c>
      <c r="L98" s="1158">
        <f>I98+K98</f>
        <v>46.4</v>
      </c>
      <c r="M98" s="1094">
        <f>IF(I98&gt;=10,(1+(H98-10)/10),(J98/K98))</f>
        <v>6.26</v>
      </c>
      <c r="N98" s="1159">
        <f>((G98/C98)*M98)</f>
        <v>6.26</v>
      </c>
      <c r="O98" s="1041">
        <f>IF(((G98/C98)*M98)&gt;=1,3.571428,IF(((G98/C98)*M98)&lt;=0,0,((G98/C98)*M98)*3.571428))</f>
        <v>3.571428</v>
      </c>
      <c r="P98" s="913">
        <f>O98/3.571428</f>
        <v>1</v>
      </c>
      <c r="Q98" s="1249" t="s">
        <v>95</v>
      </c>
      <c r="R98" s="180" t="s">
        <v>356</v>
      </c>
      <c r="S98" s="175" t="s">
        <v>357</v>
      </c>
    </row>
    <row r="99" spans="1:19" ht="35.25" thickBot="1" x14ac:dyDescent="0.5">
      <c r="A99" s="22">
        <v>27</v>
      </c>
      <c r="B99" s="1032" t="s">
        <v>87</v>
      </c>
      <c r="C99" s="1033">
        <f>$M$5</f>
        <v>3.5714285714285716</v>
      </c>
      <c r="D99" s="1032" t="s">
        <v>216</v>
      </c>
      <c r="E99" s="1033">
        <f>C99/1</f>
        <v>3.5714285714285716</v>
      </c>
      <c r="F99" s="1163" t="s">
        <v>271</v>
      </c>
      <c r="G99" s="1033">
        <f>E99/1</f>
        <v>3.5714285714285716</v>
      </c>
      <c r="H99" s="326">
        <v>10.8</v>
      </c>
      <c r="I99" s="1247">
        <v>10.199999999999999</v>
      </c>
      <c r="J99" s="1248">
        <f>IF(I99=H99,(H99-75),H99-I99)</f>
        <v>0.60000000000000142</v>
      </c>
      <c r="K99" s="1051">
        <f>IF(I99&gt;=75,0,((75-I99)*(6/10)))</f>
        <v>38.879999999999995</v>
      </c>
      <c r="L99" s="1182">
        <f>I99+K99</f>
        <v>49.08</v>
      </c>
      <c r="M99" s="1250">
        <f>IF(I99&gt;=75,(1+(H99-75)/75),(J99/K99))</f>
        <v>1.5432098765432138E-2</v>
      </c>
      <c r="N99" s="1159">
        <f>((G99/C99)*M99)</f>
        <v>1.5432098765432138E-2</v>
      </c>
      <c r="O99" s="1041">
        <f>IF(((G99/C99)*M99)&gt;=1,3.571428,IF(((G99/C99)*M99)&lt;=0,0,((G99/C99)*M99)*3.571428))</f>
        <v>5.511462962962977E-2</v>
      </c>
      <c r="P99" s="913">
        <f>O99/3.571428</f>
        <v>1.5432098765432138E-2</v>
      </c>
      <c r="Q99" s="1249" t="s">
        <v>192</v>
      </c>
      <c r="R99" s="180" t="s">
        <v>358</v>
      </c>
      <c r="S99" s="463" t="s">
        <v>537</v>
      </c>
    </row>
    <row r="100" spans="1:19" ht="59.25" thickBot="1" x14ac:dyDescent="0.5">
      <c r="A100" s="1617">
        <v>28</v>
      </c>
      <c r="B100" s="1639" t="s">
        <v>88</v>
      </c>
      <c r="C100" s="1641">
        <f>M5</f>
        <v>3.5714285714285716</v>
      </c>
      <c r="D100" s="1639" t="s">
        <v>217</v>
      </c>
      <c r="E100" s="1641">
        <f>C100/1</f>
        <v>3.5714285714285716</v>
      </c>
      <c r="F100" s="1124" t="s">
        <v>89</v>
      </c>
      <c r="G100" s="931">
        <f>$E$100/2</f>
        <v>1.7857142857142858</v>
      </c>
      <c r="H100" s="1251">
        <v>28.84</v>
      </c>
      <c r="I100" s="106">
        <v>16.87</v>
      </c>
      <c r="J100" s="1252">
        <f>IF(I100=H100,(25-H100),I100-H100)</f>
        <v>-11.969999999999999</v>
      </c>
      <c r="K100" s="1105">
        <f>IF(I100&lt;=25,0,((0.25*I100)*(6/10)))</f>
        <v>0</v>
      </c>
      <c r="L100" s="1253">
        <f>I100-K100</f>
        <v>16.87</v>
      </c>
      <c r="M100" s="935">
        <f>IF(I100&lt;=25,(1+(25-H100)/25),(J100/K100))</f>
        <v>0.84640000000000004</v>
      </c>
      <c r="N100" s="1644">
        <f>((G100/$C$100)*M100)+((G101/$C$100)*M101)</f>
        <v>0.42320000000000002</v>
      </c>
      <c r="O100" s="1646">
        <f>IF((((G100/C100)*M100)+((G101/C100)*M101))&gt;=1,3.57148,IF((((G100/C100)*M100)+((G101/C100)*M101))&lt;=0,0, (((G100/C100)*M100)+((G101/C100)*M101))*3.571428))</f>
        <v>1.5114283296000002</v>
      </c>
      <c r="P100" s="1630">
        <f>O100/3.571428</f>
        <v>0.42320000000000002</v>
      </c>
      <c r="Q100" s="1254" t="s">
        <v>193</v>
      </c>
      <c r="R100" s="175" t="s">
        <v>359</v>
      </c>
      <c r="S100" s="175" t="s">
        <v>360</v>
      </c>
    </row>
    <row r="101" spans="1:19" ht="38.450000000000003" customHeight="1" thickBot="1" x14ac:dyDescent="0.5">
      <c r="A101" s="1617"/>
      <c r="B101" s="1640"/>
      <c r="C101" s="1642"/>
      <c r="D101" s="1640"/>
      <c r="E101" s="1643"/>
      <c r="F101" s="1024" t="s">
        <v>90</v>
      </c>
      <c r="G101" s="944">
        <f>$E$100/2</f>
        <v>1.7857142857142858</v>
      </c>
      <c r="H101" s="475"/>
      <c r="I101" s="492"/>
      <c r="J101" s="1255">
        <f>IF(I101=H101,(H101-25),H101-I101)</f>
        <v>-25</v>
      </c>
      <c r="K101" s="994">
        <f>IF(I101&gt;=25,0,((25-I101)*(6/10)))</f>
        <v>15</v>
      </c>
      <c r="L101" s="1256">
        <f t="shared" ref="L101" si="36">K101+I101</f>
        <v>15</v>
      </c>
      <c r="M101" s="989" t="str">
        <f>IF(H101=0,"0%",J101/K101)</f>
        <v>0%</v>
      </c>
      <c r="N101" s="1645"/>
      <c r="O101" s="1647"/>
      <c r="P101" s="1631"/>
      <c r="Q101" s="1257" t="s">
        <v>95</v>
      </c>
      <c r="R101" s="181"/>
      <c r="S101" s="237" t="s">
        <v>654</v>
      </c>
    </row>
    <row r="102" spans="1:19" ht="34.25" customHeight="1" thickBot="1" x14ac:dyDescent="0.5">
      <c r="B102" s="1258" t="s">
        <v>194</v>
      </c>
      <c r="C102" s="1259">
        <f>C11+C13+C15+C19+C24+C33+C34+C35+C36+C38+C41+C44+C48+C51+C53+C61+C68+C71+C73+C75+C78+C81+C83+C87+C94+C98+C99+C100</f>
        <v>99.999999999999972</v>
      </c>
      <c r="D102" s="1260"/>
      <c r="E102" s="1259">
        <f>E11+E12+E13+E14+E15+E19+E20+E21+E22+E24+E25+E28+E31+E33+E34+E35+E36+E38+E39+E41+E42+E44+E45+E48+E49++E51+E53+E54+E55+E56+E57+E61+E62+E63+E64+E68+E71+E73+E75+E78+E81++E82+E83+E84+E85+E87+E88+E91+E94+E95+E96+E98+E99+E100</f>
        <v>100.00714285714285</v>
      </c>
      <c r="F102" s="1261"/>
      <c r="G102" s="1259">
        <f>G11+G12+G13+G14+G15+G16+G17+G19+G20+G21+G22+G24+G25+G26+G27+G28+G29+G30+G31+G33+G34+G35+G36+G38+G39+G41+G42+G44+G45+G48+G49+G51+G53+G54+G55+G56+G57+G58+G61+G62+G63+G64+G65+G66+G68+G71+G73+G75+G78+G81+G82+G83+G84+G85+G87+G88+G89+G90+G91+G94+G95+G96+G98+G99+G100+G101</f>
        <v>100.00714285714285</v>
      </c>
      <c r="H102" s="1262"/>
      <c r="I102" s="1263"/>
      <c r="J102" s="1262"/>
      <c r="K102" s="1264"/>
      <c r="L102" s="1261"/>
      <c r="M102" s="1265"/>
      <c r="N102" s="1266"/>
      <c r="O102" s="1267"/>
      <c r="P102" s="1267"/>
      <c r="Q102" s="1268"/>
      <c r="R102" s="26"/>
      <c r="S102" s="27"/>
    </row>
    <row r="104" spans="1:19" ht="15.75" x14ac:dyDescent="0.5">
      <c r="B104" s="28"/>
    </row>
    <row r="107" spans="1:19" ht="15.75" x14ac:dyDescent="0.5">
      <c r="B107" s="28"/>
    </row>
    <row r="108" spans="1:19" x14ac:dyDescent="0.45">
      <c r="B108" s="29"/>
    </row>
    <row r="109" spans="1:19" x14ac:dyDescent="0.45">
      <c r="B109" s="29"/>
    </row>
    <row r="111" spans="1:19" x14ac:dyDescent="0.45">
      <c r="E111"/>
      <c r="F111" s="1269" t="s">
        <v>196</v>
      </c>
    </row>
    <row r="112" spans="1:19" x14ac:dyDescent="0.45">
      <c r="E112" s="1270">
        <v>1</v>
      </c>
      <c r="F112" s="1270" t="s">
        <v>197</v>
      </c>
    </row>
    <row r="113" spans="5:6" x14ac:dyDescent="0.45">
      <c r="E113" s="1270">
        <v>2</v>
      </c>
      <c r="F113" s="1270" t="s">
        <v>227</v>
      </c>
    </row>
    <row r="114" spans="5:6" x14ac:dyDescent="0.45">
      <c r="E114" s="1270">
        <v>3</v>
      </c>
      <c r="F114" s="1270" t="s">
        <v>228</v>
      </c>
    </row>
    <row r="115" spans="5:6" x14ac:dyDescent="0.45">
      <c r="E115" s="1270">
        <v>4</v>
      </c>
      <c r="F115" s="1270" t="s">
        <v>229</v>
      </c>
    </row>
    <row r="116" spans="5:6" x14ac:dyDescent="0.45">
      <c r="E116" s="1270">
        <v>5</v>
      </c>
      <c r="F116" s="1270" t="s">
        <v>198</v>
      </c>
    </row>
    <row r="117" spans="5:6" x14ac:dyDescent="0.45">
      <c r="E117" s="1270">
        <v>6</v>
      </c>
      <c r="F117" s="1270" t="s">
        <v>230</v>
      </c>
    </row>
    <row r="118" spans="5:6" x14ac:dyDescent="0.45">
      <c r="E118" s="1270">
        <v>7</v>
      </c>
      <c r="F118" s="1270" t="s">
        <v>231</v>
      </c>
    </row>
    <row r="119" spans="5:6" x14ac:dyDescent="0.45">
      <c r="E119" s="1270">
        <v>8</v>
      </c>
      <c r="F119" s="1270" t="s">
        <v>199</v>
      </c>
    </row>
    <row r="120" spans="5:6" x14ac:dyDescent="0.45">
      <c r="E120" s="1270">
        <v>9</v>
      </c>
      <c r="F120" s="1270" t="s">
        <v>200</v>
      </c>
    </row>
    <row r="121" spans="5:6" x14ac:dyDescent="0.45">
      <c r="E121" s="1270">
        <v>10</v>
      </c>
      <c r="F121" s="1270" t="s">
        <v>201</v>
      </c>
    </row>
    <row r="122" spans="5:6" x14ac:dyDescent="0.45">
      <c r="E122" s="1270">
        <v>11</v>
      </c>
      <c r="F122" s="1270" t="s">
        <v>232</v>
      </c>
    </row>
    <row r="123" spans="5:6" x14ac:dyDescent="0.45">
      <c r="E123" s="1270">
        <v>12</v>
      </c>
      <c r="F123" s="1270" t="s">
        <v>202</v>
      </c>
    </row>
    <row r="124" spans="5:6" x14ac:dyDescent="0.45">
      <c r="E124" s="1270">
        <f t="shared" ref="E124:E145" si="37">E123+1</f>
        <v>13</v>
      </c>
      <c r="F124" s="1270" t="s">
        <v>203</v>
      </c>
    </row>
    <row r="125" spans="5:6" x14ac:dyDescent="0.45">
      <c r="E125" s="1270">
        <v>14</v>
      </c>
      <c r="F125" s="1270" t="s">
        <v>233</v>
      </c>
    </row>
    <row r="126" spans="5:6" x14ac:dyDescent="0.45">
      <c r="E126" s="1270">
        <v>15</v>
      </c>
      <c r="F126" s="1270" t="s">
        <v>234</v>
      </c>
    </row>
    <row r="127" spans="5:6" x14ac:dyDescent="0.45">
      <c r="E127" s="1270">
        <v>16</v>
      </c>
      <c r="F127" s="1270" t="s">
        <v>213</v>
      </c>
    </row>
    <row r="128" spans="5:6" x14ac:dyDescent="0.45">
      <c r="E128" s="1270">
        <v>17</v>
      </c>
      <c r="F128" s="1270" t="s">
        <v>235</v>
      </c>
    </row>
    <row r="129" spans="5:6" x14ac:dyDescent="0.45">
      <c r="E129" s="1270">
        <v>18</v>
      </c>
      <c r="F129" s="1270" t="s">
        <v>263</v>
      </c>
    </row>
    <row r="130" spans="5:6" x14ac:dyDescent="0.45">
      <c r="E130" s="1270">
        <v>19</v>
      </c>
      <c r="F130" s="1270" t="s">
        <v>204</v>
      </c>
    </row>
    <row r="131" spans="5:6" x14ac:dyDescent="0.45">
      <c r="E131" s="1270">
        <v>20</v>
      </c>
      <c r="F131" s="1270" t="s">
        <v>236</v>
      </c>
    </row>
    <row r="132" spans="5:6" x14ac:dyDescent="0.45">
      <c r="E132" s="1270">
        <v>21</v>
      </c>
      <c r="F132" s="1270" t="s">
        <v>237</v>
      </c>
    </row>
    <row r="133" spans="5:6" x14ac:dyDescent="0.45">
      <c r="E133" s="1270">
        <v>22</v>
      </c>
      <c r="F133" s="1270" t="s">
        <v>238</v>
      </c>
    </row>
    <row r="134" spans="5:6" x14ac:dyDescent="0.45">
      <c r="E134" s="1270">
        <v>23</v>
      </c>
      <c r="F134" s="1270" t="s">
        <v>205</v>
      </c>
    </row>
    <row r="135" spans="5:6" x14ac:dyDescent="0.45">
      <c r="E135" s="1270">
        <v>24</v>
      </c>
      <c r="F135" s="1270" t="s">
        <v>239</v>
      </c>
    </row>
    <row r="136" spans="5:6" x14ac:dyDescent="0.45">
      <c r="E136" s="1270">
        <v>25</v>
      </c>
      <c r="F136" s="1270" t="s">
        <v>240</v>
      </c>
    </row>
    <row r="137" spans="5:6" x14ac:dyDescent="0.45">
      <c r="E137" s="1270">
        <v>26</v>
      </c>
      <c r="F137" s="1270" t="s">
        <v>241</v>
      </c>
    </row>
    <row r="138" spans="5:6" x14ac:dyDescent="0.45">
      <c r="E138" s="1270">
        <v>27</v>
      </c>
      <c r="F138" s="1270" t="s">
        <v>206</v>
      </c>
    </row>
    <row r="139" spans="5:6" x14ac:dyDescent="0.45">
      <c r="E139" s="1270">
        <v>28</v>
      </c>
      <c r="F139" s="1270" t="s">
        <v>242</v>
      </c>
    </row>
    <row r="140" spans="5:6" x14ac:dyDescent="0.45">
      <c r="E140" s="1270">
        <v>29</v>
      </c>
      <c r="F140" s="1270" t="s">
        <v>243</v>
      </c>
    </row>
    <row r="141" spans="5:6" x14ac:dyDescent="0.45">
      <c r="E141" s="1270">
        <v>30</v>
      </c>
      <c r="F141" s="1270" t="s">
        <v>244</v>
      </c>
    </row>
    <row r="142" spans="5:6" x14ac:dyDescent="0.45">
      <c r="E142" s="1270">
        <v>31</v>
      </c>
      <c r="F142" s="1270" t="s">
        <v>245</v>
      </c>
    </row>
    <row r="143" spans="5:6" x14ac:dyDescent="0.45">
      <c r="E143" s="1270">
        <v>32</v>
      </c>
      <c r="F143" s="1270" t="s">
        <v>246</v>
      </c>
    </row>
    <row r="144" spans="5:6" x14ac:dyDescent="0.45">
      <c r="E144" s="1270">
        <v>33</v>
      </c>
      <c r="F144" s="1270" t="s">
        <v>207</v>
      </c>
    </row>
    <row r="145" spans="5:6" x14ac:dyDescent="0.45">
      <c r="E145" s="1270">
        <f t="shared" si="37"/>
        <v>34</v>
      </c>
      <c r="F145" s="1270" t="s">
        <v>208</v>
      </c>
    </row>
    <row r="146" spans="5:6" x14ac:dyDescent="0.45">
      <c r="E146" s="1270">
        <v>35</v>
      </c>
      <c r="F146" s="1270" t="s">
        <v>247</v>
      </c>
    </row>
    <row r="147" spans="5:6" x14ac:dyDescent="0.45">
      <c r="E147" s="1270">
        <v>36</v>
      </c>
      <c r="F147" s="1270" t="s">
        <v>248</v>
      </c>
    </row>
    <row r="148" spans="5:6" x14ac:dyDescent="0.45">
      <c r="E148" s="1270">
        <v>36</v>
      </c>
      <c r="F148" s="1270" t="s">
        <v>249</v>
      </c>
    </row>
    <row r="149" spans="5:6" x14ac:dyDescent="0.45">
      <c r="E149" s="1270">
        <v>38</v>
      </c>
      <c r="F149" s="1270" t="s">
        <v>250</v>
      </c>
    </row>
    <row r="150" spans="5:6" x14ac:dyDescent="0.45">
      <c r="E150" s="1270">
        <v>39</v>
      </c>
      <c r="F150" s="1270" t="s">
        <v>251</v>
      </c>
    </row>
    <row r="151" spans="5:6" x14ac:dyDescent="0.45">
      <c r="E151" s="1270">
        <v>40</v>
      </c>
      <c r="F151" s="1270" t="s">
        <v>209</v>
      </c>
    </row>
    <row r="152" spans="5:6" x14ac:dyDescent="0.45">
      <c r="E152" s="1270">
        <v>41</v>
      </c>
      <c r="F152" s="1270" t="s">
        <v>264</v>
      </c>
    </row>
    <row r="153" spans="5:6" x14ac:dyDescent="0.45">
      <c r="E153" s="1270">
        <v>42</v>
      </c>
      <c r="F153" s="1270" t="s">
        <v>252</v>
      </c>
    </row>
    <row r="154" spans="5:6" x14ac:dyDescent="0.45">
      <c r="E154" s="1270">
        <v>43</v>
      </c>
      <c r="F154" s="1270" t="s">
        <v>253</v>
      </c>
    </row>
    <row r="155" spans="5:6" x14ac:dyDescent="0.45">
      <c r="E155" s="1270">
        <v>44</v>
      </c>
      <c r="F155" s="1270" t="s">
        <v>254</v>
      </c>
    </row>
    <row r="156" spans="5:6" x14ac:dyDescent="0.45">
      <c r="E156" s="1270">
        <v>45</v>
      </c>
      <c r="F156" s="1270" t="s">
        <v>210</v>
      </c>
    </row>
    <row r="157" spans="5:6" x14ac:dyDescent="0.45">
      <c r="E157" s="1270">
        <v>46</v>
      </c>
      <c r="F157" s="1270" t="s">
        <v>255</v>
      </c>
    </row>
    <row r="158" spans="5:6" x14ac:dyDescent="0.45">
      <c r="E158" s="1270">
        <v>47</v>
      </c>
      <c r="F158" s="1270" t="s">
        <v>211</v>
      </c>
    </row>
    <row r="159" spans="5:6" x14ac:dyDescent="0.45">
      <c r="E159" s="1270">
        <v>48</v>
      </c>
      <c r="F159" s="1270" t="s">
        <v>256</v>
      </c>
    </row>
    <row r="160" spans="5:6" x14ac:dyDescent="0.45">
      <c r="E160" s="1270">
        <v>49</v>
      </c>
      <c r="F160" s="1270" t="s">
        <v>257</v>
      </c>
    </row>
    <row r="161" spans="5:6" x14ac:dyDescent="0.45">
      <c r="E161" s="1270">
        <v>50</v>
      </c>
      <c r="F161" s="1270" t="s">
        <v>260</v>
      </c>
    </row>
    <row r="162" spans="5:6" x14ac:dyDescent="0.45">
      <c r="E162" s="1270">
        <v>51</v>
      </c>
      <c r="F162" s="1270" t="s">
        <v>258</v>
      </c>
    </row>
    <row r="163" spans="5:6" x14ac:dyDescent="0.45">
      <c r="E163" s="1270">
        <v>52</v>
      </c>
      <c r="F163" s="1270" t="s">
        <v>212</v>
      </c>
    </row>
    <row r="164" spans="5:6" x14ac:dyDescent="0.45">
      <c r="E164" s="1270">
        <v>53</v>
      </c>
      <c r="F164" s="1270" t="s">
        <v>259</v>
      </c>
    </row>
    <row r="165" spans="5:6" x14ac:dyDescent="0.45">
      <c r="E165" s="1270">
        <v>54</v>
      </c>
      <c r="F165" s="1270" t="s">
        <v>261</v>
      </c>
    </row>
    <row r="166" spans="5:6" x14ac:dyDescent="0.45">
      <c r="E166" s="1270">
        <v>55</v>
      </c>
      <c r="F166" s="1270" t="s">
        <v>262</v>
      </c>
    </row>
    <row r="167" spans="5:6" x14ac:dyDescent="0.45">
      <c r="E167"/>
      <c r="F167"/>
    </row>
    <row r="168" spans="5:6" x14ac:dyDescent="0.45">
      <c r="E168"/>
      <c r="F168"/>
    </row>
  </sheetData>
  <sheetProtection algorithmName="SHA-512" hashValue="ELec6NeN4s29vlIwRDsTx9XAauP8e6xiBsz4D7F6fZ63W91yAjV6GxJZWmvMpPkj+NbHRHT+5dO0Q/Ad5Afy/A==" saltValue="LDjJQW3DS+yoU2Q/wY98qw==" spinCount="100000" sheet="1" objects="1" scenarios="1"/>
  <mergeCells count="140">
    <mergeCell ref="K4:M4"/>
    <mergeCell ref="B5:K5"/>
    <mergeCell ref="B6:F6"/>
    <mergeCell ref="B7:F7"/>
    <mergeCell ref="B9:F9"/>
    <mergeCell ref="B10:F10"/>
    <mergeCell ref="A13:A14"/>
    <mergeCell ref="B13:B14"/>
    <mergeCell ref="C13:C14"/>
    <mergeCell ref="N13:N14"/>
    <mergeCell ref="O13:O14"/>
    <mergeCell ref="P13:P14"/>
    <mergeCell ref="A11:A12"/>
    <mergeCell ref="B11:B12"/>
    <mergeCell ref="C11:C12"/>
    <mergeCell ref="N11:N12"/>
    <mergeCell ref="O11:O12"/>
    <mergeCell ref="P11:P1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B37:F37"/>
    <mergeCell ref="A38:A39"/>
    <mergeCell ref="B38:B39"/>
    <mergeCell ref="C38:C39"/>
    <mergeCell ref="N38:N39"/>
    <mergeCell ref="O38:O39"/>
    <mergeCell ref="P24:P31"/>
    <mergeCell ref="D25:D27"/>
    <mergeCell ref="E25:E27"/>
    <mergeCell ref="D28:D30"/>
    <mergeCell ref="E28:E30"/>
    <mergeCell ref="B32:F32"/>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77:F77"/>
    <mergeCell ref="B79:F79"/>
    <mergeCell ref="B80:F80"/>
    <mergeCell ref="B81:B82"/>
    <mergeCell ref="C81:C82"/>
    <mergeCell ref="N81:N82"/>
    <mergeCell ref="B67:F67"/>
    <mergeCell ref="B69:F69"/>
    <mergeCell ref="B70:F70"/>
    <mergeCell ref="B72:F72"/>
    <mergeCell ref="B74:F74"/>
    <mergeCell ref="B76:F76"/>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s>
  <conditionalFormatting sqref="O18:O19 O23 O40 O47 O50 O52:O53 O60 O67 O70 O72 O74 O76:O77 O86:O87 O93 O33:O37">
    <cfRule type="colorScale" priority="136">
      <colorScale>
        <cfvo type="num" val="0"/>
        <cfvo type="num" val="1.8"/>
        <cfvo type="num" val="3.571428"/>
        <color rgb="FFFF0000"/>
        <color rgb="FFFFFF00"/>
        <color rgb="FF92FB4B"/>
      </colorScale>
    </cfRule>
  </conditionalFormatting>
  <conditionalFormatting sqref="O24">
    <cfRule type="colorScale" priority="135">
      <colorScale>
        <cfvo type="num" val="0"/>
        <cfvo type="num" val="1.8"/>
        <cfvo type="num" val="3.6"/>
        <color rgb="FFFF0000"/>
        <color rgb="FFFFFF00"/>
        <color rgb="FF92FB4B"/>
      </colorScale>
    </cfRule>
  </conditionalFormatting>
  <conditionalFormatting sqref="O4">
    <cfRule type="colorScale" priority="134">
      <colorScale>
        <cfvo type="num" val="0"/>
        <cfvo type="num" val="50"/>
        <cfvo type="num" val="100"/>
        <color rgb="FFFF0000"/>
        <color rgb="FFFFFF00"/>
        <color rgb="FF92FB4B"/>
      </colorScale>
    </cfRule>
  </conditionalFormatting>
  <conditionalFormatting sqref="N19:N22 N38:N39 N53 N11:N12">
    <cfRule type="colorScale" priority="133">
      <colorScale>
        <cfvo type="num" val="0"/>
        <cfvo type="num" val="0.6"/>
        <cfvo type="num" val="1"/>
        <color rgb="FFFF0000"/>
        <color rgb="FFFFFF00"/>
        <color rgb="FF92FB4B"/>
      </colorScale>
    </cfRule>
  </conditionalFormatting>
  <conditionalFormatting sqref="N15:N17">
    <cfRule type="colorScale" priority="132">
      <colorScale>
        <cfvo type="num" val="0"/>
        <cfvo type="num" val="0.6"/>
        <cfvo type="num" val="1"/>
        <color rgb="FFFF0000"/>
        <color rgb="FFFFFF00"/>
        <color rgb="FF92FB4B"/>
      </colorScale>
    </cfRule>
  </conditionalFormatting>
  <conditionalFormatting sqref="N24:N27">
    <cfRule type="colorScale" priority="131">
      <colorScale>
        <cfvo type="num" val="0"/>
        <cfvo type="num" val="0.6"/>
        <cfvo type="num" val="1"/>
        <color rgb="FFFF0000"/>
        <color rgb="FFFFFF00"/>
        <color rgb="FF92FB4B"/>
      </colorScale>
    </cfRule>
  </conditionalFormatting>
  <conditionalFormatting sqref="N33:N36">
    <cfRule type="colorScale" priority="130">
      <colorScale>
        <cfvo type="num" val="0"/>
        <cfvo type="num" val="0.6"/>
        <cfvo type="num" val="1"/>
        <color rgb="FFFF0000"/>
        <color rgb="FFFFFF00"/>
        <color rgb="FF92FB4B"/>
      </colorScale>
    </cfRule>
  </conditionalFormatting>
  <conditionalFormatting sqref="N41:N42">
    <cfRule type="colorScale" priority="129">
      <colorScale>
        <cfvo type="num" val="0"/>
        <cfvo type="num" val="0.6"/>
        <cfvo type="num" val="1"/>
        <color rgb="FFFF0000"/>
        <color rgb="FFFFFF00"/>
        <color rgb="FF92FB4B"/>
      </colorScale>
    </cfRule>
  </conditionalFormatting>
  <conditionalFormatting sqref="N44:N45">
    <cfRule type="colorScale" priority="128">
      <colorScale>
        <cfvo type="num" val="0"/>
        <cfvo type="num" val="0.6"/>
        <cfvo type="num" val="1"/>
        <color rgb="FFFF0000"/>
        <color rgb="FFFFFF00"/>
        <color rgb="FF92FB4B"/>
      </colorScale>
    </cfRule>
  </conditionalFormatting>
  <conditionalFormatting sqref="N48:N49">
    <cfRule type="colorScale" priority="127">
      <colorScale>
        <cfvo type="num" val="0"/>
        <cfvo type="num" val="0.6"/>
        <cfvo type="num" val="1"/>
        <color rgb="FFFF0000"/>
        <color rgb="FFFFFF00"/>
        <color rgb="FF92FB4B"/>
      </colorScale>
    </cfRule>
  </conditionalFormatting>
  <conditionalFormatting sqref="N61">
    <cfRule type="colorScale" priority="126">
      <colorScale>
        <cfvo type="num" val="0"/>
        <cfvo type="num" val="0.6"/>
        <cfvo type="num" val="1"/>
        <color rgb="FFFF0000"/>
        <color rgb="FFFFFF00"/>
        <color rgb="FF92FB4B"/>
      </colorScale>
    </cfRule>
  </conditionalFormatting>
  <conditionalFormatting sqref="N78">
    <cfRule type="colorScale" priority="122">
      <colorScale>
        <cfvo type="num" val="0"/>
        <cfvo type="num" val="0.6"/>
        <cfvo type="num" val="1"/>
        <color rgb="FFFF0000"/>
        <color rgb="FFFFFF00"/>
        <color rgb="FF92FB4B"/>
      </colorScale>
    </cfRule>
  </conditionalFormatting>
  <conditionalFormatting sqref="N68">
    <cfRule type="colorScale" priority="125">
      <colorScale>
        <cfvo type="num" val="0"/>
        <cfvo type="num" val="0.6"/>
        <cfvo type="num" val="1"/>
        <color rgb="FFFF0000"/>
        <color rgb="FFFFFF00"/>
        <color rgb="FF92FB4B"/>
      </colorScale>
    </cfRule>
  </conditionalFormatting>
  <conditionalFormatting sqref="N71">
    <cfRule type="colorScale" priority="124">
      <colorScale>
        <cfvo type="num" val="0"/>
        <cfvo type="num" val="0.6"/>
        <cfvo type="num" val="1"/>
        <color rgb="FFFF0000"/>
        <color rgb="FFFFFF00"/>
        <color rgb="FF92FB4B"/>
      </colorScale>
    </cfRule>
  </conditionalFormatting>
  <conditionalFormatting sqref="N73">
    <cfRule type="colorScale" priority="123">
      <colorScale>
        <cfvo type="num" val="0"/>
        <cfvo type="num" val="0.6"/>
        <cfvo type="num" val="1"/>
        <color rgb="FFFF0000"/>
        <color rgb="FFFFFF00"/>
        <color rgb="FF92FB4B"/>
      </colorScale>
    </cfRule>
  </conditionalFormatting>
  <conditionalFormatting sqref="N81">
    <cfRule type="colorScale" priority="121">
      <colorScale>
        <cfvo type="num" val="0"/>
        <cfvo type="num" val="0.6"/>
        <cfvo type="num" val="1"/>
        <color rgb="FFFF0000"/>
        <color rgb="FFFFFF00"/>
        <color rgb="FF92FB4B"/>
      </colorScale>
    </cfRule>
  </conditionalFormatting>
  <conditionalFormatting sqref="N87">
    <cfRule type="colorScale" priority="120">
      <colorScale>
        <cfvo type="num" val="0"/>
        <cfvo type="num" val="0.6"/>
        <cfvo type="num" val="1"/>
        <color rgb="FFFF0000"/>
        <color rgb="FFFFFF00"/>
        <color rgb="FF92FB4B"/>
      </colorScale>
    </cfRule>
  </conditionalFormatting>
  <conditionalFormatting sqref="N94">
    <cfRule type="colorScale" priority="119">
      <colorScale>
        <cfvo type="num" val="0"/>
        <cfvo type="num" val="0.6"/>
        <cfvo type="num" val="1"/>
        <color rgb="FFFF0000"/>
        <color rgb="FFFFFF00"/>
        <color rgb="FF92FB4B"/>
      </colorScale>
    </cfRule>
  </conditionalFormatting>
  <conditionalFormatting sqref="N98:N99">
    <cfRule type="colorScale" priority="118">
      <colorScale>
        <cfvo type="num" val="0"/>
        <cfvo type="num" val="0.6"/>
        <cfvo type="num" val="1"/>
        <color rgb="FFFF0000"/>
        <color rgb="FFFFFF00"/>
        <color rgb="FF92FB4B"/>
      </colorScale>
    </cfRule>
  </conditionalFormatting>
  <conditionalFormatting sqref="N100:N101">
    <cfRule type="colorScale" priority="117">
      <colorScale>
        <cfvo type="num" val="0"/>
        <cfvo type="num" val="0.6"/>
        <cfvo type="num" val="1"/>
        <color rgb="FFFF0000"/>
        <color rgb="FFFFFF00"/>
        <color rgb="FF92FB4B"/>
      </colorScale>
    </cfRule>
  </conditionalFormatting>
  <conditionalFormatting sqref="N51">
    <cfRule type="colorScale" priority="116">
      <colorScale>
        <cfvo type="num" val="0"/>
        <cfvo type="num" val="0.6"/>
        <cfvo type="num" val="1"/>
        <color rgb="FFFF0000"/>
        <color rgb="FFFFFF00"/>
        <color rgb="FF92FB4B"/>
      </colorScale>
    </cfRule>
  </conditionalFormatting>
  <conditionalFormatting sqref="N83">
    <cfRule type="colorScale" priority="115">
      <colorScale>
        <cfvo type="num" val="0"/>
        <cfvo type="num" val="0.6"/>
        <cfvo type="num" val="1"/>
        <color rgb="FFFF0000"/>
        <color rgb="FFFFFF00"/>
        <color rgb="FF92FB4B"/>
      </colorScale>
    </cfRule>
  </conditionalFormatting>
  <conditionalFormatting sqref="N75">
    <cfRule type="colorScale" priority="114">
      <colorScale>
        <cfvo type="num" val="0"/>
        <cfvo type="num" val="0.6"/>
        <cfvo type="num" val="1"/>
        <color rgb="FFFF0000"/>
        <color rgb="FFFFFF00"/>
        <color rgb="FF92FB4B"/>
      </colorScale>
    </cfRule>
  </conditionalFormatting>
  <conditionalFormatting sqref="N9">
    <cfRule type="colorScale" priority="113">
      <colorScale>
        <cfvo type="num" val="0"/>
        <cfvo type="num" val="0.6"/>
        <cfvo type="num" val="1"/>
        <color rgb="FFFF0000"/>
        <color rgb="FFFFFF00"/>
        <color rgb="FF92FB4B"/>
      </colorScale>
    </cfRule>
  </conditionalFormatting>
  <conditionalFormatting sqref="N10">
    <cfRule type="colorScale" priority="112">
      <colorScale>
        <cfvo type="num" val="0"/>
        <cfvo type="num" val="0.6"/>
        <cfvo type="num" val="1"/>
        <color rgb="FFFF0000"/>
        <color rgb="FFFFFF00"/>
        <color rgb="FF92FB4B"/>
      </colorScale>
    </cfRule>
  </conditionalFormatting>
  <conditionalFormatting sqref="N18">
    <cfRule type="colorScale" priority="111">
      <colorScale>
        <cfvo type="num" val="0"/>
        <cfvo type="num" val="0.6"/>
        <cfvo type="num" val="1"/>
        <color rgb="FFFF0000"/>
        <color rgb="FFFFFF00"/>
        <color rgb="FF92FB4B"/>
      </colorScale>
    </cfRule>
  </conditionalFormatting>
  <conditionalFormatting sqref="N23">
    <cfRule type="colorScale" priority="110">
      <colorScale>
        <cfvo type="num" val="0"/>
        <cfvo type="num" val="0.6"/>
        <cfvo type="num" val="1"/>
        <color rgb="FFFF0000"/>
        <color rgb="FFFFFF00"/>
        <color rgb="FF92FB4B"/>
      </colorScale>
    </cfRule>
  </conditionalFormatting>
  <conditionalFormatting sqref="N32">
    <cfRule type="colorScale" priority="109">
      <colorScale>
        <cfvo type="num" val="0"/>
        <cfvo type="num" val="0.6"/>
        <cfvo type="num" val="1"/>
        <color rgb="FFFF0000"/>
        <color rgb="FFFFFF00"/>
        <color rgb="FF92FB4B"/>
      </colorScale>
    </cfRule>
  </conditionalFormatting>
  <conditionalFormatting sqref="N37">
    <cfRule type="colorScale" priority="108">
      <colorScale>
        <cfvo type="num" val="0"/>
        <cfvo type="num" val="0.6"/>
        <cfvo type="num" val="1"/>
        <color rgb="FFFF0000"/>
        <color rgb="FFFFFF00"/>
        <color rgb="FF92FB4B"/>
      </colorScale>
    </cfRule>
  </conditionalFormatting>
  <conditionalFormatting sqref="N40">
    <cfRule type="colorScale" priority="107">
      <colorScale>
        <cfvo type="num" val="0"/>
        <cfvo type="num" val="0.6"/>
        <cfvo type="num" val="1"/>
        <color rgb="FFFF0000"/>
        <color rgb="FFFFFF00"/>
        <color rgb="FF92FB4B"/>
      </colorScale>
    </cfRule>
  </conditionalFormatting>
  <conditionalFormatting sqref="N43">
    <cfRule type="colorScale" priority="106">
      <colorScale>
        <cfvo type="num" val="0"/>
        <cfvo type="num" val="0.6"/>
        <cfvo type="num" val="1"/>
        <color rgb="FFFF0000"/>
        <color rgb="FFFFFF00"/>
        <color rgb="FF92FB4B"/>
      </colorScale>
    </cfRule>
  </conditionalFormatting>
  <conditionalFormatting sqref="N46">
    <cfRule type="colorScale" priority="105">
      <colorScale>
        <cfvo type="num" val="0"/>
        <cfvo type="num" val="0.6"/>
        <cfvo type="num" val="1"/>
        <color rgb="FFFF0000"/>
        <color rgb="FFFFFF00"/>
        <color rgb="FF92FB4B"/>
      </colorScale>
    </cfRule>
  </conditionalFormatting>
  <conditionalFormatting sqref="N47">
    <cfRule type="colorScale" priority="104">
      <colorScale>
        <cfvo type="num" val="0"/>
        <cfvo type="num" val="0.6"/>
        <cfvo type="num" val="1"/>
        <color rgb="FFFF0000"/>
        <color rgb="FFFFFF00"/>
        <color rgb="FF92FB4B"/>
      </colorScale>
    </cfRule>
  </conditionalFormatting>
  <conditionalFormatting sqref="N50">
    <cfRule type="colorScale" priority="103">
      <colorScale>
        <cfvo type="num" val="0"/>
        <cfvo type="num" val="0.6"/>
        <cfvo type="num" val="1"/>
        <color rgb="FFFF0000"/>
        <color rgb="FFFFFF00"/>
        <color rgb="FF92FB4B"/>
      </colorScale>
    </cfRule>
  </conditionalFormatting>
  <conditionalFormatting sqref="N52">
    <cfRule type="colorScale" priority="102">
      <colorScale>
        <cfvo type="num" val="0"/>
        <cfvo type="num" val="0.6"/>
        <cfvo type="num" val="1"/>
        <color rgb="FFFF0000"/>
        <color rgb="FFFFFF00"/>
        <color rgb="FF92FB4B"/>
      </colorScale>
    </cfRule>
  </conditionalFormatting>
  <conditionalFormatting sqref="N59">
    <cfRule type="colorScale" priority="101">
      <colorScale>
        <cfvo type="num" val="0"/>
        <cfvo type="num" val="0.6"/>
        <cfvo type="num" val="1"/>
        <color rgb="FFFF0000"/>
        <color rgb="FFFFFF00"/>
        <color rgb="FF92FB4B"/>
      </colorScale>
    </cfRule>
  </conditionalFormatting>
  <conditionalFormatting sqref="N60">
    <cfRule type="colorScale" priority="100">
      <colorScale>
        <cfvo type="num" val="0"/>
        <cfvo type="num" val="0.6"/>
        <cfvo type="num" val="1"/>
        <color rgb="FFFF0000"/>
        <color rgb="FFFFFF00"/>
        <color rgb="FF92FB4B"/>
      </colorScale>
    </cfRule>
  </conditionalFormatting>
  <conditionalFormatting sqref="N67">
    <cfRule type="colorScale" priority="99">
      <colorScale>
        <cfvo type="num" val="0"/>
        <cfvo type="num" val="0.6"/>
        <cfvo type="num" val="1"/>
        <color rgb="FFFF0000"/>
        <color rgb="FFFFFF00"/>
        <color rgb="FF92FB4B"/>
      </colorScale>
    </cfRule>
  </conditionalFormatting>
  <conditionalFormatting sqref="N69">
    <cfRule type="colorScale" priority="98">
      <colorScale>
        <cfvo type="num" val="0"/>
        <cfvo type="num" val="0.6"/>
        <cfvo type="num" val="1"/>
        <color rgb="FFFF0000"/>
        <color rgb="FFFFFF00"/>
        <color rgb="FF92FB4B"/>
      </colorScale>
    </cfRule>
  </conditionalFormatting>
  <conditionalFormatting sqref="N70">
    <cfRule type="colorScale" priority="97">
      <colorScale>
        <cfvo type="num" val="0"/>
        <cfvo type="num" val="0.6"/>
        <cfvo type="num" val="1"/>
        <color rgb="FFFF0000"/>
        <color rgb="FFFFFF00"/>
        <color rgb="FF92FB4B"/>
      </colorScale>
    </cfRule>
  </conditionalFormatting>
  <conditionalFormatting sqref="N72">
    <cfRule type="colorScale" priority="96">
      <colorScale>
        <cfvo type="num" val="0"/>
        <cfvo type="num" val="0.6"/>
        <cfvo type="num" val="1"/>
        <color rgb="FFFF0000"/>
        <color rgb="FFFFFF00"/>
        <color rgb="FF92FB4B"/>
      </colorScale>
    </cfRule>
  </conditionalFormatting>
  <conditionalFormatting sqref="N74">
    <cfRule type="colorScale" priority="95">
      <colorScale>
        <cfvo type="num" val="0"/>
        <cfvo type="num" val="0.6"/>
        <cfvo type="num" val="1"/>
        <color rgb="FFFF0000"/>
        <color rgb="FFFFFF00"/>
        <color rgb="FF92FB4B"/>
      </colorScale>
    </cfRule>
  </conditionalFormatting>
  <conditionalFormatting sqref="N76">
    <cfRule type="colorScale" priority="94">
      <colorScale>
        <cfvo type="num" val="0"/>
        <cfvo type="num" val="0.6"/>
        <cfvo type="num" val="1"/>
        <color rgb="FFFF0000"/>
        <color rgb="FFFFFF00"/>
        <color rgb="FF92FB4B"/>
      </colorScale>
    </cfRule>
  </conditionalFormatting>
  <conditionalFormatting sqref="N77">
    <cfRule type="colorScale" priority="93">
      <colorScale>
        <cfvo type="num" val="0"/>
        <cfvo type="num" val="0.6"/>
        <cfvo type="num" val="1"/>
        <color rgb="FFFF0000"/>
        <color rgb="FFFFFF00"/>
        <color rgb="FF92FB4B"/>
      </colorScale>
    </cfRule>
  </conditionalFormatting>
  <conditionalFormatting sqref="N79">
    <cfRule type="colorScale" priority="92">
      <colorScale>
        <cfvo type="num" val="0"/>
        <cfvo type="num" val="0.6"/>
        <cfvo type="num" val="1"/>
        <color rgb="FFFF0000"/>
        <color rgb="FFFFFF00"/>
        <color rgb="FF92FB4B"/>
      </colorScale>
    </cfRule>
  </conditionalFormatting>
  <conditionalFormatting sqref="N80">
    <cfRule type="colorScale" priority="91">
      <colorScale>
        <cfvo type="num" val="0"/>
        <cfvo type="num" val="0.6"/>
        <cfvo type="num" val="1"/>
        <color rgb="FFFF0000"/>
        <color rgb="FFFFFF00"/>
        <color rgb="FF92FB4B"/>
      </colorScale>
    </cfRule>
  </conditionalFormatting>
  <conditionalFormatting sqref="N86">
    <cfRule type="colorScale" priority="90">
      <colorScale>
        <cfvo type="num" val="0"/>
        <cfvo type="num" val="0.6"/>
        <cfvo type="num" val="1"/>
        <color rgb="FFFF0000"/>
        <color rgb="FFFFFF00"/>
        <color rgb="FF92FB4B"/>
      </colorScale>
    </cfRule>
  </conditionalFormatting>
  <conditionalFormatting sqref="N92">
    <cfRule type="colorScale" priority="89">
      <colorScale>
        <cfvo type="num" val="0"/>
        <cfvo type="num" val="0.6"/>
        <cfvo type="num" val="1"/>
        <color rgb="FFFF0000"/>
        <color rgb="FFFFFF00"/>
        <color rgb="FF92FB4B"/>
      </colorScale>
    </cfRule>
  </conditionalFormatting>
  <conditionalFormatting sqref="N93">
    <cfRule type="colorScale" priority="88">
      <colorScale>
        <cfvo type="num" val="0"/>
        <cfvo type="num" val="0.6"/>
        <cfvo type="num" val="1"/>
        <color rgb="FFFF0000"/>
        <color rgb="FFFFFF00"/>
        <color rgb="FF92FB4B"/>
      </colorScale>
    </cfRule>
  </conditionalFormatting>
  <conditionalFormatting sqref="N97">
    <cfRule type="colorScale" priority="87">
      <colorScale>
        <cfvo type="num" val="0"/>
        <cfvo type="num" val="0.6"/>
        <cfvo type="num" val="1"/>
        <color rgb="FFFF0000"/>
        <color rgb="FFFFFF00"/>
        <color rgb="FF92FB4B"/>
      </colorScale>
    </cfRule>
  </conditionalFormatting>
  <conditionalFormatting sqref="N4">
    <cfRule type="colorScale" priority="86">
      <colorScale>
        <cfvo type="num" val="0"/>
        <cfvo type="num" val="0.6"/>
        <cfvo type="num" val="1"/>
        <color rgb="FFFF0000"/>
        <color rgb="FFFFFF00"/>
        <color rgb="FF92FB4B"/>
      </colorScale>
    </cfRule>
  </conditionalFormatting>
  <conditionalFormatting sqref="O9">
    <cfRule type="colorScale" priority="85">
      <colorScale>
        <cfvo type="num" val="0"/>
        <cfvo type="num" val="21.4285"/>
        <cfvo type="num" val="42.857135999999997"/>
        <color rgb="FFFF0000"/>
        <color rgb="FFFFFF00"/>
        <color rgb="FF92FB4B"/>
      </colorScale>
    </cfRule>
  </conditionalFormatting>
  <conditionalFormatting sqref="O69 O10 O97">
    <cfRule type="colorScale" priority="84">
      <colorScale>
        <cfvo type="num" val="0"/>
        <cfvo type="num" val="5.3570000000000002"/>
        <cfvo type="num" val="10.714"/>
        <color rgb="FFFF0000"/>
        <color rgb="FFFFFF00"/>
        <color rgb="FF92FB4B"/>
      </colorScale>
    </cfRule>
  </conditionalFormatting>
  <conditionalFormatting sqref="O32">
    <cfRule type="colorScale" priority="83">
      <colorScale>
        <cfvo type="num" val="0"/>
        <cfvo type="num" val="7.1428000000000003"/>
        <cfvo type="num" val="14.2857"/>
        <color rgb="FFFF0000"/>
        <color rgb="FFFFFF00"/>
        <color rgb="FF92FB4B"/>
      </colorScale>
    </cfRule>
  </conditionalFormatting>
  <conditionalFormatting sqref="O46">
    <cfRule type="colorScale" priority="82">
      <colorScale>
        <cfvo type="num" val="0"/>
        <cfvo type="num" val="5.3570000000000002"/>
        <cfvo type="num" val="10.7143"/>
        <color rgb="FFFF0000"/>
        <color rgb="FFFFFF00"/>
        <color rgb="FF92FB4B"/>
      </colorScale>
    </cfRule>
  </conditionalFormatting>
  <conditionalFormatting sqref="O80 O59">
    <cfRule type="colorScale" priority="81">
      <colorScale>
        <cfvo type="num" val="0"/>
        <cfvo type="num" val="3.5714000000000001"/>
        <cfvo type="num" val="7.1428000000000003"/>
        <color rgb="FFFF0000"/>
        <color rgb="FFFFFF00"/>
        <color rgb="FF92FB4B"/>
      </colorScale>
    </cfRule>
  </conditionalFormatting>
  <conditionalFormatting sqref="O79">
    <cfRule type="colorScale" priority="80">
      <colorScale>
        <cfvo type="num" val="0"/>
        <cfvo type="num" val="5.3571419999999996"/>
        <cfvo type="num" val="10.71428"/>
        <color rgb="FFFF0000"/>
        <color rgb="FFFFFF00"/>
        <color rgb="FF92FB4B"/>
      </colorScale>
    </cfRule>
  </conditionalFormatting>
  <conditionalFormatting sqref="O92">
    <cfRule type="colorScale" priority="79">
      <colorScale>
        <cfvo type="num" val="0"/>
        <cfvo type="num" val="7.1428000000000003"/>
        <cfvo type="num" val="14.28"/>
        <color rgb="FFFF0000"/>
        <color rgb="FFFFFF00"/>
        <color rgb="FF92FB4B"/>
      </colorScale>
    </cfRule>
  </conditionalFormatting>
  <conditionalFormatting sqref="O11:O12">
    <cfRule type="colorScale" priority="78">
      <colorScale>
        <cfvo type="num" val="0"/>
        <cfvo type="num" val="1.8"/>
        <cfvo type="num" val="3.571428"/>
        <color rgb="FFFF0000"/>
        <color rgb="FFFFFF00"/>
        <color rgb="FF92FB4B"/>
      </colorScale>
    </cfRule>
  </conditionalFormatting>
  <conditionalFormatting sqref="O43">
    <cfRule type="colorScale" priority="77">
      <colorScale>
        <cfvo type="num" val="0"/>
        <cfvo type="num" val="1.8"/>
        <cfvo type="num" val="3.571428"/>
        <color rgb="FFFF0000"/>
        <color rgb="FFFFFF00"/>
        <color rgb="FF92FB4B"/>
      </colorScale>
    </cfRule>
  </conditionalFormatting>
  <conditionalFormatting sqref="O83">
    <cfRule type="colorScale" priority="76">
      <colorScale>
        <cfvo type="num" val="0"/>
        <cfvo type="num" val="1.8"/>
        <cfvo type="num" val="3.571428"/>
        <color rgb="FFFF0000"/>
        <color rgb="FFFFFF00"/>
        <color rgb="FF92FB4B"/>
      </colorScale>
    </cfRule>
  </conditionalFormatting>
  <conditionalFormatting sqref="P4">
    <cfRule type="colorScale" priority="75">
      <colorScale>
        <cfvo type="num" val="0"/>
        <cfvo type="num" val="0.6"/>
        <cfvo type="num" val="1"/>
        <color rgb="FFFF0000"/>
        <color rgb="FFFFFF00"/>
        <color rgb="FF92FB4B"/>
      </colorScale>
    </cfRule>
  </conditionalFormatting>
  <conditionalFormatting sqref="P9">
    <cfRule type="colorScale" priority="74">
      <colorScale>
        <cfvo type="num" val="0"/>
        <cfvo type="num" val="0.6"/>
        <cfvo type="num" val="1"/>
        <color rgb="FFFF0000"/>
        <color rgb="FFFFFF00"/>
        <color rgb="FF92FB4B"/>
      </colorScale>
    </cfRule>
  </conditionalFormatting>
  <conditionalFormatting sqref="P10">
    <cfRule type="colorScale" priority="73">
      <colorScale>
        <cfvo type="num" val="0"/>
        <cfvo type="num" val="0.6"/>
        <cfvo type="num" val="1"/>
        <color rgb="FFFF0000"/>
        <color rgb="FFFFFF00"/>
        <color rgb="FF92FB4B"/>
      </colorScale>
    </cfRule>
  </conditionalFormatting>
  <conditionalFormatting sqref="P11">
    <cfRule type="colorScale" priority="72">
      <colorScale>
        <cfvo type="num" val="0"/>
        <cfvo type="num" val="0.6"/>
        <cfvo type="num" val="1"/>
        <color rgb="FFFF0000"/>
        <color rgb="FFFFFF00"/>
        <color rgb="FF92FB4B"/>
      </colorScale>
    </cfRule>
  </conditionalFormatting>
  <conditionalFormatting sqref="P13">
    <cfRule type="colorScale" priority="71">
      <colorScale>
        <cfvo type="num" val="0"/>
        <cfvo type="num" val="0.6"/>
        <cfvo type="num" val="1"/>
        <color rgb="FFFF0000"/>
        <color rgb="FFFFFF00"/>
        <color rgb="FF92FB4B"/>
      </colorScale>
    </cfRule>
  </conditionalFormatting>
  <conditionalFormatting sqref="P15">
    <cfRule type="colorScale" priority="70">
      <colorScale>
        <cfvo type="num" val="0"/>
        <cfvo type="num" val="0.6"/>
        <cfvo type="num" val="1"/>
        <color rgb="FFFF0000"/>
        <color rgb="FFFFFF00"/>
        <color rgb="FF92FB4B"/>
      </colorScale>
    </cfRule>
  </conditionalFormatting>
  <conditionalFormatting sqref="P23">
    <cfRule type="colorScale" priority="69">
      <colorScale>
        <cfvo type="num" val="0"/>
        <cfvo type="num" val="0.6"/>
        <cfvo type="num" val="1"/>
        <color rgb="FFFF0000"/>
        <color rgb="FFFFFF00"/>
        <color rgb="FF92FB4B"/>
      </colorScale>
    </cfRule>
  </conditionalFormatting>
  <conditionalFormatting sqref="P32">
    <cfRule type="colorScale" priority="68">
      <colorScale>
        <cfvo type="num" val="0"/>
        <cfvo type="num" val="0.6"/>
        <cfvo type="num" val="1"/>
        <color rgb="FFFF0000"/>
        <color rgb="FFFFFF00"/>
        <color rgb="FF92FB4B"/>
      </colorScale>
    </cfRule>
  </conditionalFormatting>
  <conditionalFormatting sqref="P33">
    <cfRule type="colorScale" priority="67">
      <colorScale>
        <cfvo type="num" val="0"/>
        <cfvo type="num" val="0.6"/>
        <cfvo type="num" val="1"/>
        <color rgb="FFFF0000"/>
        <color rgb="FFFFFF00"/>
        <color rgb="FF92FB4B"/>
      </colorScale>
    </cfRule>
  </conditionalFormatting>
  <conditionalFormatting sqref="P34">
    <cfRule type="colorScale" priority="66">
      <colorScale>
        <cfvo type="num" val="0"/>
        <cfvo type="num" val="0.6"/>
        <cfvo type="num" val="1"/>
        <color rgb="FFFF0000"/>
        <color rgb="FFFFFF00"/>
        <color rgb="FF92FB4B"/>
      </colorScale>
    </cfRule>
  </conditionalFormatting>
  <conditionalFormatting sqref="P35">
    <cfRule type="colorScale" priority="65">
      <colorScale>
        <cfvo type="num" val="0"/>
        <cfvo type="num" val="0.6"/>
        <cfvo type="num" val="1"/>
        <color rgb="FFFF0000"/>
        <color rgb="FFFFFF00"/>
        <color rgb="FF92FB4B"/>
      </colorScale>
    </cfRule>
  </conditionalFormatting>
  <conditionalFormatting sqref="P36">
    <cfRule type="colorScale" priority="64">
      <colorScale>
        <cfvo type="num" val="0"/>
        <cfvo type="num" val="0.6"/>
        <cfvo type="num" val="1"/>
        <color rgb="FFFF0000"/>
        <color rgb="FFFFFF00"/>
        <color rgb="FF92FB4B"/>
      </colorScale>
    </cfRule>
  </conditionalFormatting>
  <conditionalFormatting sqref="P37">
    <cfRule type="colorScale" priority="63">
      <colorScale>
        <cfvo type="num" val="0"/>
        <cfvo type="num" val="0.6"/>
        <cfvo type="num" val="1"/>
        <color rgb="FFFF0000"/>
        <color rgb="FFFFFF00"/>
        <color rgb="FF92FB4B"/>
      </colorScale>
    </cfRule>
  </conditionalFormatting>
  <conditionalFormatting sqref="P38">
    <cfRule type="colorScale" priority="62">
      <colorScale>
        <cfvo type="num" val="0"/>
        <cfvo type="num" val="0.6"/>
        <cfvo type="num" val="1"/>
        <color rgb="FFFF0000"/>
        <color rgb="FFFFFF00"/>
        <color rgb="FF92FB4B"/>
      </colorScale>
    </cfRule>
  </conditionalFormatting>
  <conditionalFormatting sqref="P40">
    <cfRule type="colorScale" priority="61">
      <colorScale>
        <cfvo type="num" val="0"/>
        <cfvo type="num" val="0.6"/>
        <cfvo type="num" val="1"/>
        <color rgb="FFFF0000"/>
        <color rgb="FFFFFF00"/>
        <color rgb="FF92FB4B"/>
      </colorScale>
    </cfRule>
  </conditionalFormatting>
  <conditionalFormatting sqref="P41">
    <cfRule type="colorScale" priority="60">
      <colorScale>
        <cfvo type="num" val="0"/>
        <cfvo type="num" val="0.6"/>
        <cfvo type="num" val="1"/>
        <color rgb="FFFF0000"/>
        <color rgb="FFFFFF00"/>
        <color rgb="FF92FB4B"/>
      </colorScale>
    </cfRule>
  </conditionalFormatting>
  <conditionalFormatting sqref="P43">
    <cfRule type="colorScale" priority="59">
      <colorScale>
        <cfvo type="num" val="0"/>
        <cfvo type="num" val="0.6"/>
        <cfvo type="num" val="1"/>
        <color rgb="FFFF0000"/>
        <color rgb="FFFFFF00"/>
        <color rgb="FF92FB4B"/>
      </colorScale>
    </cfRule>
  </conditionalFormatting>
  <conditionalFormatting sqref="P44">
    <cfRule type="colorScale" priority="58">
      <colorScale>
        <cfvo type="num" val="0"/>
        <cfvo type="num" val="0.6"/>
        <cfvo type="num" val="1"/>
        <color rgb="FFFF0000"/>
        <color rgb="FFFFFF00"/>
        <color rgb="FF92FB4B"/>
      </colorScale>
    </cfRule>
  </conditionalFormatting>
  <conditionalFormatting sqref="P46">
    <cfRule type="colorScale" priority="57">
      <colorScale>
        <cfvo type="num" val="0"/>
        <cfvo type="num" val="0.6"/>
        <cfvo type="num" val="1"/>
        <color rgb="FFFF0000"/>
        <color rgb="FFFFFF00"/>
        <color rgb="FF92FB4B"/>
      </colorScale>
    </cfRule>
  </conditionalFormatting>
  <conditionalFormatting sqref="P47">
    <cfRule type="colorScale" priority="56">
      <colorScale>
        <cfvo type="num" val="0"/>
        <cfvo type="num" val="0.6"/>
        <cfvo type="num" val="1"/>
        <color rgb="FFFF0000"/>
        <color rgb="FFFFFF00"/>
        <color rgb="FF92FB4B"/>
      </colorScale>
    </cfRule>
  </conditionalFormatting>
  <conditionalFormatting sqref="P48">
    <cfRule type="colorScale" priority="55">
      <colorScale>
        <cfvo type="num" val="0"/>
        <cfvo type="num" val="0.6"/>
        <cfvo type="num" val="1"/>
        <color rgb="FFFF0000"/>
        <color rgb="FFFFFF00"/>
        <color rgb="FF92FB4B"/>
      </colorScale>
    </cfRule>
  </conditionalFormatting>
  <conditionalFormatting sqref="P50">
    <cfRule type="colorScale" priority="54">
      <colorScale>
        <cfvo type="num" val="0"/>
        <cfvo type="num" val="0.6"/>
        <cfvo type="num" val="1"/>
        <color rgb="FFFF0000"/>
        <color rgb="FFFFFF00"/>
        <color rgb="FF92FB4B"/>
      </colorScale>
    </cfRule>
  </conditionalFormatting>
  <conditionalFormatting sqref="P51">
    <cfRule type="colorScale" priority="53">
      <colorScale>
        <cfvo type="num" val="0"/>
        <cfvo type="num" val="0.6"/>
        <cfvo type="num" val="1"/>
        <color rgb="FFFF0000"/>
        <color rgb="FFFFFF00"/>
        <color rgb="FF92FB4B"/>
      </colorScale>
    </cfRule>
  </conditionalFormatting>
  <conditionalFormatting sqref="P52">
    <cfRule type="colorScale" priority="52">
      <colorScale>
        <cfvo type="num" val="0"/>
        <cfvo type="num" val="0.6"/>
        <cfvo type="num" val="1"/>
        <color rgb="FFFF0000"/>
        <color rgb="FFFFFF00"/>
        <color rgb="FF92FB4B"/>
      </colorScale>
    </cfRule>
  </conditionalFormatting>
  <conditionalFormatting sqref="P18">
    <cfRule type="colorScale" priority="51">
      <colorScale>
        <cfvo type="num" val="0"/>
        <cfvo type="num" val="0.6"/>
        <cfvo type="num" val="1"/>
        <color rgb="FFFF0000"/>
        <color rgb="FFFFFF00"/>
        <color rgb="FF92FB4B"/>
      </colorScale>
    </cfRule>
  </conditionalFormatting>
  <conditionalFormatting sqref="P19">
    <cfRule type="colorScale" priority="50">
      <colorScale>
        <cfvo type="num" val="0"/>
        <cfvo type="num" val="0.6"/>
        <cfvo type="num" val="1"/>
        <color rgb="FFFF0000"/>
        <color rgb="FFFFFF00"/>
        <color rgb="FF92FB4B"/>
      </colorScale>
    </cfRule>
  </conditionalFormatting>
  <conditionalFormatting sqref="P24">
    <cfRule type="colorScale" priority="49">
      <colorScale>
        <cfvo type="num" val="0"/>
        <cfvo type="num" val="0.6"/>
        <cfvo type="num" val="1"/>
        <color rgb="FFFF0000"/>
        <color rgb="FFFFFF00"/>
        <color rgb="FF92FB4B"/>
      </colorScale>
    </cfRule>
  </conditionalFormatting>
  <conditionalFormatting sqref="P53">
    <cfRule type="colorScale" priority="48">
      <colorScale>
        <cfvo type="num" val="0"/>
        <cfvo type="num" val="0.6"/>
        <cfvo type="num" val="1"/>
        <color rgb="FFFF0000"/>
        <color rgb="FFFFFF00"/>
        <color rgb="FF92FB4B"/>
      </colorScale>
    </cfRule>
  </conditionalFormatting>
  <conditionalFormatting sqref="P59">
    <cfRule type="colorScale" priority="47">
      <colorScale>
        <cfvo type="num" val="0"/>
        <cfvo type="num" val="0.6"/>
        <cfvo type="num" val="1"/>
        <color rgb="FFFF0000"/>
        <color rgb="FFFFFF00"/>
        <color rgb="FF92FB4B"/>
      </colorScale>
    </cfRule>
  </conditionalFormatting>
  <conditionalFormatting sqref="P60">
    <cfRule type="colorScale" priority="46">
      <colorScale>
        <cfvo type="num" val="0"/>
        <cfvo type="num" val="0.6"/>
        <cfvo type="num" val="1"/>
        <color rgb="FFFF0000"/>
        <color rgb="FFFFFF00"/>
        <color rgb="FF92FB4B"/>
      </colorScale>
    </cfRule>
  </conditionalFormatting>
  <conditionalFormatting sqref="P61">
    <cfRule type="colorScale" priority="45">
      <colorScale>
        <cfvo type="num" val="0"/>
        <cfvo type="num" val="0.6"/>
        <cfvo type="num" val="1"/>
        <color rgb="FFFF0000"/>
        <color rgb="FFFFFF00"/>
        <color rgb="FF92FB4B"/>
      </colorScale>
    </cfRule>
  </conditionalFormatting>
  <conditionalFormatting sqref="P67">
    <cfRule type="colorScale" priority="44">
      <colorScale>
        <cfvo type="num" val="0"/>
        <cfvo type="num" val="0.6"/>
        <cfvo type="num" val="1"/>
        <color rgb="FFFF0000"/>
        <color rgb="FFFFFF00"/>
        <color rgb="FF92FB4B"/>
      </colorScale>
    </cfRule>
  </conditionalFormatting>
  <conditionalFormatting sqref="P68">
    <cfRule type="colorScale" priority="43">
      <colorScale>
        <cfvo type="num" val="0"/>
        <cfvo type="num" val="0.6"/>
        <cfvo type="num" val="1"/>
        <color rgb="FFFF0000"/>
        <color rgb="FFFFFF00"/>
        <color rgb="FF92FB4B"/>
      </colorScale>
    </cfRule>
  </conditionalFormatting>
  <conditionalFormatting sqref="P69">
    <cfRule type="colorScale" priority="42">
      <colorScale>
        <cfvo type="num" val="0"/>
        <cfvo type="num" val="0.6"/>
        <cfvo type="num" val="1"/>
        <color rgb="FFFF0000"/>
        <color rgb="FFFFFF00"/>
        <color rgb="FF92FB4B"/>
      </colorScale>
    </cfRule>
  </conditionalFormatting>
  <conditionalFormatting sqref="P70">
    <cfRule type="colorScale" priority="41">
      <colorScale>
        <cfvo type="num" val="0"/>
        <cfvo type="num" val="0.6"/>
        <cfvo type="num" val="1"/>
        <color rgb="FFFF0000"/>
        <color rgb="FFFFFF00"/>
        <color rgb="FF92FB4B"/>
      </colorScale>
    </cfRule>
  </conditionalFormatting>
  <conditionalFormatting sqref="P71">
    <cfRule type="colorScale" priority="40">
      <colorScale>
        <cfvo type="num" val="0"/>
        <cfvo type="num" val="0.6"/>
        <cfvo type="num" val="1"/>
        <color rgb="FFFF0000"/>
        <color rgb="FFFFFF00"/>
        <color rgb="FF92FB4B"/>
      </colorScale>
    </cfRule>
  </conditionalFormatting>
  <conditionalFormatting sqref="P72">
    <cfRule type="colorScale" priority="39">
      <colorScale>
        <cfvo type="num" val="0"/>
        <cfvo type="num" val="0.6"/>
        <cfvo type="num" val="1"/>
        <color rgb="FFFF0000"/>
        <color rgb="FFFFFF00"/>
        <color rgb="FF92FB4B"/>
      </colorScale>
    </cfRule>
  </conditionalFormatting>
  <conditionalFormatting sqref="P73">
    <cfRule type="colorScale" priority="38">
      <colorScale>
        <cfvo type="num" val="0"/>
        <cfvo type="num" val="0.6"/>
        <cfvo type="num" val="1"/>
        <color rgb="FFFF0000"/>
        <color rgb="FFFFFF00"/>
        <color rgb="FF92FB4B"/>
      </colorScale>
    </cfRule>
  </conditionalFormatting>
  <conditionalFormatting sqref="P74">
    <cfRule type="colorScale" priority="37">
      <colorScale>
        <cfvo type="num" val="0"/>
        <cfvo type="num" val="0.6"/>
        <cfvo type="num" val="1"/>
        <color rgb="FFFF0000"/>
        <color rgb="FFFFFF00"/>
        <color rgb="FF92FB4B"/>
      </colorScale>
    </cfRule>
  </conditionalFormatting>
  <conditionalFormatting sqref="P75">
    <cfRule type="colorScale" priority="36">
      <colorScale>
        <cfvo type="num" val="0"/>
        <cfvo type="num" val="0.6"/>
        <cfvo type="num" val="1"/>
        <color rgb="FFFF0000"/>
        <color rgb="FFFFFF00"/>
        <color rgb="FF92FB4B"/>
      </colorScale>
    </cfRule>
  </conditionalFormatting>
  <conditionalFormatting sqref="P76">
    <cfRule type="colorScale" priority="35">
      <colorScale>
        <cfvo type="num" val="0"/>
        <cfvo type="num" val="0.6"/>
        <cfvo type="num" val="1"/>
        <color rgb="FFFF0000"/>
        <color rgb="FFFFFF00"/>
        <color rgb="FF92FB4B"/>
      </colorScale>
    </cfRule>
  </conditionalFormatting>
  <conditionalFormatting sqref="P77">
    <cfRule type="colorScale" priority="34">
      <colorScale>
        <cfvo type="num" val="0"/>
        <cfvo type="num" val="0.6"/>
        <cfvo type="num" val="1"/>
        <color rgb="FFFF0000"/>
        <color rgb="FFFFFF00"/>
        <color rgb="FF92FB4B"/>
      </colorScale>
    </cfRule>
  </conditionalFormatting>
  <conditionalFormatting sqref="P78">
    <cfRule type="colorScale" priority="33">
      <colorScale>
        <cfvo type="num" val="0"/>
        <cfvo type="num" val="0.6"/>
        <cfvo type="num" val="1"/>
        <color rgb="FFFF0000"/>
        <color rgb="FFFFFF00"/>
        <color rgb="FF92FB4B"/>
      </colorScale>
    </cfRule>
  </conditionalFormatting>
  <conditionalFormatting sqref="P79">
    <cfRule type="colorScale" priority="32">
      <colorScale>
        <cfvo type="num" val="0"/>
        <cfvo type="num" val="0.6"/>
        <cfvo type="num" val="1"/>
        <color rgb="FFFF0000"/>
        <color rgb="FFFFFF00"/>
        <color rgb="FF92FB4B"/>
      </colorScale>
    </cfRule>
  </conditionalFormatting>
  <conditionalFormatting sqref="P80">
    <cfRule type="colorScale" priority="31">
      <colorScale>
        <cfvo type="num" val="0"/>
        <cfvo type="num" val="0.6"/>
        <cfvo type="num" val="1"/>
        <color rgb="FFFF0000"/>
        <color rgb="FFFFFF00"/>
        <color rgb="FF92FB4B"/>
      </colorScale>
    </cfRule>
  </conditionalFormatting>
  <conditionalFormatting sqref="P81">
    <cfRule type="colorScale" priority="30">
      <colorScale>
        <cfvo type="num" val="0"/>
        <cfvo type="num" val="0.6"/>
        <cfvo type="num" val="1"/>
        <color rgb="FFFF0000"/>
        <color rgb="FFFFFF00"/>
        <color rgb="FF92FB4B"/>
      </colorScale>
    </cfRule>
  </conditionalFormatting>
  <conditionalFormatting sqref="P83">
    <cfRule type="colorScale" priority="29">
      <colorScale>
        <cfvo type="num" val="0"/>
        <cfvo type="num" val="0.6"/>
        <cfvo type="num" val="1"/>
        <color rgb="FFFF0000"/>
        <color rgb="FFFFFF00"/>
        <color rgb="FF92FB4B"/>
      </colorScale>
    </cfRule>
  </conditionalFormatting>
  <conditionalFormatting sqref="P86">
    <cfRule type="colorScale" priority="28">
      <colorScale>
        <cfvo type="num" val="0"/>
        <cfvo type="num" val="0.6"/>
        <cfvo type="num" val="1"/>
        <color rgb="FFFF0000"/>
        <color rgb="FFFFFF00"/>
        <color rgb="FF92FB4B"/>
      </colorScale>
    </cfRule>
  </conditionalFormatting>
  <conditionalFormatting sqref="P87">
    <cfRule type="colorScale" priority="27">
      <colorScale>
        <cfvo type="num" val="0"/>
        <cfvo type="num" val="0.6"/>
        <cfvo type="num" val="1"/>
        <color rgb="FFFF0000"/>
        <color rgb="FFFFFF00"/>
        <color rgb="FF92FB4B"/>
      </colorScale>
    </cfRule>
  </conditionalFormatting>
  <conditionalFormatting sqref="P92">
    <cfRule type="colorScale" priority="26">
      <colorScale>
        <cfvo type="num" val="0"/>
        <cfvo type="num" val="0.6"/>
        <cfvo type="num" val="1"/>
        <color rgb="FFFF0000"/>
        <color rgb="FFFFFF00"/>
        <color rgb="FF92FB4B"/>
      </colorScale>
    </cfRule>
  </conditionalFormatting>
  <conditionalFormatting sqref="P93">
    <cfRule type="colorScale" priority="25">
      <colorScale>
        <cfvo type="num" val="0"/>
        <cfvo type="num" val="0.6"/>
        <cfvo type="num" val="1"/>
        <color rgb="FFFF0000"/>
        <color rgb="FFFFFF00"/>
        <color rgb="FF92FB4B"/>
      </colorScale>
    </cfRule>
  </conditionalFormatting>
  <conditionalFormatting sqref="P94">
    <cfRule type="colorScale" priority="24">
      <colorScale>
        <cfvo type="num" val="0"/>
        <cfvo type="num" val="0.6"/>
        <cfvo type="num" val="1"/>
        <color rgb="FFFF0000"/>
        <color rgb="FFFFFF00"/>
        <color rgb="FF92FB4B"/>
      </colorScale>
    </cfRule>
  </conditionalFormatting>
  <conditionalFormatting sqref="P97">
    <cfRule type="colorScale" priority="23">
      <colorScale>
        <cfvo type="num" val="0"/>
        <cfvo type="num" val="0.6"/>
        <cfvo type="num" val="1"/>
        <color rgb="FFFF0000"/>
        <color rgb="FFFFFF00"/>
        <color rgb="FF92FB4B"/>
      </colorScale>
    </cfRule>
  </conditionalFormatting>
  <conditionalFormatting sqref="P98">
    <cfRule type="colorScale" priority="22">
      <colorScale>
        <cfvo type="num" val="0"/>
        <cfvo type="num" val="0.6"/>
        <cfvo type="num" val="1"/>
        <color rgb="FFFF0000"/>
        <color rgb="FFFFFF00"/>
        <color rgb="FF92FB4B"/>
      </colorScale>
    </cfRule>
  </conditionalFormatting>
  <conditionalFormatting sqref="P99">
    <cfRule type="colorScale" priority="21">
      <colorScale>
        <cfvo type="num" val="0"/>
        <cfvo type="num" val="0.6"/>
        <cfvo type="num" val="1"/>
        <color rgb="FFFF0000"/>
        <color rgb="FFFFFF00"/>
        <color rgb="FF92FB4B"/>
      </colorScale>
    </cfRule>
  </conditionalFormatting>
  <conditionalFormatting sqref="P100">
    <cfRule type="colorScale" priority="20">
      <colorScale>
        <cfvo type="num" val="0"/>
        <cfvo type="num" val="0.6"/>
        <cfvo type="num" val="1"/>
        <color rgb="FFFF0000"/>
        <color rgb="FFFFFF00"/>
        <color rgb="FF92FB4B"/>
      </colorScale>
    </cfRule>
  </conditionalFormatting>
  <conditionalFormatting sqref="N13:N14">
    <cfRule type="colorScale" priority="19">
      <colorScale>
        <cfvo type="num" val="0"/>
        <cfvo type="num" val="0.6"/>
        <cfvo type="num" val="1"/>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DE5795A3-5EF3-4D16-9E6F-09C9E18B78D3}">
      <formula1>$F$112:$F$166</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D9FA3-F84D-4BCF-A370-EF9F9996904E}">
  <dimension ref="A1:AA168"/>
  <sheetViews>
    <sheetView topLeftCell="G1" zoomScale="60" zoomScaleNormal="60" workbookViewId="0">
      <selection activeCell="I13" sqref="I13 K13"/>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871"/>
      <c r="R1" s="3"/>
      <c r="S1" s="4"/>
      <c r="U1" s="872"/>
      <c r="V1" s="872"/>
      <c r="W1" s="872"/>
      <c r="X1" s="872"/>
      <c r="Y1" s="872"/>
      <c r="Z1" s="872"/>
      <c r="AA1" s="872"/>
    </row>
    <row r="2" spans="1:27" ht="30" x14ac:dyDescent="1.1000000000000001">
      <c r="B2" s="873"/>
      <c r="C2" s="874"/>
      <c r="D2" s="875" t="s">
        <v>286</v>
      </c>
      <c r="E2" s="874"/>
      <c r="F2" s="876"/>
      <c r="G2" s="876"/>
      <c r="H2" s="876"/>
      <c r="I2" s="876"/>
      <c r="J2" s="876"/>
      <c r="K2" s="876"/>
      <c r="L2" s="876"/>
      <c r="M2" s="876"/>
      <c r="N2" s="876"/>
      <c r="O2" s="876"/>
      <c r="P2" s="876"/>
      <c r="Q2" s="874"/>
      <c r="R2" s="876"/>
      <c r="S2" s="6"/>
    </row>
    <row r="3" spans="1:27" ht="14.65" thickBot="1" x14ac:dyDescent="0.5">
      <c r="B3" s="877"/>
      <c r="C3" s="878"/>
      <c r="D3" s="878"/>
      <c r="E3" s="878"/>
      <c r="F3" s="879"/>
      <c r="G3" s="879"/>
      <c r="H3" s="879"/>
      <c r="I3" s="879"/>
      <c r="J3" s="879"/>
      <c r="K3" s="879"/>
      <c r="L3" s="879"/>
      <c r="M3" s="879"/>
      <c r="N3" s="879"/>
      <c r="O3" s="879"/>
      <c r="P3" s="879"/>
      <c r="Q3" s="878"/>
      <c r="R3" s="879"/>
      <c r="S3" s="7"/>
    </row>
    <row r="4" spans="1:27" ht="26.45" customHeight="1" thickBot="1" x14ac:dyDescent="0.5">
      <c r="B4" s="877"/>
      <c r="C4" s="878"/>
      <c r="D4" s="880" t="s">
        <v>195</v>
      </c>
      <c r="E4" s="878"/>
      <c r="F4" s="8" t="s">
        <v>198</v>
      </c>
      <c r="G4" s="879"/>
      <c r="H4" s="879"/>
      <c r="I4" s="879"/>
      <c r="J4" s="879"/>
      <c r="K4" s="1737" t="s">
        <v>723</v>
      </c>
      <c r="L4" s="1738"/>
      <c r="M4" s="1739"/>
      <c r="N4" s="881">
        <f>(N9+N46+N59+N69+N76+N79+N92)/7</f>
        <v>-6.7914209486197237</v>
      </c>
      <c r="O4" s="882">
        <f>(O9+O46+O59+O69+O76+O79+O92)</f>
        <v>37.486272568440953</v>
      </c>
      <c r="P4" s="881">
        <f>O4/100</f>
        <v>0.37486272568440954</v>
      </c>
      <c r="Q4" s="878"/>
      <c r="R4" s="879"/>
      <c r="S4" s="7"/>
    </row>
    <row r="5" spans="1:27" ht="18.399999999999999" thickBot="1" x14ac:dyDescent="0.6">
      <c r="B5" s="1740"/>
      <c r="C5" s="1741"/>
      <c r="D5" s="1741"/>
      <c r="E5" s="1741"/>
      <c r="F5" s="1741"/>
      <c r="G5" s="1741"/>
      <c r="H5" s="1741"/>
      <c r="I5" s="1741"/>
      <c r="J5" s="1741"/>
      <c r="K5" s="1741"/>
      <c r="L5" s="68"/>
      <c r="M5" s="883">
        <f>100/28</f>
        <v>3.5714285714285716</v>
      </c>
      <c r="N5" s="9"/>
      <c r="O5" s="647"/>
      <c r="P5" s="647"/>
      <c r="Q5" s="884"/>
      <c r="R5" s="9"/>
      <c r="S5" s="10"/>
    </row>
    <row r="6" spans="1:27" ht="33.6" customHeight="1" thickBot="1" x14ac:dyDescent="0.5">
      <c r="B6" s="1742"/>
      <c r="C6" s="1743"/>
      <c r="D6" s="1743"/>
      <c r="E6" s="1743"/>
      <c r="F6" s="1744"/>
      <c r="G6" s="885"/>
      <c r="H6" s="885"/>
      <c r="I6" s="885"/>
      <c r="J6" s="885"/>
      <c r="K6" s="885"/>
      <c r="L6" s="885"/>
      <c r="M6" s="885"/>
      <c r="N6" s="886"/>
      <c r="O6" s="887"/>
      <c r="P6" s="887"/>
      <c r="Q6" s="886"/>
      <c r="R6" s="12"/>
      <c r="S6" s="13"/>
    </row>
    <row r="7" spans="1:27" ht="55.8" customHeight="1" thickBot="1" x14ac:dyDescent="0.5">
      <c r="B7" s="1745"/>
      <c r="C7" s="1746"/>
      <c r="D7" s="1746"/>
      <c r="E7" s="1746"/>
      <c r="F7" s="1747"/>
      <c r="G7" s="888"/>
      <c r="H7" s="889" t="s">
        <v>218</v>
      </c>
      <c r="I7" s="890" t="s">
        <v>219</v>
      </c>
      <c r="J7" s="891" t="s">
        <v>91</v>
      </c>
      <c r="K7" s="892" t="s">
        <v>107</v>
      </c>
      <c r="L7" s="892" t="s">
        <v>104</v>
      </c>
      <c r="M7" s="892" t="s">
        <v>105</v>
      </c>
      <c r="N7" s="890" t="s">
        <v>106</v>
      </c>
      <c r="O7" s="890" t="s">
        <v>646</v>
      </c>
      <c r="P7" s="893" t="s">
        <v>647</v>
      </c>
      <c r="Q7" s="894" t="s">
        <v>93</v>
      </c>
      <c r="R7" s="895" t="s">
        <v>110</v>
      </c>
      <c r="S7" s="896" t="s">
        <v>103</v>
      </c>
    </row>
    <row r="8" spans="1:27" ht="25.25" customHeight="1" thickBot="1" x14ac:dyDescent="0.5">
      <c r="B8" s="897" t="s">
        <v>2</v>
      </c>
      <c r="C8" s="897" t="s">
        <v>92</v>
      </c>
      <c r="D8" s="897" t="s">
        <v>3</v>
      </c>
      <c r="E8" s="897" t="s">
        <v>94</v>
      </c>
      <c r="F8" s="897" t="s">
        <v>102</v>
      </c>
      <c r="G8" s="897" t="s">
        <v>96</v>
      </c>
      <c r="H8" s="898"/>
      <c r="I8" s="899"/>
      <c r="J8" s="898"/>
      <c r="K8" s="900"/>
      <c r="L8" s="900"/>
      <c r="M8" s="897"/>
      <c r="N8" s="901"/>
      <c r="O8" s="902"/>
      <c r="P8" s="903"/>
      <c r="Q8" s="899"/>
      <c r="R8" s="901"/>
      <c r="S8" s="901"/>
      <c r="V8" s="904" t="s">
        <v>151</v>
      </c>
      <c r="W8" s="905"/>
      <c r="X8" s="905"/>
      <c r="Y8" s="905"/>
      <c r="Z8" s="906"/>
    </row>
    <row r="9" spans="1:27" s="207" customFormat="1" ht="25.25" customHeight="1" thickBot="1" x14ac:dyDescent="0.5">
      <c r="B9" s="1748" t="s">
        <v>0</v>
      </c>
      <c r="C9" s="1749"/>
      <c r="D9" s="1749"/>
      <c r="E9" s="1749"/>
      <c r="F9" s="1750"/>
      <c r="G9" s="907"/>
      <c r="H9" s="908"/>
      <c r="I9" s="909"/>
      <c r="J9" s="910"/>
      <c r="K9" s="910"/>
      <c r="L9" s="910"/>
      <c r="M9" s="907"/>
      <c r="N9" s="911">
        <f>(N10+N18+N23+N32+N37+N40+N43)/7</f>
        <v>0.44614036176989952</v>
      </c>
      <c r="O9" s="912">
        <f>(O10+O18+O23+O32+O37+O40+O43)</f>
        <v>15.364135541870436</v>
      </c>
      <c r="P9" s="913">
        <f>O9/42.857136</f>
        <v>0.35849655333642538</v>
      </c>
      <c r="Q9" s="910"/>
      <c r="R9" s="914"/>
      <c r="S9" s="914"/>
      <c r="U9" s="915"/>
      <c r="V9" s="916"/>
      <c r="W9" s="917"/>
      <c r="X9" s="917"/>
      <c r="Y9" s="917"/>
      <c r="Z9" s="918"/>
      <c r="AA9" s="915"/>
    </row>
    <row r="10" spans="1:27" s="109" customFormat="1" ht="25.25" customHeight="1" thickBot="1" x14ac:dyDescent="0.5">
      <c r="B10" s="1751" t="s">
        <v>1</v>
      </c>
      <c r="C10" s="1752"/>
      <c r="D10" s="1752"/>
      <c r="E10" s="1752"/>
      <c r="F10" s="1753"/>
      <c r="G10" s="919"/>
      <c r="H10" s="920"/>
      <c r="I10" s="921"/>
      <c r="J10" s="922"/>
      <c r="K10" s="922"/>
      <c r="L10" s="922"/>
      <c r="M10" s="919"/>
      <c r="N10" s="911">
        <f>(N11+N13+N15)/3</f>
        <v>1.2161415828078626</v>
      </c>
      <c r="O10" s="912">
        <f>(O11+O13+O15)</f>
        <v>8.6393715227108867</v>
      </c>
      <c r="P10" s="913">
        <f>O10/10.714284</f>
        <v>0.8063414711343182</v>
      </c>
      <c r="Q10" s="922"/>
      <c r="R10" s="923"/>
      <c r="S10" s="923"/>
      <c r="U10" s="924"/>
      <c r="V10" s="925"/>
      <c r="W10" s="926"/>
      <c r="X10" s="926"/>
      <c r="Y10" s="926"/>
      <c r="Z10" s="927"/>
      <c r="AA10" s="924"/>
    </row>
    <row r="11" spans="1:27" ht="27.6" customHeight="1" x14ac:dyDescent="0.45">
      <c r="A11" s="1617">
        <v>1</v>
      </c>
      <c r="B11" s="1733" t="s">
        <v>4</v>
      </c>
      <c r="C11" s="1735">
        <f>M5</f>
        <v>3.5714285714285716</v>
      </c>
      <c r="D11" s="928" t="s">
        <v>111</v>
      </c>
      <c r="E11" s="929">
        <f>$C$11/2</f>
        <v>1.7857142857142858</v>
      </c>
      <c r="F11" s="930" t="s">
        <v>5</v>
      </c>
      <c r="G11" s="931">
        <f>E11/1</f>
        <v>1.7857142857142858</v>
      </c>
      <c r="H11" s="302">
        <v>387826.8</v>
      </c>
      <c r="I11" s="303">
        <v>340729</v>
      </c>
      <c r="J11" s="932">
        <f>(H11-I11)</f>
        <v>47097.799999999988</v>
      </c>
      <c r="K11" s="933">
        <f>(0.3*I11)*6/10</f>
        <v>61331.219999999994</v>
      </c>
      <c r="L11" s="934">
        <f>I11+K11</f>
        <v>402060.22</v>
      </c>
      <c r="M11" s="935">
        <f>IF(K11&lt;&gt;0,J11/K11,"0%")</f>
        <v>0.76792537308078979</v>
      </c>
      <c r="N11" s="1731">
        <f>(((G11/C11)*M11)+((G12/C11)*M12))</f>
        <v>1.697093999671708</v>
      </c>
      <c r="O11" s="1646">
        <f>IF((((G11/C11)*M11)+((G12/C11)*M12))&gt;=1,3.57148,IF((((G11/C11)*M11)+((G12/C11)*M12))&lt;=0,0, (((G11/C11)*M11)+((G12/C11)*M12))*3.571428))</f>
        <v>3.5714800000000002</v>
      </c>
      <c r="P11" s="1630">
        <f>O11/3.571428</f>
        <v>1.0000145600023296</v>
      </c>
      <c r="Q11" s="936" t="s">
        <v>97</v>
      </c>
      <c r="R11" s="154" t="s">
        <v>365</v>
      </c>
      <c r="S11" s="155" t="s">
        <v>366</v>
      </c>
      <c r="V11" s="937" t="s">
        <v>109</v>
      </c>
      <c r="W11" s="938" t="e">
        <f>#REF!</f>
        <v>#REF!</v>
      </c>
      <c r="X11" s="939"/>
      <c r="Y11" s="939"/>
      <c r="Z11" s="940"/>
    </row>
    <row r="12" spans="1:27" ht="27" customHeight="1" thickBot="1" x14ac:dyDescent="0.5">
      <c r="A12" s="1617"/>
      <c r="B12" s="1734"/>
      <c r="C12" s="1736"/>
      <c r="D12" s="941" t="s">
        <v>112</v>
      </c>
      <c r="E12" s="942">
        <f>$C$11/2</f>
        <v>1.7857142857142858</v>
      </c>
      <c r="F12" s="943" t="s">
        <v>281</v>
      </c>
      <c r="G12" s="944">
        <f>E12/1</f>
        <v>1.7857142857142858</v>
      </c>
      <c r="H12" s="654">
        <v>4</v>
      </c>
      <c r="I12" s="655">
        <v>6.6</v>
      </c>
      <c r="J12" s="947">
        <f>I12-H12</f>
        <v>2.5999999999999996</v>
      </c>
      <c r="K12" s="948">
        <f>(0.25*I12)*(6/10)</f>
        <v>0.98999999999999988</v>
      </c>
      <c r="L12" s="949">
        <f>I12-K12</f>
        <v>5.6099999999999994</v>
      </c>
      <c r="M12" s="950">
        <f>IF(K12&lt;&gt;0,J12/K12,"0%")</f>
        <v>2.6262626262626263</v>
      </c>
      <c r="N12" s="1732"/>
      <c r="O12" s="1647"/>
      <c r="P12" s="1631"/>
      <c r="Q12" s="951" t="s">
        <v>98</v>
      </c>
      <c r="R12" s="108" t="s">
        <v>655</v>
      </c>
      <c r="S12" s="108" t="s">
        <v>656</v>
      </c>
      <c r="V12" s="952">
        <v>0.02</v>
      </c>
      <c r="W12" s="953" t="e">
        <f>(W11-(W11*V12))</f>
        <v>#REF!</v>
      </c>
      <c r="X12" s="953" t="e">
        <f>W11-(V12*W11)</f>
        <v>#REF!</v>
      </c>
      <c r="Y12" s="939"/>
      <c r="Z12" s="940"/>
    </row>
    <row r="13" spans="1:27" ht="32.450000000000003" customHeight="1" thickBot="1" x14ac:dyDescent="0.5">
      <c r="A13" s="1617">
        <v>2</v>
      </c>
      <c r="B13" s="1754" t="s">
        <v>6</v>
      </c>
      <c r="C13" s="1756">
        <f>M5</f>
        <v>3.5714285714285716</v>
      </c>
      <c r="D13" s="954" t="s">
        <v>273</v>
      </c>
      <c r="E13" s="955">
        <f>$C$13/2</f>
        <v>1.7857142857142858</v>
      </c>
      <c r="F13" s="956" t="s">
        <v>7</v>
      </c>
      <c r="G13" s="957">
        <f>E13/1</f>
        <v>1.7857142857142858</v>
      </c>
      <c r="H13" s="1271">
        <v>17.8</v>
      </c>
      <c r="I13" s="958">
        <v>21</v>
      </c>
      <c r="J13" s="959">
        <f>IF(I13=H13,(5-H13),I13-H13)</f>
        <v>3.1999999999999993</v>
      </c>
      <c r="K13" s="960">
        <f>IF(I13&lt;=5,0,((I13-5)*(6/10)))</f>
        <v>9.6</v>
      </c>
      <c r="L13" s="961">
        <f>I13-K13</f>
        <v>11.4</v>
      </c>
      <c r="M13" s="962">
        <f>IF(I13&lt;=5,(1+(5-H13)/5),(J13/K13))</f>
        <v>0.33333333333333326</v>
      </c>
      <c r="N13" s="1731">
        <f>(((G13/C13)*M13)+((G14/C13)*M14))</f>
        <v>0.4190098534006248</v>
      </c>
      <c r="O13" s="1646">
        <f>IF((((G13/C13)*M13)+((G14/C13)*M14))&gt;=1,3.57148,IF((((G13/C13)*M13)+((G14/C13)*M14))&lt;=0,0, (((G13/C13)*M13)+((G14/C13)*M14))*3.571428))</f>
        <v>1.4964635227108867</v>
      </c>
      <c r="P13" s="1630">
        <f>O13/3.571428</f>
        <v>0.4190098534006248</v>
      </c>
      <c r="Q13" s="963" t="s">
        <v>99</v>
      </c>
      <c r="R13" s="108" t="s">
        <v>367</v>
      </c>
      <c r="S13" s="656" t="s">
        <v>657</v>
      </c>
      <c r="V13" s="952">
        <v>0.02</v>
      </c>
      <c r="W13" s="953" t="e">
        <f>(#REF!-(#REF!*V13))</f>
        <v>#REF!</v>
      </c>
      <c r="X13" s="953" t="e">
        <f>(W11-(V12*W11))-((W11-(V12*W11))*0.02)-(((W11-(V12*W11))-((W11-(V12*W11))*0.02))*0.02)-(((W11-(V12*W11))-((W11-(V12*W11))*0.02)-(((W11-(V12*W11))-((W11-(V12*W11))*0.02))*0.02))*0.02)</f>
        <v>#REF!</v>
      </c>
      <c r="Y13" s="964" t="e">
        <f>(W11-W14)/W11</f>
        <v>#REF!</v>
      </c>
      <c r="Z13" s="940"/>
    </row>
    <row r="14" spans="1:27" ht="33" customHeight="1" thickBot="1" x14ac:dyDescent="0.5">
      <c r="A14" s="1617"/>
      <c r="B14" s="1755"/>
      <c r="C14" s="1757"/>
      <c r="D14" s="941" t="s">
        <v>274</v>
      </c>
      <c r="E14" s="965">
        <f>$C$13/2</f>
        <v>1.7857142857142858</v>
      </c>
      <c r="F14" s="966" t="s">
        <v>8</v>
      </c>
      <c r="G14" s="967">
        <f>E14/1</f>
        <v>1.7857142857142858</v>
      </c>
      <c r="H14" s="1272">
        <v>74</v>
      </c>
      <c r="I14" s="1273">
        <v>63.5</v>
      </c>
      <c r="J14" s="968">
        <f>H14-I14</f>
        <v>10.5</v>
      </c>
      <c r="K14" s="969">
        <f>(0.95*(100-I14))*6/10</f>
        <v>20.805</v>
      </c>
      <c r="L14" s="970">
        <f>K14+I14</f>
        <v>84.305000000000007</v>
      </c>
      <c r="M14" s="971">
        <f>IF(K14&lt;&gt;0,J14/K14,"1%")</f>
        <v>0.50468637346791634</v>
      </c>
      <c r="N14" s="1732"/>
      <c r="O14" s="1647"/>
      <c r="P14" s="1631"/>
      <c r="Q14" s="972" t="s">
        <v>100</v>
      </c>
      <c r="R14" s="108" t="s">
        <v>368</v>
      </c>
      <c r="S14" s="657" t="s">
        <v>369</v>
      </c>
      <c r="V14" s="973">
        <v>0.02</v>
      </c>
      <c r="W14" s="974" t="e">
        <f>(#REF!-(#REF!*V14))</f>
        <v>#REF!</v>
      </c>
      <c r="X14" s="974"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975" t="e">
        <f>W11-X14</f>
        <v>#REF!</v>
      </c>
      <c r="Z14" s="976"/>
    </row>
    <row r="15" spans="1:27" ht="22.25" customHeight="1" thickBot="1" x14ac:dyDescent="0.5">
      <c r="A15" s="1651">
        <v>3</v>
      </c>
      <c r="B15" s="1727" t="s">
        <v>9</v>
      </c>
      <c r="C15" s="1729">
        <f>M5</f>
        <v>3.5714285714285716</v>
      </c>
      <c r="D15" s="1727" t="s">
        <v>113</v>
      </c>
      <c r="E15" s="1729">
        <f>$C$15/1</f>
        <v>3.5714285714285716</v>
      </c>
      <c r="F15" s="977" t="s">
        <v>221</v>
      </c>
      <c r="G15" s="978">
        <f>$E$15/3</f>
        <v>1.1904761904761905</v>
      </c>
      <c r="H15" s="487">
        <v>21.34</v>
      </c>
      <c r="I15" s="658">
        <v>16.82</v>
      </c>
      <c r="J15" s="979">
        <f>H15-I15</f>
        <v>4.5199999999999996</v>
      </c>
      <c r="K15" s="980">
        <f>(0.5*I15)*6/10</f>
        <v>5.0460000000000003</v>
      </c>
      <c r="L15" s="934">
        <f>I15+K15</f>
        <v>21.866</v>
      </c>
      <c r="M15" s="935">
        <f>IF(K15&lt;&gt;0,J15/K15,"0%")</f>
        <v>0.89575901704320238</v>
      </c>
      <c r="N15" s="1702">
        <f>(((G15/C15)*M15)+((G16/C15)*M16)+((G17/C15)*M17))</f>
        <v>1.5323208953512546</v>
      </c>
      <c r="O15" s="1632">
        <f>IF((((G15/C15)*M15)+((G16/C15)*M16)+((G17/C15)*M17))&gt;=1,3.571428,IF((((G15/C15)*M15)+((G16/C15)*M16)+((G17/C15)*M17))&lt;=0,0,(((G15/C15)*M15)+((G16/C15)*M16)+((G17/C15)*M17))*3.571428))</f>
        <v>3.571428</v>
      </c>
      <c r="P15" s="1630">
        <f>O15/3.571428</f>
        <v>1</v>
      </c>
      <c r="Q15" s="981" t="s">
        <v>101</v>
      </c>
      <c r="R15" s="108" t="s">
        <v>370</v>
      </c>
      <c r="S15" s="218" t="s">
        <v>658</v>
      </c>
    </row>
    <row r="16" spans="1:27" ht="58.5" thickBot="1" x14ac:dyDescent="0.5">
      <c r="A16" s="1651"/>
      <c r="B16" s="1727"/>
      <c r="C16" s="1729"/>
      <c r="D16" s="1727"/>
      <c r="E16" s="1729"/>
      <c r="F16" s="982" t="s">
        <v>220</v>
      </c>
      <c r="G16" s="983">
        <f t="shared" ref="G16:G17" si="0">$E$15/3</f>
        <v>1.1904761904761905</v>
      </c>
      <c r="H16" s="233">
        <v>35.71</v>
      </c>
      <c r="I16" s="234">
        <v>28.81</v>
      </c>
      <c r="J16" s="986">
        <f>H16-I16</f>
        <v>6.9000000000000021</v>
      </c>
      <c r="K16" s="987">
        <f>(0.5*I16)*6/10</f>
        <v>8.6429999999999989</v>
      </c>
      <c r="L16" s="988">
        <f t="shared" ref="L16:L17" si="1">I16+K16</f>
        <v>37.452999999999996</v>
      </c>
      <c r="M16" s="989">
        <f>IF(K16&lt;&gt;0,J16/K16,"0%")</f>
        <v>0.79833391183616831</v>
      </c>
      <c r="N16" s="1657"/>
      <c r="O16" s="1633"/>
      <c r="P16" s="1635"/>
      <c r="Q16" s="990" t="s">
        <v>95</v>
      </c>
      <c r="R16" s="108" t="s">
        <v>370</v>
      </c>
      <c r="S16" s="318" t="s">
        <v>659</v>
      </c>
    </row>
    <row r="17" spans="1:19" ht="25.25" customHeight="1" thickBot="1" x14ac:dyDescent="0.5">
      <c r="A17" s="1651"/>
      <c r="B17" s="1728"/>
      <c r="C17" s="1730"/>
      <c r="D17" s="1728"/>
      <c r="E17" s="1730"/>
      <c r="F17" s="991" t="s">
        <v>10</v>
      </c>
      <c r="G17" s="992">
        <f t="shared" si="0"/>
        <v>1.1904761904761905</v>
      </c>
      <c r="H17" s="111">
        <v>28.25</v>
      </c>
      <c r="I17" s="112">
        <v>15.1</v>
      </c>
      <c r="J17" s="993">
        <f>H17-I17</f>
        <v>13.15</v>
      </c>
      <c r="K17" s="994">
        <f>(0.5*I17)*6/10</f>
        <v>4.5299999999999994</v>
      </c>
      <c r="L17" s="949">
        <f t="shared" si="1"/>
        <v>19.63</v>
      </c>
      <c r="M17" s="950">
        <f>IF(K17&lt;&gt;0,J17/K17,"0%")</f>
        <v>2.9028697571743933</v>
      </c>
      <c r="N17" s="1703"/>
      <c r="O17" s="1634"/>
      <c r="P17" s="1635"/>
      <c r="Q17" s="995" t="s">
        <v>162</v>
      </c>
      <c r="R17" s="209" t="s">
        <v>371</v>
      </c>
      <c r="S17" s="659" t="s">
        <v>372</v>
      </c>
    </row>
    <row r="18" spans="1:19" ht="21.4" thickBot="1" x14ac:dyDescent="0.7">
      <c r="A18" s="14"/>
      <c r="B18" s="1670" t="s">
        <v>11</v>
      </c>
      <c r="C18" s="1671"/>
      <c r="D18" s="1671"/>
      <c r="E18" s="1671"/>
      <c r="F18" s="1672"/>
      <c r="G18" s="996"/>
      <c r="H18" s="1274"/>
      <c r="I18" s="1274"/>
      <c r="J18" s="997"/>
      <c r="K18" s="997"/>
      <c r="L18" s="997"/>
      <c r="M18" s="998"/>
      <c r="N18" s="911">
        <f>N19</f>
        <v>0.18063762767204322</v>
      </c>
      <c r="O18" s="912">
        <f>O19</f>
        <v>0.64513428132150996</v>
      </c>
      <c r="P18" s="913">
        <f>O18/3.571428</f>
        <v>0.18063762767204322</v>
      </c>
      <c r="Q18" s="997"/>
      <c r="R18" s="18"/>
      <c r="S18" s="18"/>
    </row>
    <row r="19" spans="1:19" ht="34.25" customHeight="1" thickBot="1" x14ac:dyDescent="0.5">
      <c r="A19" s="1617">
        <v>4</v>
      </c>
      <c r="B19" s="1618" t="s">
        <v>12</v>
      </c>
      <c r="C19" s="1678">
        <f>M5</f>
        <v>3.5714285714285716</v>
      </c>
      <c r="D19" s="999" t="s">
        <v>114</v>
      </c>
      <c r="E19" s="931">
        <f>$C$19/4</f>
        <v>0.8928571428571429</v>
      </c>
      <c r="F19" s="1000" t="s">
        <v>222</v>
      </c>
      <c r="G19" s="978">
        <f>E19/1</f>
        <v>0.8928571428571429</v>
      </c>
      <c r="H19" s="101">
        <v>4.0999999999999996</v>
      </c>
      <c r="I19" s="106">
        <v>3.8</v>
      </c>
      <c r="J19" s="1001">
        <f>H19-I19</f>
        <v>0.29999999999999982</v>
      </c>
      <c r="K19" s="980">
        <f>(2*I19)*6/10</f>
        <v>4.5599999999999996</v>
      </c>
      <c r="L19" s="1002">
        <f t="shared" ref="L19:L22" si="2">K19+I19</f>
        <v>8.36</v>
      </c>
      <c r="M19" s="935">
        <f>IF(K19&lt;&gt;0,J19/K19,"0%")</f>
        <v>6.5789473684210495E-2</v>
      </c>
      <c r="N19" s="1721">
        <f>(((G19/C19)*M19)+((G20/C19)*M20)+((G21/C19)*M21)+((G22/C19)*M22))</f>
        <v>0.18063762767204322</v>
      </c>
      <c r="O19" s="1723">
        <f>IF((((G19/C19)*M19)+((G20/C19)*M20)+((G21/C19)*M21)+((G22/C19)*M22))&gt;=1,3.571428,IF((((G19/C19)*M19)+((G20/C19)*M20)+((G21/C19)*M21)+((G22/C19)*M22))&lt;=0,0,((((G19/C19)*M19)+((G20/C19)*M20)+((G21/C19)*M21)+((G22/C19)*M22))*3.571428)))</f>
        <v>0.64513428132150996</v>
      </c>
      <c r="P19" s="1630">
        <f>O19/3.571428</f>
        <v>0.18063762767204322</v>
      </c>
      <c r="Q19" s="1003" t="s">
        <v>163</v>
      </c>
      <c r="R19" s="210" t="s">
        <v>373</v>
      </c>
      <c r="S19" s="660" t="s">
        <v>374</v>
      </c>
    </row>
    <row r="20" spans="1:19" ht="39" customHeight="1" thickBot="1" x14ac:dyDescent="0.5">
      <c r="A20" s="1617"/>
      <c r="B20" s="1619"/>
      <c r="C20" s="1685"/>
      <c r="D20" s="1004" t="s">
        <v>152</v>
      </c>
      <c r="E20" s="1005">
        <f>($C$19/4)</f>
        <v>0.8928571428571429</v>
      </c>
      <c r="F20" s="1006" t="s">
        <v>265</v>
      </c>
      <c r="G20" s="983">
        <f>E20/1</f>
        <v>0.8928571428571429</v>
      </c>
      <c r="H20" s="113">
        <v>74.3</v>
      </c>
      <c r="I20" s="107">
        <v>63.2</v>
      </c>
      <c r="J20" s="1007">
        <f t="shared" ref="J20:J24" si="3">H20-I20</f>
        <v>11.099999999999994</v>
      </c>
      <c r="K20" s="987">
        <f>(100-I20)*(6/10)</f>
        <v>22.08</v>
      </c>
      <c r="L20" s="1008">
        <f t="shared" si="2"/>
        <v>85.28</v>
      </c>
      <c r="M20" s="935">
        <f>IF(K20&lt;&gt;0,J20/K20,"0%")</f>
        <v>0.50271739130434756</v>
      </c>
      <c r="N20" s="1722"/>
      <c r="O20" s="1633"/>
      <c r="P20" s="1635"/>
      <c r="Q20" s="1009" t="s">
        <v>164</v>
      </c>
      <c r="R20" s="210" t="s">
        <v>373</v>
      </c>
      <c r="S20" s="108" t="s">
        <v>374</v>
      </c>
    </row>
    <row r="21" spans="1:19" ht="56.45" customHeight="1" x14ac:dyDescent="0.45">
      <c r="A21" s="1617"/>
      <c r="B21" s="1619"/>
      <c r="C21" s="1685"/>
      <c r="D21" s="1004" t="s">
        <v>153</v>
      </c>
      <c r="E21" s="1005">
        <f t="shared" ref="E21:E22" si="4">($C$19/4)</f>
        <v>0.8928571428571429</v>
      </c>
      <c r="F21" s="1006" t="s">
        <v>155</v>
      </c>
      <c r="G21" s="983">
        <f>E21/1</f>
        <v>0.8928571428571429</v>
      </c>
      <c r="H21" s="119"/>
      <c r="I21" s="120"/>
      <c r="J21" s="1007">
        <f t="shared" si="3"/>
        <v>0</v>
      </c>
      <c r="K21" s="987">
        <f>(0.3*I21)*6/10</f>
        <v>0</v>
      </c>
      <c r="L21" s="1008">
        <f t="shared" si="2"/>
        <v>0</v>
      </c>
      <c r="M21" s="989" t="str">
        <f>IF(K21&lt;&gt;0,J21/K21,"0%")</f>
        <v>0%</v>
      </c>
      <c r="N21" s="1722"/>
      <c r="O21" s="1633"/>
      <c r="P21" s="1635"/>
      <c r="Q21" s="1009" t="s">
        <v>165</v>
      </c>
      <c r="R21" s="159"/>
      <c r="S21" s="62" t="s">
        <v>538</v>
      </c>
    </row>
    <row r="22" spans="1:19" ht="36.6" customHeight="1" thickBot="1" x14ac:dyDescent="0.5">
      <c r="A22" s="1617"/>
      <c r="B22" s="1724"/>
      <c r="C22" s="1725"/>
      <c r="D22" s="966" t="s">
        <v>154</v>
      </c>
      <c r="E22" s="1010">
        <f t="shared" si="4"/>
        <v>0.8928571428571429</v>
      </c>
      <c r="F22" s="1011" t="s">
        <v>156</v>
      </c>
      <c r="G22" s="1012">
        <f>E22/1</f>
        <v>0.8928571428571429</v>
      </c>
      <c r="H22" s="312">
        <v>29.3</v>
      </c>
      <c r="I22" s="114">
        <v>22.1</v>
      </c>
      <c r="J22" s="1013">
        <f t="shared" si="3"/>
        <v>7.1999999999999993</v>
      </c>
      <c r="K22" s="994">
        <f>(100-I22)*(6/10)</f>
        <v>46.74</v>
      </c>
      <c r="L22" s="1014">
        <f t="shared" si="2"/>
        <v>68.84</v>
      </c>
      <c r="M22" s="950">
        <f>IF(K22&lt;&gt;0,J22/K22,"100%")</f>
        <v>0.15404364569961487</v>
      </c>
      <c r="N22" s="1726"/>
      <c r="O22" s="1634"/>
      <c r="P22" s="1631"/>
      <c r="Q22" s="1015" t="s">
        <v>95</v>
      </c>
      <c r="R22" s="211"/>
      <c r="S22" s="62"/>
    </row>
    <row r="23" spans="1:19" ht="20.45" customHeight="1" thickBot="1" x14ac:dyDescent="0.5">
      <c r="B23" s="1614" t="s">
        <v>13</v>
      </c>
      <c r="C23" s="1615"/>
      <c r="D23" s="1615"/>
      <c r="E23" s="1615"/>
      <c r="F23" s="1616"/>
      <c r="G23" s="996"/>
      <c r="H23" s="1274"/>
      <c r="I23" s="1274"/>
      <c r="J23" s="1016"/>
      <c r="K23" s="1017"/>
      <c r="L23" s="1017"/>
      <c r="M23" s="1018"/>
      <c r="N23" s="911">
        <f>N24</f>
        <v>0.57816856378247217</v>
      </c>
      <c r="O23" s="912">
        <f>O24</f>
        <v>2.064887397412507</v>
      </c>
      <c r="P23" s="913">
        <f>O23/3.571428</f>
        <v>0.57816856378247217</v>
      </c>
      <c r="Q23" s="997"/>
      <c r="R23" s="18"/>
      <c r="S23" s="18"/>
    </row>
    <row r="24" spans="1:19" ht="36" customHeight="1" thickBot="1" x14ac:dyDescent="0.5">
      <c r="A24" s="1617">
        <v>5</v>
      </c>
      <c r="B24" s="1618" t="s">
        <v>14</v>
      </c>
      <c r="C24" s="1678">
        <f>M5</f>
        <v>3.5714285714285716</v>
      </c>
      <c r="D24" s="999" t="s">
        <v>115</v>
      </c>
      <c r="E24" s="931">
        <f>$C$24/4</f>
        <v>0.8928571428571429</v>
      </c>
      <c r="F24" s="999" t="s">
        <v>280</v>
      </c>
      <c r="G24" s="931">
        <f>E24/1</f>
        <v>0.8928571428571429</v>
      </c>
      <c r="H24" s="308">
        <v>31.7</v>
      </c>
      <c r="I24" s="106">
        <v>24</v>
      </c>
      <c r="J24" s="1020">
        <f t="shared" si="3"/>
        <v>7.6999999999999993</v>
      </c>
      <c r="K24" s="980">
        <f>(0.3*I24)*6/10</f>
        <v>4.3199999999999994</v>
      </c>
      <c r="L24" s="1002">
        <f>K24+I24</f>
        <v>28.32</v>
      </c>
      <c r="M24" s="935">
        <f t="shared" ref="M24:M31" si="5">IF(K24&lt;&gt;0,J24/K24,"0%")</f>
        <v>1.7824074074074074</v>
      </c>
      <c r="N24" s="1721">
        <f>(((G24/C24)*M24)+((G25/C24)*M25)+ ((G26/C24)*M26)+((G27/C24)*M27)+((G28/C24)*M28)+((G29/C24)*M29)+((G30/C24)*M30)+((G31/C24)*M31))</f>
        <v>0.57816856378247217</v>
      </c>
      <c r="O24" s="1723">
        <f>IF((((G24/C24)*M24)+((G25/C24)*M25)+ ((G26/C24)*M26)+((G27/C24)*M27)+((G28/C24)*M28)+((G29/C24)*M29)+((G30/C24)*M30)+((G31/C24)*M31))&gt;=1,3.571428,IF((((G24/C24)*M24)+((G25/C24)*M25)+ ((G26/C24)*M26)+((G27/C24)*M27)+((G28/C24)*M28)+((G29/C24)*M29)+((G30/C24)*M30)+((G31/C24)*M31))&lt;=0,0,((((G24/C24)*M24)+((G25/C24)*M25)+ ((G26/C24)*M26)+((G27/C24)*M27)+((G28/C24)*M28)+((G29/C24)*M29)+((G30/C24)*M30)+((G31/C24)*M31))*3.571428)))</f>
        <v>2.064887397412507</v>
      </c>
      <c r="P24" s="1630">
        <f>O24/3.571428</f>
        <v>0.57816856378247217</v>
      </c>
      <c r="Q24" s="1021" t="s">
        <v>166</v>
      </c>
      <c r="R24" s="660" t="s">
        <v>375</v>
      </c>
      <c r="S24" s="660" t="s">
        <v>376</v>
      </c>
    </row>
    <row r="25" spans="1:19" ht="19.8" customHeight="1" thickBot="1" x14ac:dyDescent="0.5">
      <c r="A25" s="1617"/>
      <c r="B25" s="1619"/>
      <c r="C25" s="1685"/>
      <c r="D25" s="1625" t="s">
        <v>158</v>
      </c>
      <c r="E25" s="1688">
        <v>0.9</v>
      </c>
      <c r="F25" s="1004" t="s">
        <v>15</v>
      </c>
      <c r="G25" s="1005">
        <f>$E$25/3</f>
        <v>0.3</v>
      </c>
      <c r="H25" s="299">
        <v>341</v>
      </c>
      <c r="I25" s="107">
        <v>330</v>
      </c>
      <c r="J25" s="1022">
        <f t="shared" ref="J25:J30" si="6">I25-H25</f>
        <v>-11</v>
      </c>
      <c r="K25" s="987">
        <f>(0.5*I25)*6/10</f>
        <v>99</v>
      </c>
      <c r="L25" s="1008">
        <f t="shared" ref="L25:L30" si="7">I25-K25</f>
        <v>231</v>
      </c>
      <c r="M25" s="989">
        <f t="shared" si="5"/>
        <v>-0.1111111111111111</v>
      </c>
      <c r="N25" s="1722"/>
      <c r="O25" s="1633"/>
      <c r="P25" s="1635"/>
      <c r="Q25" s="1023" t="s">
        <v>167</v>
      </c>
      <c r="R25" s="108" t="s">
        <v>660</v>
      </c>
      <c r="S25" s="656" t="s">
        <v>661</v>
      </c>
    </row>
    <row r="26" spans="1:19" ht="19.8" customHeight="1" thickBot="1" x14ac:dyDescent="0.5">
      <c r="A26" s="1617"/>
      <c r="B26" s="1619"/>
      <c r="C26" s="1685"/>
      <c r="D26" s="1713"/>
      <c r="E26" s="1714"/>
      <c r="F26" s="1004" t="s">
        <v>16</v>
      </c>
      <c r="G26" s="1005">
        <f t="shared" ref="G26:G27" si="8">$E$25/3</f>
        <v>0.3</v>
      </c>
      <c r="H26" s="299">
        <v>28.06</v>
      </c>
      <c r="I26" s="107">
        <v>23</v>
      </c>
      <c r="J26" s="1022">
        <f t="shared" si="6"/>
        <v>-5.0599999999999987</v>
      </c>
      <c r="K26" s="987">
        <f>(0.8*I26)*6/10</f>
        <v>11.040000000000001</v>
      </c>
      <c r="L26" s="1008">
        <f t="shared" si="7"/>
        <v>11.959999999999999</v>
      </c>
      <c r="M26" s="989">
        <f t="shared" si="5"/>
        <v>-0.4583333333333332</v>
      </c>
      <c r="N26" s="1722"/>
      <c r="O26" s="1633"/>
      <c r="P26" s="1635"/>
      <c r="Q26" s="1023" t="s">
        <v>168</v>
      </c>
      <c r="R26" s="108" t="s">
        <v>662</v>
      </c>
      <c r="S26" s="656" t="s">
        <v>663</v>
      </c>
    </row>
    <row r="27" spans="1:19" ht="19.8" customHeight="1" thickBot="1" x14ac:dyDescent="0.5">
      <c r="A27" s="1617"/>
      <c r="B27" s="1619"/>
      <c r="C27" s="1685"/>
      <c r="D27" s="1713"/>
      <c r="E27" s="1714"/>
      <c r="F27" s="1004" t="s">
        <v>17</v>
      </c>
      <c r="G27" s="1005">
        <f t="shared" si="8"/>
        <v>0.3</v>
      </c>
      <c r="H27" s="299">
        <v>128.55000000000001</v>
      </c>
      <c r="I27" s="107">
        <v>82</v>
      </c>
      <c r="J27" s="1022">
        <f t="shared" si="6"/>
        <v>-46.550000000000011</v>
      </c>
      <c r="K27" s="987">
        <f>(0.5*I27)*(6/10)</f>
        <v>24.599999999999998</v>
      </c>
      <c r="L27" s="1008">
        <f t="shared" si="7"/>
        <v>57.400000000000006</v>
      </c>
      <c r="M27" s="989">
        <f t="shared" si="5"/>
        <v>-1.8922764227642284</v>
      </c>
      <c r="N27" s="1722"/>
      <c r="O27" s="1633"/>
      <c r="P27" s="1635"/>
      <c r="Q27" s="1023" t="s">
        <v>169</v>
      </c>
      <c r="R27" s="108" t="s">
        <v>662</v>
      </c>
      <c r="S27" s="656" t="s">
        <v>664</v>
      </c>
    </row>
    <row r="28" spans="1:19" ht="30.6" customHeight="1" x14ac:dyDescent="0.45">
      <c r="A28" s="22"/>
      <c r="B28" s="1619"/>
      <c r="C28" s="1685"/>
      <c r="D28" s="1625" t="s">
        <v>116</v>
      </c>
      <c r="E28" s="1688">
        <f t="shared" ref="E28:E31" si="9">$C$24/4</f>
        <v>0.8928571428571429</v>
      </c>
      <c r="F28" s="1004" t="s">
        <v>148</v>
      </c>
      <c r="G28" s="1005">
        <f>$E$28/3</f>
        <v>0.29761904761904762</v>
      </c>
      <c r="H28" s="299"/>
      <c r="I28" s="300"/>
      <c r="J28" s="1022">
        <f t="shared" si="6"/>
        <v>0</v>
      </c>
      <c r="K28" s="987">
        <f>(0.5*I28)*(6/10)</f>
        <v>0</v>
      </c>
      <c r="L28" s="1008">
        <f t="shared" si="7"/>
        <v>0</v>
      </c>
      <c r="M28" s="989" t="str">
        <f t="shared" si="5"/>
        <v>0%</v>
      </c>
      <c r="N28" s="1658"/>
      <c r="O28" s="1633"/>
      <c r="P28" s="1635"/>
      <c r="Q28" s="1023" t="s">
        <v>170</v>
      </c>
      <c r="R28" s="212"/>
      <c r="S28" s="661" t="s">
        <v>665</v>
      </c>
    </row>
    <row r="29" spans="1:19" ht="20.45" customHeight="1" thickBot="1" x14ac:dyDescent="0.5">
      <c r="A29" s="22"/>
      <c r="B29" s="1619"/>
      <c r="C29" s="1685"/>
      <c r="D29" s="1713"/>
      <c r="E29" s="1714"/>
      <c r="F29" s="1004" t="s">
        <v>149</v>
      </c>
      <c r="G29" s="1005">
        <f t="shared" ref="G29:G30" si="10">$E$28/3</f>
        <v>0.29761904761904762</v>
      </c>
      <c r="H29" s="113">
        <v>29.5</v>
      </c>
      <c r="I29" s="107">
        <v>31</v>
      </c>
      <c r="J29" s="1022">
        <f t="shared" si="6"/>
        <v>1.5</v>
      </c>
      <c r="K29" s="987">
        <f>(0.5*I29)*(6/10)</f>
        <v>9.2999999999999989</v>
      </c>
      <c r="L29" s="1008">
        <f t="shared" si="7"/>
        <v>21.700000000000003</v>
      </c>
      <c r="M29" s="989">
        <f t="shared" si="5"/>
        <v>0.16129032258064518</v>
      </c>
      <c r="N29" s="1658"/>
      <c r="O29" s="1633"/>
      <c r="P29" s="1635"/>
      <c r="Q29" s="1023" t="s">
        <v>171</v>
      </c>
      <c r="R29" s="108" t="s">
        <v>377</v>
      </c>
      <c r="S29" s="108" t="s">
        <v>378</v>
      </c>
    </row>
    <row r="30" spans="1:19" ht="20.45" customHeight="1" thickBot="1" x14ac:dyDescent="0.5">
      <c r="A30" s="22"/>
      <c r="B30" s="1718"/>
      <c r="C30" s="1714"/>
      <c r="D30" s="1713"/>
      <c r="E30" s="1714"/>
      <c r="F30" s="1004" t="s">
        <v>150</v>
      </c>
      <c r="G30" s="1005">
        <f t="shared" si="10"/>
        <v>0.29761904761904762</v>
      </c>
      <c r="H30" s="113">
        <v>413</v>
      </c>
      <c r="I30" s="107">
        <v>591</v>
      </c>
      <c r="J30" s="1022">
        <f t="shared" si="6"/>
        <v>178</v>
      </c>
      <c r="K30" s="987">
        <f>(0.5*I30)*(6/10)</f>
        <v>177.29999999999998</v>
      </c>
      <c r="L30" s="1008">
        <f t="shared" si="7"/>
        <v>413.70000000000005</v>
      </c>
      <c r="M30" s="989">
        <f t="shared" si="5"/>
        <v>1.0039481105470953</v>
      </c>
      <c r="N30" s="1658"/>
      <c r="O30" s="1633"/>
      <c r="P30" s="1635"/>
      <c r="Q30" s="1023" t="s">
        <v>172</v>
      </c>
      <c r="R30" s="108" t="s">
        <v>377</v>
      </c>
      <c r="S30" s="108" t="s">
        <v>379</v>
      </c>
    </row>
    <row r="31" spans="1:19" ht="34.9" customHeight="1" thickBot="1" x14ac:dyDescent="0.5">
      <c r="A31" s="22"/>
      <c r="B31" s="1719"/>
      <c r="C31" s="1720"/>
      <c r="D31" s="1024" t="s">
        <v>117</v>
      </c>
      <c r="E31" s="944">
        <f t="shared" si="9"/>
        <v>0.8928571428571429</v>
      </c>
      <c r="F31" s="1025" t="s">
        <v>223</v>
      </c>
      <c r="G31" s="944">
        <f>E31/1</f>
        <v>0.8928571428571429</v>
      </c>
      <c r="H31" s="115">
        <v>94.6</v>
      </c>
      <c r="I31" s="114">
        <v>87.1</v>
      </c>
      <c r="J31" s="1026">
        <f t="shared" ref="J31" si="11">H31-I31</f>
        <v>7.5</v>
      </c>
      <c r="K31" s="994">
        <f>(100-I31)*(6/10)</f>
        <v>7.7400000000000029</v>
      </c>
      <c r="L31" s="1014">
        <f>K31+I31</f>
        <v>94.84</v>
      </c>
      <c r="M31" s="971">
        <f t="shared" si="5"/>
        <v>0.96899224806201512</v>
      </c>
      <c r="N31" s="1659"/>
      <c r="O31" s="1634"/>
      <c r="P31" s="1631"/>
      <c r="Q31" s="1027" t="s">
        <v>95</v>
      </c>
      <c r="R31" s="108" t="s">
        <v>377</v>
      </c>
      <c r="S31" s="57" t="s">
        <v>380</v>
      </c>
    </row>
    <row r="32" spans="1:19" ht="20.45" customHeight="1" thickBot="1" x14ac:dyDescent="0.5">
      <c r="B32" s="1715" t="s">
        <v>18</v>
      </c>
      <c r="C32" s="1716"/>
      <c r="D32" s="1716"/>
      <c r="E32" s="1716"/>
      <c r="F32" s="1717"/>
      <c r="G32" s="996"/>
      <c r="H32" s="242"/>
      <c r="I32" s="243"/>
      <c r="J32" s="1028"/>
      <c r="K32" s="1029"/>
      <c r="L32" s="1030"/>
      <c r="M32" s="1031"/>
      <c r="N32" s="911">
        <f>(N33+N34+N35+N36)/4</f>
        <v>-0.17549465363778713</v>
      </c>
      <c r="O32" s="912">
        <f>(O33+O34+O35+O36)</f>
        <v>0.44326234042553153</v>
      </c>
      <c r="P32" s="913">
        <f>O32/14.285712</f>
        <v>3.1028368794326213E-2</v>
      </c>
      <c r="Q32" s="997"/>
      <c r="R32" s="16"/>
      <c r="S32" s="16"/>
    </row>
    <row r="33" spans="1:19" ht="33.6" customHeight="1" thickBot="1" x14ac:dyDescent="0.5">
      <c r="A33" s="22">
        <v>6</v>
      </c>
      <c r="B33" s="1032" t="s">
        <v>19</v>
      </c>
      <c r="C33" s="1033">
        <f>$M$5</f>
        <v>3.5714285714285716</v>
      </c>
      <c r="D33" s="1034" t="s">
        <v>287</v>
      </c>
      <c r="E33" s="1035">
        <f>C33/1</f>
        <v>3.5714285714285716</v>
      </c>
      <c r="F33" s="1032" t="s">
        <v>288</v>
      </c>
      <c r="G33" s="1033">
        <f>E33/1</f>
        <v>3.5714285714285716</v>
      </c>
      <c r="H33" s="116">
        <v>6.8</v>
      </c>
      <c r="I33" s="244">
        <v>5.8</v>
      </c>
      <c r="J33" s="1036">
        <f>IF(H33&lt;7,(H33-7),(H33-I33))</f>
        <v>-0.20000000000000018</v>
      </c>
      <c r="K33" s="1037">
        <f>IF((7-H33&gt;=0),(7-H33),0)</f>
        <v>0.20000000000000018</v>
      </c>
      <c r="L33" s="1038">
        <f>IF((I33&lt;7),7,I33)</f>
        <v>7</v>
      </c>
      <c r="M33" s="1039">
        <f>IF(K33&lt;&gt;0,J33/7,(1+((H33-I33)/I33)))</f>
        <v>-2.8571428571428598E-2</v>
      </c>
      <c r="N33" s="1040">
        <f>((G33/C33)*M33)</f>
        <v>-2.8571428571428598E-2</v>
      </c>
      <c r="O33" s="1041">
        <f>IF(((G33/C33)*M33)&gt;=1,3.571428,IF(((G33/C33)*M33)&lt;=0,0,((G33/C33)*M33)*3.571428))</f>
        <v>0</v>
      </c>
      <c r="P33" s="913">
        <f>O33/3.571428</f>
        <v>0</v>
      </c>
      <c r="Q33" s="1042" t="s">
        <v>97</v>
      </c>
      <c r="R33" s="215"/>
      <c r="S33" s="1275"/>
    </row>
    <row r="34" spans="1:19" ht="51" customHeight="1" thickBot="1" x14ac:dyDescent="0.5">
      <c r="A34" s="22">
        <v>7</v>
      </c>
      <c r="B34" s="1032" t="s">
        <v>20</v>
      </c>
      <c r="C34" s="1033">
        <f t="shared" ref="C34:C36" si="12">$M$5</f>
        <v>3.5714285714285716</v>
      </c>
      <c r="D34" s="1032" t="s">
        <v>118</v>
      </c>
      <c r="E34" s="1035">
        <f t="shared" ref="E34:E36" si="13">C34/1</f>
        <v>3.5714285714285716</v>
      </c>
      <c r="F34" s="1032" t="s">
        <v>21</v>
      </c>
      <c r="G34" s="1033">
        <f>E34/1</f>
        <v>3.5714285714285716</v>
      </c>
      <c r="H34" s="314">
        <v>19.5</v>
      </c>
      <c r="I34" s="315">
        <v>18.8</v>
      </c>
      <c r="J34" s="1044">
        <f>H34-I34</f>
        <v>0.69999999999999929</v>
      </c>
      <c r="K34" s="1045">
        <f>(0.5*I34)*(6/10)</f>
        <v>5.64</v>
      </c>
      <c r="L34" s="1046">
        <f>K34+I34</f>
        <v>24.44</v>
      </c>
      <c r="M34" s="1039">
        <f>IF(K34&lt;&gt;0,J34/K34,"0%")</f>
        <v>0.12411347517730485</v>
      </c>
      <c r="N34" s="1040">
        <f>((G34/C34)*M34)</f>
        <v>0.12411347517730485</v>
      </c>
      <c r="O34" s="1041">
        <f>IF(((G34/C34)*M34)&gt;=1,3.571428,IF(((G34/C34)*M34)&lt;=0,0,((G34/C34)*M34)*3.571428))</f>
        <v>0.44326234042553153</v>
      </c>
      <c r="P34" s="913">
        <f t="shared" ref="P34:P36" si="14">O34/3.571428</f>
        <v>0.12411347517730485</v>
      </c>
      <c r="Q34" s="1042" t="s">
        <v>173</v>
      </c>
      <c r="R34" s="154" t="s">
        <v>365</v>
      </c>
      <c r="S34" s="24"/>
    </row>
    <row r="35" spans="1:19" ht="40.799999999999997" customHeight="1" thickBot="1" x14ac:dyDescent="0.5">
      <c r="A35" s="22">
        <v>8</v>
      </c>
      <c r="B35" s="1032" t="s">
        <v>22</v>
      </c>
      <c r="C35" s="1033">
        <f t="shared" si="12"/>
        <v>3.5714285714285716</v>
      </c>
      <c r="D35" s="1032" t="s">
        <v>119</v>
      </c>
      <c r="E35" s="1035">
        <f t="shared" si="13"/>
        <v>3.5714285714285716</v>
      </c>
      <c r="F35" s="1032" t="s">
        <v>23</v>
      </c>
      <c r="G35" s="1033">
        <f>E35/1</f>
        <v>3.5714285714285716</v>
      </c>
      <c r="H35" s="96">
        <v>0.49</v>
      </c>
      <c r="I35" s="662">
        <v>2.42</v>
      </c>
      <c r="J35" s="1047">
        <f>H35-I35</f>
        <v>-1.93</v>
      </c>
      <c r="K35" s="1048">
        <f>IF((I35&gt;=1),0,((1-I35)*0.6))</f>
        <v>0</v>
      </c>
      <c r="L35" s="1038">
        <f>I35+K35</f>
        <v>2.42</v>
      </c>
      <c r="M35" s="1039">
        <f>J35/L35</f>
        <v>-0.7975206611570248</v>
      </c>
      <c r="N35" s="1040">
        <f>((G35/C35)*M35)</f>
        <v>-0.7975206611570248</v>
      </c>
      <c r="O35" s="1041">
        <f>IF(((G35/C35)*M35)&gt;=1,3.571428,IF(((G35/C35)*M35)&lt;=0,0,((G35/C35)*M35)*3.571428))</f>
        <v>0</v>
      </c>
      <c r="P35" s="913">
        <f t="shared" si="14"/>
        <v>0</v>
      </c>
      <c r="Q35" s="1042" t="s">
        <v>174</v>
      </c>
      <c r="R35" s="154" t="s">
        <v>666</v>
      </c>
      <c r="S35" s="663" t="s">
        <v>667</v>
      </c>
    </row>
    <row r="36" spans="1:19" ht="32.450000000000003" customHeight="1" thickBot="1" x14ac:dyDescent="0.5">
      <c r="A36" s="22">
        <v>9</v>
      </c>
      <c r="B36" s="1032" t="s">
        <v>24</v>
      </c>
      <c r="C36" s="1033">
        <f t="shared" si="12"/>
        <v>3.5714285714285716</v>
      </c>
      <c r="D36" s="1032" t="s">
        <v>275</v>
      </c>
      <c r="E36" s="1035">
        <f t="shared" si="13"/>
        <v>3.5714285714285716</v>
      </c>
      <c r="F36" s="1049" t="s">
        <v>25</v>
      </c>
      <c r="G36" s="1033">
        <f>E36/1</f>
        <v>3.5714285714285716</v>
      </c>
      <c r="H36" s="96">
        <v>2.2999999999999998</v>
      </c>
      <c r="I36" s="246">
        <v>2.2999999999999998</v>
      </c>
      <c r="J36" s="1050">
        <f>H36-I36</f>
        <v>0</v>
      </c>
      <c r="K36" s="1051">
        <f>(1*I36)*(6/10)</f>
        <v>1.38</v>
      </c>
      <c r="L36" s="1052">
        <f>I36+K36</f>
        <v>3.6799999999999997</v>
      </c>
      <c r="M36" s="1039">
        <f>IF(K36&lt;&gt;0,J36/K36,"0%")</f>
        <v>0</v>
      </c>
      <c r="N36" s="1040">
        <f>((G36/C36)*M36)</f>
        <v>0</v>
      </c>
      <c r="O36" s="1041">
        <f>IF(((G36/C36)*M36)&gt;=1,3.571428,IF(((G36/C36)*M36)&lt;=0,0,((G36/C36)*M36)*3.571428))</f>
        <v>0</v>
      </c>
      <c r="P36" s="913">
        <f t="shared" si="14"/>
        <v>0</v>
      </c>
      <c r="Q36" s="1053" t="s">
        <v>175</v>
      </c>
      <c r="R36" s="664" t="s">
        <v>365</v>
      </c>
      <c r="S36" s="1276"/>
    </row>
    <row r="37" spans="1:19" ht="30.6" customHeight="1" thickBot="1" x14ac:dyDescent="0.5">
      <c r="B37" s="1710" t="s">
        <v>26</v>
      </c>
      <c r="C37" s="1711"/>
      <c r="D37" s="1711"/>
      <c r="E37" s="1711"/>
      <c r="F37" s="1712"/>
      <c r="G37" s="1054"/>
      <c r="H37" s="1277"/>
      <c r="I37" s="1277"/>
      <c r="J37" s="1055"/>
      <c r="K37" s="1056"/>
      <c r="L37" s="1056"/>
      <c r="M37" s="1057"/>
      <c r="N37" s="911">
        <f>N38</f>
        <v>0</v>
      </c>
      <c r="O37" s="912">
        <f>O38</f>
        <v>0</v>
      </c>
      <c r="P37" s="913">
        <f>O37/3.571428</f>
        <v>0</v>
      </c>
      <c r="Q37" s="1058"/>
      <c r="R37" s="18"/>
      <c r="S37" s="18"/>
    </row>
    <row r="38" spans="1:19" ht="25.8" customHeight="1" x14ac:dyDescent="0.45">
      <c r="A38" s="1617">
        <v>10</v>
      </c>
      <c r="B38" s="1618" t="s">
        <v>27</v>
      </c>
      <c r="C38" s="1678">
        <f>M5</f>
        <v>3.5714285714285716</v>
      </c>
      <c r="D38" s="977" t="s">
        <v>120</v>
      </c>
      <c r="E38" s="931">
        <f>$C$38/2</f>
        <v>1.7857142857142858</v>
      </c>
      <c r="F38" s="1059" t="s">
        <v>224</v>
      </c>
      <c r="G38" s="931">
        <f>E38/1</f>
        <v>1.7857142857142858</v>
      </c>
      <c r="H38" s="665"/>
      <c r="I38" s="666"/>
      <c r="J38" s="1060">
        <f>H38-I38</f>
        <v>0</v>
      </c>
      <c r="K38" s="1061">
        <f>(1*I38)*(6/10)</f>
        <v>0</v>
      </c>
      <c r="L38" s="1062">
        <f>I38+K38</f>
        <v>0</v>
      </c>
      <c r="M38" s="935" t="str">
        <f>IF(K38&lt;&gt;0,J38/K38,"0%")</f>
        <v>0%</v>
      </c>
      <c r="N38" s="1702">
        <f>(((G38/C38)*M38)+((G39/C38)*M39))</f>
        <v>0</v>
      </c>
      <c r="O38" s="1646">
        <f>IF((((G38/C38)*M38)+((G39/C38)*M39))&gt;=1,3.57148,IF((((G38/C38)*M38)+((G39/C38)*M39))&lt;=0,0, (((G38/C38)*M38)+((G39/C38)*M39))*3.571428))</f>
        <v>0</v>
      </c>
      <c r="P38" s="1630">
        <f>O38/3.571428</f>
        <v>0</v>
      </c>
      <c r="Q38" s="1063" t="s">
        <v>176</v>
      </c>
      <c r="R38" s="667"/>
      <c r="S38" s="668" t="s">
        <v>668</v>
      </c>
    </row>
    <row r="39" spans="1:19" ht="35.25" thickBot="1" x14ac:dyDescent="0.5">
      <c r="A39" s="1617"/>
      <c r="B39" s="1619"/>
      <c r="C39" s="1685"/>
      <c r="D39" s="982" t="s">
        <v>157</v>
      </c>
      <c r="E39" s="944">
        <f>$C$38/2</f>
        <v>1.7857142857142858</v>
      </c>
      <c r="F39" s="1064" t="s">
        <v>225</v>
      </c>
      <c r="G39" s="1005">
        <f>E39/1</f>
        <v>1.7857142857142858</v>
      </c>
      <c r="H39" s="299"/>
      <c r="I39" s="514"/>
      <c r="J39" s="1065">
        <f>H39-I39</f>
        <v>0</v>
      </c>
      <c r="K39" s="1066">
        <f>IF(AND(I39&gt;=10,H39&gt;=I39),0,((10-H39)*(6/10)))</f>
        <v>6</v>
      </c>
      <c r="L39" s="1067">
        <f>I39+K39</f>
        <v>6</v>
      </c>
      <c r="M39" s="950">
        <f>IF(K39&lt;&gt;0,J39/K39,"0%")</f>
        <v>0</v>
      </c>
      <c r="N39" s="1657"/>
      <c r="O39" s="1647"/>
      <c r="P39" s="1631"/>
      <c r="Q39" s="1068" t="s">
        <v>95</v>
      </c>
      <c r="R39" s="171"/>
      <c r="S39" s="524" t="s">
        <v>668</v>
      </c>
    </row>
    <row r="40" spans="1:19" ht="20.45" customHeight="1" thickBot="1" x14ac:dyDescent="0.5">
      <c r="B40" s="1679" t="s">
        <v>28</v>
      </c>
      <c r="C40" s="1680"/>
      <c r="D40" s="1680"/>
      <c r="E40" s="1704"/>
      <c r="F40" s="1681"/>
      <c r="G40" s="1054"/>
      <c r="H40" s="247"/>
      <c r="I40" s="247"/>
      <c r="J40" s="1069"/>
      <c r="K40" s="1070"/>
      <c r="L40" s="1070"/>
      <c r="M40" s="1071"/>
      <c r="N40" s="911">
        <f>N41</f>
        <v>0</v>
      </c>
      <c r="O40" s="912">
        <f>O41</f>
        <v>0</v>
      </c>
      <c r="P40" s="913">
        <f>O40/3.571428</f>
        <v>0</v>
      </c>
      <c r="Q40" s="1072"/>
      <c r="R40" s="19"/>
      <c r="S40" s="17"/>
    </row>
    <row r="41" spans="1:19" ht="34.9" x14ac:dyDescent="0.45">
      <c r="A41" s="1617">
        <v>11</v>
      </c>
      <c r="B41" s="1705" t="s">
        <v>29</v>
      </c>
      <c r="C41" s="1707">
        <f>M5</f>
        <v>3.5714285714285716</v>
      </c>
      <c r="D41" s="1073" t="s">
        <v>121</v>
      </c>
      <c r="E41" s="1074">
        <f>$C$41/2</f>
        <v>1.7857142857142858</v>
      </c>
      <c r="F41" s="956" t="s">
        <v>30</v>
      </c>
      <c r="G41" s="1075">
        <f>E41/1</f>
        <v>1.7857142857142858</v>
      </c>
      <c r="H41" s="661"/>
      <c r="I41" s="661"/>
      <c r="J41" s="1076">
        <f>H41-I41</f>
        <v>0</v>
      </c>
      <c r="K41" s="1077">
        <f>(0.5*I41)*(6/10)</f>
        <v>0</v>
      </c>
      <c r="L41" s="1078">
        <f>I41+K41</f>
        <v>0</v>
      </c>
      <c r="M41" s="935" t="str">
        <f>IF(K41&lt;&gt;0,J41/K41,"0%")</f>
        <v>0%</v>
      </c>
      <c r="N41" s="1709">
        <f>(((G41/C41)*M41)+(G42/C41)*M42)</f>
        <v>0</v>
      </c>
      <c r="O41" s="1646">
        <f>IF((((G41/C41)*M41)+((G42/C41)*M42))&gt;=1,3.57148,IF((((G41/C41)*M41)+((G42/C41)*M42))&lt;=0,0, (((G41/C41)*M41)+((G42/C41)*M42))*3.571428))</f>
        <v>0</v>
      </c>
      <c r="P41" s="1630">
        <f>O41/3.571428</f>
        <v>0</v>
      </c>
      <c r="Q41" s="1079" t="s">
        <v>177</v>
      </c>
      <c r="R41" s="217"/>
      <c r="S41" s="524" t="s">
        <v>668</v>
      </c>
    </row>
    <row r="42" spans="1:19" ht="35.25" thickBot="1" x14ac:dyDescent="0.5">
      <c r="A42" s="1617"/>
      <c r="B42" s="1706"/>
      <c r="C42" s="1708"/>
      <c r="D42" s="1080" t="s">
        <v>122</v>
      </c>
      <c r="E42" s="1010">
        <f>$C$41/2</f>
        <v>1.7857142857142858</v>
      </c>
      <c r="F42" s="966" t="s">
        <v>31</v>
      </c>
      <c r="G42" s="1081">
        <f>E42/1</f>
        <v>1.7857142857142858</v>
      </c>
      <c r="H42" s="661"/>
      <c r="I42" s="661"/>
      <c r="J42" s="1082">
        <f>H42-I42</f>
        <v>0</v>
      </c>
      <c r="K42" s="969">
        <f>(0.5*I42)*(6/10)</f>
        <v>0</v>
      </c>
      <c r="L42" s="1083">
        <f>I42+K42</f>
        <v>0</v>
      </c>
      <c r="M42" s="950" t="str">
        <f>IF(K42&lt;&gt;0,J42/K42,"0%")</f>
        <v>0%</v>
      </c>
      <c r="N42" s="1709"/>
      <c r="O42" s="1647"/>
      <c r="P42" s="1631"/>
      <c r="Q42" s="1079" t="s">
        <v>95</v>
      </c>
      <c r="R42" s="162"/>
      <c r="S42" s="524" t="s">
        <v>668</v>
      </c>
    </row>
    <row r="43" spans="1:19" ht="30.6" customHeight="1" thickBot="1" x14ac:dyDescent="0.5">
      <c r="B43" s="1670" t="s">
        <v>32</v>
      </c>
      <c r="C43" s="1671"/>
      <c r="D43" s="1671"/>
      <c r="E43" s="1671"/>
      <c r="F43" s="1672"/>
      <c r="G43" s="996"/>
      <c r="H43" s="248"/>
      <c r="I43" s="248"/>
      <c r="J43" s="1084"/>
      <c r="K43" s="1085"/>
      <c r="L43" s="1085"/>
      <c r="M43" s="996"/>
      <c r="N43" s="911">
        <f>N44</f>
        <v>1.3235294117647058</v>
      </c>
      <c r="O43" s="912">
        <f>O44</f>
        <v>3.5714800000000002</v>
      </c>
      <c r="P43" s="913">
        <f>O43/3.571428</f>
        <v>1.0000145600023296</v>
      </c>
      <c r="Q43" s="1086"/>
      <c r="R43" s="18"/>
      <c r="S43" s="18"/>
    </row>
    <row r="44" spans="1:19" ht="37.799999999999997" customHeight="1" thickBot="1" x14ac:dyDescent="0.5">
      <c r="A44" s="1617">
        <v>12</v>
      </c>
      <c r="B44" s="1624" t="s">
        <v>33</v>
      </c>
      <c r="C44" s="1678">
        <f>M5</f>
        <v>3.5714285714285716</v>
      </c>
      <c r="D44" s="999" t="s">
        <v>123</v>
      </c>
      <c r="E44" s="1087">
        <f>C44/2</f>
        <v>1.7857142857142858</v>
      </c>
      <c r="F44" s="999" t="s">
        <v>34</v>
      </c>
      <c r="G44" s="931">
        <f>$E$44/1</f>
        <v>1.7857142857142858</v>
      </c>
      <c r="H44" s="97"/>
      <c r="I44" s="98"/>
      <c r="J44" s="1088">
        <f>IF(I44=H44,(H44-30),H44-I44)</f>
        <v>-30</v>
      </c>
      <c r="K44" s="980">
        <f>IF(I44&gt;=30,0,((30-I44)*(6/10)))</f>
        <v>18</v>
      </c>
      <c r="L44" s="1089">
        <f>I44+K44</f>
        <v>18</v>
      </c>
      <c r="M44" s="950" t="str">
        <f>IF(H44=0,"0%",J44/K44)</f>
        <v>0%</v>
      </c>
      <c r="N44" s="1702">
        <f>(((G44/C44)*M44)+((G45/C44)*M45))</f>
        <v>1.3235294117647058</v>
      </c>
      <c r="O44" s="1646">
        <f>IF((((G44/C44)*M44)+((G45/C44)*M45))&gt;=1,3.57148,IF((((G44/C44)*M44)+((G45/C44)*M45))&lt;=0,0, (((G44/C44)*M44)+((G45/C44)*M45))*3.571428))</f>
        <v>3.5714800000000002</v>
      </c>
      <c r="P44" s="1630">
        <f>O44/3.571428</f>
        <v>1.0000145600023296</v>
      </c>
      <c r="Q44" s="981" t="s">
        <v>178</v>
      </c>
      <c r="R44" s="669"/>
      <c r="S44" s="668" t="s">
        <v>669</v>
      </c>
    </row>
    <row r="45" spans="1:19" ht="93.4" thickBot="1" x14ac:dyDescent="0.5">
      <c r="A45" s="1617"/>
      <c r="B45" s="1626"/>
      <c r="C45" s="1686"/>
      <c r="D45" s="1024" t="s">
        <v>124</v>
      </c>
      <c r="E45" s="1090">
        <f>(C44/2)</f>
        <v>1.7857142857142858</v>
      </c>
      <c r="F45" s="1024" t="s">
        <v>35</v>
      </c>
      <c r="G45" s="944">
        <f>$E$45/1</f>
        <v>1.7857142857142858</v>
      </c>
      <c r="H45" s="99">
        <v>45</v>
      </c>
      <c r="I45" s="100">
        <v>45</v>
      </c>
      <c r="J45" s="1091">
        <f>IF(I45=H45,(H45-17),H45-I45)</f>
        <v>28</v>
      </c>
      <c r="K45" s="1092">
        <f>IF(I45&gt;=17,0,((17-I45)*(6/10)))</f>
        <v>0</v>
      </c>
      <c r="L45" s="1093">
        <f>I45+K45</f>
        <v>45</v>
      </c>
      <c r="M45" s="962">
        <f>IF(I45&gt;=17,(1+(H45-17)/17),(H45/17))</f>
        <v>2.6470588235294117</v>
      </c>
      <c r="N45" s="1703"/>
      <c r="O45" s="1647"/>
      <c r="P45" s="1631"/>
      <c r="Q45" s="995" t="s">
        <v>179</v>
      </c>
      <c r="R45" s="108" t="s">
        <v>381</v>
      </c>
      <c r="S45" s="656" t="s">
        <v>670</v>
      </c>
    </row>
    <row r="46" spans="1:19" ht="30.6" customHeight="1" thickBot="1" x14ac:dyDescent="0.5">
      <c r="B46" s="1694" t="s">
        <v>36</v>
      </c>
      <c r="C46" s="1695"/>
      <c r="D46" s="1695"/>
      <c r="E46" s="1695"/>
      <c r="F46" s="1696"/>
      <c r="G46" s="1095"/>
      <c r="H46" s="138"/>
      <c r="I46" s="139"/>
      <c r="J46" s="1096"/>
      <c r="K46" s="1097"/>
      <c r="L46" s="1097"/>
      <c r="M46" s="1098"/>
      <c r="N46" s="911">
        <f>(N47+N50+N52)/3</f>
        <v>0.62281357945086835</v>
      </c>
      <c r="O46" s="912">
        <f>(O47+O50+O52)</f>
        <v>4.2920495692931677</v>
      </c>
      <c r="P46" s="913">
        <f>O46/10.714284</f>
        <v>0.40059135722864619</v>
      </c>
      <c r="Q46" s="1099"/>
      <c r="R46" s="20"/>
      <c r="S46" s="20"/>
    </row>
    <row r="47" spans="1:19" ht="20.45" customHeight="1" thickBot="1" x14ac:dyDescent="0.5">
      <c r="B47" s="1614" t="s">
        <v>37</v>
      </c>
      <c r="C47" s="1615"/>
      <c r="D47" s="1615"/>
      <c r="E47" s="1615"/>
      <c r="F47" s="1616"/>
      <c r="G47" s="1100"/>
      <c r="H47" s="247"/>
      <c r="I47" s="247"/>
      <c r="J47" s="1101"/>
      <c r="K47" s="1102"/>
      <c r="L47" s="1102"/>
      <c r="M47" s="996"/>
      <c r="N47" s="911">
        <f>N48</f>
        <v>0</v>
      </c>
      <c r="O47" s="912">
        <f>O48</f>
        <v>0</v>
      </c>
      <c r="P47" s="913">
        <f>O47/3.571428</f>
        <v>0</v>
      </c>
      <c r="Q47" s="1086"/>
      <c r="R47" s="18"/>
      <c r="S47" s="18"/>
    </row>
    <row r="48" spans="1:19" ht="37.799999999999997" customHeight="1" x14ac:dyDescent="0.45">
      <c r="A48" s="1617">
        <v>13</v>
      </c>
      <c r="B48" s="1624" t="s">
        <v>38</v>
      </c>
      <c r="C48" s="1678">
        <f>M5</f>
        <v>3.5714285714285716</v>
      </c>
      <c r="D48" s="999" t="s">
        <v>125</v>
      </c>
      <c r="E48" s="931">
        <f>$C$48/2</f>
        <v>1.7857142857142858</v>
      </c>
      <c r="F48" s="1103" t="s">
        <v>289</v>
      </c>
      <c r="G48" s="931">
        <f>E48/1</f>
        <v>1.7857142857142858</v>
      </c>
      <c r="H48" s="97">
        <v>0</v>
      </c>
      <c r="I48" s="670">
        <v>0</v>
      </c>
      <c r="J48" s="1104">
        <f>H48-I48</f>
        <v>0</v>
      </c>
      <c r="K48" s="1105">
        <f>(0.5*I48)* (6/10)</f>
        <v>0</v>
      </c>
      <c r="L48" s="1106">
        <f>I48-K48</f>
        <v>0</v>
      </c>
      <c r="M48" s="962" t="str">
        <f>IF(K48&lt;&gt;0,J48/K48,"0%")</f>
        <v>0%</v>
      </c>
      <c r="N48" s="1700">
        <f>(((G48/C48)*M48)+((G49/C48)*M49))</f>
        <v>0</v>
      </c>
      <c r="O48" s="1646">
        <f>IF((((G48/C48)*M48)+((G49/C48)*M49))&gt;=1,3.57148,IF((((G48/C48)*M48)+((G49/C48)*M49))&lt;=0,0, (((G48/C48)*M48)+((G49/C48)*M49))*3.571428))</f>
        <v>0</v>
      </c>
      <c r="P48" s="1630">
        <f>O48/3.571428</f>
        <v>0</v>
      </c>
      <c r="Q48" s="1021" t="s">
        <v>95</v>
      </c>
      <c r="R48" s="667"/>
      <c r="S48" s="668"/>
    </row>
    <row r="49" spans="1:19" ht="30.6" customHeight="1" thickBot="1" x14ac:dyDescent="0.5">
      <c r="A49" s="1617"/>
      <c r="B49" s="1626"/>
      <c r="C49" s="1686"/>
      <c r="D49" s="1024" t="s">
        <v>126</v>
      </c>
      <c r="E49" s="944">
        <f>$C$48/2</f>
        <v>1.7857142857142858</v>
      </c>
      <c r="F49" s="1024" t="s">
        <v>290</v>
      </c>
      <c r="G49" s="944">
        <f>E49/1</f>
        <v>1.7857142857142858</v>
      </c>
      <c r="H49" s="671"/>
      <c r="I49" s="672"/>
      <c r="J49" s="1026">
        <f>H49-I49</f>
        <v>0</v>
      </c>
      <c r="K49" s="1107">
        <f>(2*I49)*(6/10)</f>
        <v>0</v>
      </c>
      <c r="L49" s="1108">
        <f>I49+K49</f>
        <v>0</v>
      </c>
      <c r="M49" s="950" t="str">
        <f>IF(K49&lt;&gt;0,J49/K49,"0%")</f>
        <v>0%</v>
      </c>
      <c r="N49" s="1701"/>
      <c r="O49" s="1647"/>
      <c r="P49" s="1631"/>
      <c r="Q49" s="1027" t="s">
        <v>95</v>
      </c>
      <c r="R49" s="162"/>
      <c r="S49" s="524" t="s">
        <v>668</v>
      </c>
    </row>
    <row r="50" spans="1:19" ht="15" customHeight="1" thickBot="1" x14ac:dyDescent="0.5">
      <c r="B50" s="1670" t="s">
        <v>39</v>
      </c>
      <c r="C50" s="1671"/>
      <c r="D50" s="1671"/>
      <c r="E50" s="1671"/>
      <c r="F50" s="1672"/>
      <c r="G50" s="1109"/>
      <c r="H50" s="250"/>
      <c r="I50" s="250"/>
      <c r="J50" s="1110"/>
      <c r="K50" s="1110"/>
      <c r="L50" s="1110"/>
      <c r="M50" s="1111"/>
      <c r="N50" s="911">
        <f>N51</f>
        <v>1.6666666666666667</v>
      </c>
      <c r="O50" s="912">
        <f>O51</f>
        <v>3.571428</v>
      </c>
      <c r="P50" s="913">
        <f>O50/3.571428</f>
        <v>1</v>
      </c>
      <c r="Q50" s="1112"/>
      <c r="R50" s="18"/>
      <c r="S50" s="18"/>
    </row>
    <row r="51" spans="1:19" ht="30.6" customHeight="1" thickBot="1" x14ac:dyDescent="0.5">
      <c r="A51" s="21">
        <v>14</v>
      </c>
      <c r="B51" s="1113" t="s">
        <v>226</v>
      </c>
      <c r="C51" s="1114">
        <f>M5</f>
        <v>3.5714285714285716</v>
      </c>
      <c r="D51" s="1115" t="s">
        <v>272</v>
      </c>
      <c r="E51" s="1116">
        <f>C51</f>
        <v>3.5714285714285716</v>
      </c>
      <c r="F51" s="1117" t="s">
        <v>266</v>
      </c>
      <c r="G51" s="1118">
        <f>E51/1</f>
        <v>3.5714285714285716</v>
      </c>
      <c r="H51" s="572">
        <v>100</v>
      </c>
      <c r="I51" s="573">
        <v>0</v>
      </c>
      <c r="J51" s="1119">
        <f>H51-I51</f>
        <v>100</v>
      </c>
      <c r="K51" s="1120">
        <f>(100-I51)*(6/10)</f>
        <v>60</v>
      </c>
      <c r="L51" s="1121">
        <f>I51+K51</f>
        <v>60</v>
      </c>
      <c r="M51" s="971">
        <f>IF(K51&lt;&gt;0,J51/K51,"100%")</f>
        <v>1.6666666666666667</v>
      </c>
      <c r="N51" s="1040">
        <f>((G51/C51)*M51)</f>
        <v>1.6666666666666667</v>
      </c>
      <c r="O51" s="1041">
        <f>IF(((G51/C51)*M51)&gt;=1,3.571428,IF(((G51/C51)*M51)&lt;=0,0,((G51/C51)*M51)*3.571428))</f>
        <v>3.571428</v>
      </c>
      <c r="P51" s="913">
        <f>O51/3.571428</f>
        <v>1</v>
      </c>
      <c r="Q51" s="1122" t="s">
        <v>95</v>
      </c>
      <c r="R51" s="167"/>
      <c r="S51" s="524" t="s">
        <v>671</v>
      </c>
    </row>
    <row r="52" spans="1:19" ht="20.45" customHeight="1" thickBot="1" x14ac:dyDescent="0.5">
      <c r="B52" s="1670" t="s">
        <v>40</v>
      </c>
      <c r="C52" s="1671"/>
      <c r="D52" s="1671"/>
      <c r="E52" s="1671"/>
      <c r="F52" s="1672"/>
      <c r="G52" s="1100"/>
      <c r="H52" s="247"/>
      <c r="I52" s="247"/>
      <c r="J52" s="1101"/>
      <c r="K52" s="1102"/>
      <c r="L52" s="1102"/>
      <c r="M52" s="1018"/>
      <c r="N52" s="911">
        <f>N53</f>
        <v>0.20177407168593839</v>
      </c>
      <c r="O52" s="912">
        <f>O53</f>
        <v>0.72062156929316756</v>
      </c>
      <c r="P52" s="913">
        <f>O52/3.571428</f>
        <v>0.20177407168593839</v>
      </c>
      <c r="Q52" s="1123"/>
      <c r="R52" s="18"/>
      <c r="S52" s="18"/>
    </row>
    <row r="53" spans="1:19" ht="43.8" customHeight="1" x14ac:dyDescent="0.45">
      <c r="A53" s="1617">
        <v>15</v>
      </c>
      <c r="B53" s="1618" t="s">
        <v>108</v>
      </c>
      <c r="C53" s="1678">
        <f>M5</f>
        <v>3.5714285714285716</v>
      </c>
      <c r="D53" s="1124" t="s">
        <v>127</v>
      </c>
      <c r="E53" s="1125">
        <f>$C$53/5</f>
        <v>0.7142857142857143</v>
      </c>
      <c r="F53" s="1126" t="s">
        <v>41</v>
      </c>
      <c r="G53" s="978">
        <f>E53/1</f>
        <v>0.7142857142857143</v>
      </c>
      <c r="H53" s="251"/>
      <c r="I53" s="252"/>
      <c r="J53" s="1001">
        <f>H53-I53</f>
        <v>0</v>
      </c>
      <c r="K53" s="1105">
        <f>(100-I53)*(6/10)</f>
        <v>60</v>
      </c>
      <c r="L53" s="1062">
        <f t="shared" ref="L53:L58" si="15">I53+K53</f>
        <v>60</v>
      </c>
      <c r="M53" s="935">
        <f t="shared" ref="M53:M55" si="16">IF(K53&lt;&gt;0,J53/K53,"0%")</f>
        <v>0</v>
      </c>
      <c r="N53" s="1697">
        <f>(((G53/C53)*M53)+((G54/C53)*M54)+((G55/C53)*M55)+((G56/C53)*M56)+((G57/C53)*M57)+((G58/C53)*M58))</f>
        <v>0.20177407168593839</v>
      </c>
      <c r="O53" s="1687">
        <f>IF((((G53/C53)*M53)+((G54/C53)*M54)+((G55/C53)*M55)+((G56/C53)*M56)+((G57/C53)*M57)+((G58/C53)*M58))&gt;=1,3.571428,IF((((G53/C53)*M53)+((G54/C53)*M54)+((G55/C53)*M55)+((G56/C53)*M56)+((G57/C53)*M57)+((G58/C53)*M58))&lt;=0,0,((((G53/C53)*M53)+((G54/C53)*M54)+((G55/C53)*M55)+((G56/C53)*M56)+((G57/C53)*M57)+((G58/C53)*M58))*3.571428)))</f>
        <v>0.72062156929316756</v>
      </c>
      <c r="P53" s="1630">
        <f>O53/3.571428</f>
        <v>0.20177407168593839</v>
      </c>
      <c r="Q53" s="1127" t="s">
        <v>95</v>
      </c>
      <c r="R53" s="168"/>
      <c r="S53" s="298"/>
    </row>
    <row r="54" spans="1:19" ht="35.450000000000003" customHeight="1" x14ac:dyDescent="0.45">
      <c r="A54" s="1617"/>
      <c r="B54" s="1619"/>
      <c r="C54" s="1685"/>
      <c r="D54" s="1128" t="s">
        <v>128</v>
      </c>
      <c r="E54" s="1129">
        <f t="shared" ref="E54:E57" si="17">$C$53/5</f>
        <v>0.7142857142857143</v>
      </c>
      <c r="F54" s="1130" t="s">
        <v>42</v>
      </c>
      <c r="G54" s="983">
        <f>E54/1</f>
        <v>0.7142857142857143</v>
      </c>
      <c r="H54" s="299"/>
      <c r="I54" s="300"/>
      <c r="J54" s="1007">
        <f>H54-I54</f>
        <v>0</v>
      </c>
      <c r="K54" s="1066">
        <f>(100-I54)*(6/6)</f>
        <v>100</v>
      </c>
      <c r="L54" s="1067">
        <f>I54+K54</f>
        <v>100</v>
      </c>
      <c r="M54" s="989">
        <f t="shared" si="16"/>
        <v>0</v>
      </c>
      <c r="N54" s="1698"/>
      <c r="O54" s="1633"/>
      <c r="P54" s="1635"/>
      <c r="Q54" s="1131" t="s">
        <v>95</v>
      </c>
      <c r="R54" s="169"/>
      <c r="S54" s="524"/>
    </row>
    <row r="55" spans="1:19" ht="34.25" customHeight="1" x14ac:dyDescent="0.45">
      <c r="A55" s="1617"/>
      <c r="B55" s="1619"/>
      <c r="C55" s="1685"/>
      <c r="D55" s="1128" t="s">
        <v>129</v>
      </c>
      <c r="E55" s="1129">
        <f t="shared" si="17"/>
        <v>0.7142857142857143</v>
      </c>
      <c r="F55" s="1130" t="s">
        <v>43</v>
      </c>
      <c r="G55" s="983">
        <f>E55/1</f>
        <v>0.7142857142857143</v>
      </c>
      <c r="H55" s="299"/>
      <c r="I55" s="300"/>
      <c r="J55" s="1007">
        <f>H55-I55</f>
        <v>0</v>
      </c>
      <c r="K55" s="1066">
        <f>(100-I55)*(6/10)</f>
        <v>60</v>
      </c>
      <c r="L55" s="1067">
        <f t="shared" si="15"/>
        <v>60</v>
      </c>
      <c r="M55" s="989">
        <f t="shared" si="16"/>
        <v>0</v>
      </c>
      <c r="N55" s="1698"/>
      <c r="O55" s="1633"/>
      <c r="P55" s="1635"/>
      <c r="Q55" s="1131" t="s">
        <v>95</v>
      </c>
      <c r="R55" s="169"/>
      <c r="S55" s="524"/>
    </row>
    <row r="56" spans="1:19" ht="37.25" customHeight="1" thickBot="1" x14ac:dyDescent="0.5">
      <c r="A56" s="1617"/>
      <c r="B56" s="1619"/>
      <c r="C56" s="1685"/>
      <c r="D56" s="1128" t="s">
        <v>130</v>
      </c>
      <c r="E56" s="1129">
        <f t="shared" si="17"/>
        <v>0.7142857142857143</v>
      </c>
      <c r="F56" s="1130" t="s">
        <v>44</v>
      </c>
      <c r="G56" s="983">
        <f>E56/1</f>
        <v>0.7142857142857143</v>
      </c>
      <c r="H56" s="118">
        <v>1748.4</v>
      </c>
      <c r="I56" s="121">
        <v>1345.4</v>
      </c>
      <c r="J56" s="1007">
        <f>H56-I56</f>
        <v>403</v>
      </c>
      <c r="K56" s="1132">
        <f>(0.5*I56)*(6/7)</f>
        <v>576.6</v>
      </c>
      <c r="L56" s="1067">
        <f t="shared" si="15"/>
        <v>1922</v>
      </c>
      <c r="M56" s="989">
        <f>IF(K56&lt;&gt;0,J56/K56,"0%")</f>
        <v>0.69892473118279563</v>
      </c>
      <c r="N56" s="1698"/>
      <c r="O56" s="1633"/>
      <c r="P56" s="1635"/>
      <c r="Q56" s="1131" t="s">
        <v>101</v>
      </c>
      <c r="R56" s="108" t="s">
        <v>382</v>
      </c>
      <c r="S56" s="108" t="s">
        <v>383</v>
      </c>
    </row>
    <row r="57" spans="1:19" ht="22.8" customHeight="1" thickBot="1" x14ac:dyDescent="0.5">
      <c r="A57" s="1617"/>
      <c r="B57" s="1619"/>
      <c r="C57" s="1685"/>
      <c r="D57" s="1690" t="s">
        <v>131</v>
      </c>
      <c r="E57" s="1692">
        <f t="shared" si="17"/>
        <v>0.7142857142857143</v>
      </c>
      <c r="F57" s="1130" t="s">
        <v>45</v>
      </c>
      <c r="G57" s="983">
        <f>$E$57/2</f>
        <v>0.35714285714285715</v>
      </c>
      <c r="H57" s="118">
        <v>91.4</v>
      </c>
      <c r="I57" s="121">
        <v>64.87</v>
      </c>
      <c r="J57" s="1007">
        <f t="shared" ref="J57:J58" si="18">H57-I57</f>
        <v>26.53</v>
      </c>
      <c r="K57" s="1133">
        <f>(1*I57)*(6/10)</f>
        <v>38.922000000000004</v>
      </c>
      <c r="L57" s="1067">
        <f t="shared" si="15"/>
        <v>103.792</v>
      </c>
      <c r="M57" s="989">
        <f>IF(K57&lt;&gt;0,J57/K57,"0%")</f>
        <v>0.68161964955552123</v>
      </c>
      <c r="N57" s="1698"/>
      <c r="O57" s="1633"/>
      <c r="P57" s="1635"/>
      <c r="Q57" s="1131" t="s">
        <v>180</v>
      </c>
      <c r="R57" s="108" t="s">
        <v>384</v>
      </c>
      <c r="S57" s="169"/>
    </row>
    <row r="58" spans="1:19" ht="15" customHeight="1" thickBot="1" x14ac:dyDescent="0.5">
      <c r="A58" s="1617"/>
      <c r="B58" s="1620"/>
      <c r="C58" s="1686"/>
      <c r="D58" s="1691"/>
      <c r="E58" s="1693"/>
      <c r="F58" s="943" t="s">
        <v>46</v>
      </c>
      <c r="G58" s="992">
        <f>$E$57/2</f>
        <v>0.35714285714285715</v>
      </c>
      <c r="H58" s="117">
        <v>2.6</v>
      </c>
      <c r="I58" s="124">
        <v>2.7</v>
      </c>
      <c r="J58" s="1013">
        <f t="shared" si="18"/>
        <v>-0.10000000000000009</v>
      </c>
      <c r="K58" s="1107">
        <f>(1*I58)*(6/10)</f>
        <v>1.62</v>
      </c>
      <c r="L58" s="1134">
        <f t="shared" si="15"/>
        <v>4.32</v>
      </c>
      <c r="M58" s="950">
        <f>IF(K58&lt;&gt;0,J58/K58,"0%")</f>
        <v>-6.1728395061728447E-2</v>
      </c>
      <c r="N58" s="1699"/>
      <c r="O58" s="1634"/>
      <c r="P58" s="1631"/>
      <c r="Q58" s="1135" t="s">
        <v>95</v>
      </c>
      <c r="R58" s="154" t="s">
        <v>365</v>
      </c>
      <c r="S58" s="166"/>
    </row>
    <row r="59" spans="1:19" ht="23.45" customHeight="1" thickBot="1" x14ac:dyDescent="0.5">
      <c r="B59" s="1694" t="s">
        <v>47</v>
      </c>
      <c r="C59" s="1695"/>
      <c r="D59" s="1695"/>
      <c r="E59" s="1695"/>
      <c r="F59" s="1696"/>
      <c r="G59" s="1136"/>
      <c r="H59" s="254"/>
      <c r="I59" s="254"/>
      <c r="J59" s="1137"/>
      <c r="K59" s="1137"/>
      <c r="L59" s="1137"/>
      <c r="M59" s="1098"/>
      <c r="N59" s="911">
        <f>(N60+N67)/2</f>
        <v>6.7082569440956336E-2</v>
      </c>
      <c r="O59" s="912">
        <f>(O60+O67)</f>
        <v>1.0371967586267516</v>
      </c>
      <c r="P59" s="913">
        <f>O59/7.142856</f>
        <v>0.14520756944095634</v>
      </c>
      <c r="Q59" s="1138"/>
      <c r="R59" s="219"/>
      <c r="S59" s="220"/>
    </row>
    <row r="60" spans="1:19" ht="22.25" customHeight="1" thickBot="1" x14ac:dyDescent="0.5">
      <c r="B60" s="1670" t="s">
        <v>48</v>
      </c>
      <c r="C60" s="1671"/>
      <c r="D60" s="1671"/>
      <c r="E60" s="1671"/>
      <c r="F60" s="1672"/>
      <c r="G60" s="996"/>
      <c r="H60" s="512"/>
      <c r="I60" s="512"/>
      <c r="J60" s="1016"/>
      <c r="K60" s="1017"/>
      <c r="L60" s="1017"/>
      <c r="M60" s="996"/>
      <c r="N60" s="911">
        <f>N61</f>
        <v>0.29041513888191267</v>
      </c>
      <c r="O60" s="912">
        <f>O61</f>
        <v>1.0371967586267516</v>
      </c>
      <c r="P60" s="913">
        <f>O60/3.571428</f>
        <v>0.29041513888191267</v>
      </c>
      <c r="Q60" s="997"/>
      <c r="R60" s="18"/>
      <c r="S60" s="18"/>
    </row>
    <row r="61" spans="1:19" ht="39" customHeight="1" thickBot="1" x14ac:dyDescent="0.5">
      <c r="A61" s="1617">
        <v>16</v>
      </c>
      <c r="B61" s="1618" t="s">
        <v>49</v>
      </c>
      <c r="C61" s="1678">
        <f>M5</f>
        <v>3.5714285714285716</v>
      </c>
      <c r="D61" s="999" t="s">
        <v>133</v>
      </c>
      <c r="E61" s="931">
        <f>$C$61/4</f>
        <v>0.8928571428571429</v>
      </c>
      <c r="F61" s="999" t="s">
        <v>50</v>
      </c>
      <c r="G61" s="978">
        <f>E61/1</f>
        <v>0.8928571428571429</v>
      </c>
      <c r="H61" s="308">
        <v>48.3</v>
      </c>
      <c r="I61" s="309">
        <v>39.9</v>
      </c>
      <c r="J61" s="1088">
        <f>IF(I61=H61,(H61-70),H61-I61)</f>
        <v>8.3999999999999986</v>
      </c>
      <c r="K61" s="980">
        <f>IF(I61&gt;=70,0,((70-I61)*(6/10)))</f>
        <v>18.059999999999999</v>
      </c>
      <c r="L61" s="1140">
        <f t="shared" ref="L61:L66" si="19">I61+K61</f>
        <v>57.959999999999994</v>
      </c>
      <c r="M61" s="935">
        <f>IF(I61&gt;=70,(1+(H61-70)/70),(J61/K61))</f>
        <v>0.46511627906976738</v>
      </c>
      <c r="N61" s="1627">
        <f>(((G61/C61)*M61)+((G62/C61)*M62)+((G63/C61)*M63)+((G64/C61)*M64)+((G65/C61)*M65)+((G66/C61)*M66))</f>
        <v>0.29041513888191267</v>
      </c>
      <c r="O61" s="1687">
        <f>IF((((G61/C61)*M61)+((G62/C61)*M62)+((G63/C61)*M63)+((G64/C61)*M64)+((G65/C61)*M65)+((G66/C61)*M66))&gt;=1,3.571428,IF((((G61/C61)*M61)+((G62/C61)*M62)+((G63/C61)*M63)+((G64/C61)*M64)+((G65/C61)*M65)+((G66/C61)*M66))&lt;=0,0,((((G61/C61)*M61)+((G62/C61)*M62)+((G63/C61)*M63)+((G64/C61)*M64)+((G65/C61)*M65)+((G66/C61)*M66))*3.571428)))</f>
        <v>1.0371967586267516</v>
      </c>
      <c r="P61" s="1630">
        <f>O61/3.571428</f>
        <v>0.29041513888191267</v>
      </c>
      <c r="Q61" s="1063" t="s">
        <v>181</v>
      </c>
      <c r="R61" s="660" t="s">
        <v>385</v>
      </c>
      <c r="S61" s="660" t="s">
        <v>386</v>
      </c>
    </row>
    <row r="62" spans="1:19" ht="58.25" customHeight="1" thickBot="1" x14ac:dyDescent="0.5">
      <c r="A62" s="1617"/>
      <c r="B62" s="1619"/>
      <c r="C62" s="1685"/>
      <c r="D62" s="1004" t="s">
        <v>134</v>
      </c>
      <c r="E62" s="1005">
        <f t="shared" ref="E62:E63" si="20">$C$61/4</f>
        <v>0.8928571428571429</v>
      </c>
      <c r="F62" s="1128" t="s">
        <v>276</v>
      </c>
      <c r="G62" s="983">
        <f>$E$62/1</f>
        <v>0.8928571428571429</v>
      </c>
      <c r="H62" s="113">
        <v>24.53</v>
      </c>
      <c r="I62" s="107">
        <v>23.7</v>
      </c>
      <c r="J62" s="1141">
        <f>IF(I62=H62,(H62-70),H62-I62)</f>
        <v>0.83000000000000185</v>
      </c>
      <c r="K62" s="987">
        <f t="shared" ref="K62:K63" si="21">IF(I62&gt;=70,0,((70-I62)*(6/10)))</f>
        <v>27.779999999999998</v>
      </c>
      <c r="L62" s="1142">
        <f t="shared" si="19"/>
        <v>51.48</v>
      </c>
      <c r="M62" s="962">
        <f t="shared" ref="M62" si="22">IF(I62&gt;=70,(1+(H62-70)/70),(J62/K62))</f>
        <v>2.9877609791216772E-2</v>
      </c>
      <c r="N62" s="1628"/>
      <c r="O62" s="1633"/>
      <c r="P62" s="1635"/>
      <c r="Q62" s="1068" t="s">
        <v>182</v>
      </c>
      <c r="R62" s="108" t="s">
        <v>387</v>
      </c>
      <c r="S62" s="108" t="s">
        <v>388</v>
      </c>
    </row>
    <row r="63" spans="1:19" ht="26.45" customHeight="1" thickBot="1" x14ac:dyDescent="0.5">
      <c r="A63" s="1617"/>
      <c r="B63" s="1619"/>
      <c r="C63" s="1685"/>
      <c r="D63" s="1004" t="s">
        <v>135</v>
      </c>
      <c r="E63" s="1005">
        <f t="shared" si="20"/>
        <v>0.8928571428571429</v>
      </c>
      <c r="F63" s="1004" t="s">
        <v>51</v>
      </c>
      <c r="G63" s="983">
        <f>E63/1</f>
        <v>0.8928571428571429</v>
      </c>
      <c r="H63" s="233"/>
      <c r="I63" s="234"/>
      <c r="J63" s="1141">
        <f>IF(I63=H63,(H63-70),H63-I63)</f>
        <v>-70</v>
      </c>
      <c r="K63" s="987">
        <f t="shared" si="21"/>
        <v>42</v>
      </c>
      <c r="L63" s="1142">
        <f t="shared" si="19"/>
        <v>42</v>
      </c>
      <c r="M63" s="950" t="str">
        <f>IF(H63=0,"0%",J63/K63)</f>
        <v>0%</v>
      </c>
      <c r="N63" s="1628"/>
      <c r="O63" s="1633"/>
      <c r="P63" s="1635"/>
      <c r="Q63" s="1068" t="s">
        <v>95</v>
      </c>
      <c r="R63" s="171"/>
      <c r="S63" s="524" t="s">
        <v>669</v>
      </c>
    </row>
    <row r="64" spans="1:19" ht="15" customHeight="1" thickBot="1" x14ac:dyDescent="0.5">
      <c r="A64" s="1617"/>
      <c r="B64" s="1619"/>
      <c r="C64" s="1685"/>
      <c r="D64" s="1625" t="s">
        <v>136</v>
      </c>
      <c r="E64" s="1688">
        <f>$C$61/4</f>
        <v>0.8928571428571429</v>
      </c>
      <c r="F64" s="1143" t="s">
        <v>52</v>
      </c>
      <c r="G64" s="1144">
        <f>$E$64/3</f>
        <v>0.29761904761904762</v>
      </c>
      <c r="H64" s="233">
        <v>100</v>
      </c>
      <c r="I64" s="234">
        <v>100</v>
      </c>
      <c r="J64" s="1145">
        <f t="shared" ref="J64:J66" si="23">H64-I64</f>
        <v>0</v>
      </c>
      <c r="K64" s="1146">
        <f>(100-I64)*(6/10)</f>
        <v>0</v>
      </c>
      <c r="L64" s="1142">
        <f t="shared" si="19"/>
        <v>100</v>
      </c>
      <c r="M64" s="989" t="str">
        <f t="shared" ref="M64:M66" si="24">IF(K64&lt;&gt;0,J64/K64,"100%")</f>
        <v>100%</v>
      </c>
      <c r="N64" s="1628"/>
      <c r="O64" s="1633"/>
      <c r="P64" s="1635"/>
      <c r="Q64" s="1068" t="s">
        <v>95</v>
      </c>
      <c r="R64" s="170"/>
      <c r="S64" s="673" t="s">
        <v>544</v>
      </c>
    </row>
    <row r="65" spans="1:19" ht="23.65" thickBot="1" x14ac:dyDescent="0.5">
      <c r="A65" s="1617"/>
      <c r="B65" s="1619"/>
      <c r="C65" s="1685"/>
      <c r="D65" s="1625"/>
      <c r="E65" s="1688"/>
      <c r="F65" s="1143" t="s">
        <v>53</v>
      </c>
      <c r="G65" s="1144">
        <f t="shared" ref="G65:G66" si="25">$E$64/3</f>
        <v>0.29761904761904762</v>
      </c>
      <c r="H65" s="233">
        <v>100</v>
      </c>
      <c r="I65" s="234">
        <v>100</v>
      </c>
      <c r="J65" s="1145">
        <f t="shared" si="23"/>
        <v>0</v>
      </c>
      <c r="K65" s="1146">
        <f>(100-I65)*(6/10)</f>
        <v>0</v>
      </c>
      <c r="L65" s="1142">
        <f t="shared" si="19"/>
        <v>100</v>
      </c>
      <c r="M65" s="989" t="str">
        <f t="shared" si="24"/>
        <v>100%</v>
      </c>
      <c r="N65" s="1628"/>
      <c r="O65" s="1633"/>
      <c r="P65" s="1635"/>
      <c r="Q65" s="1068" t="s">
        <v>95</v>
      </c>
      <c r="R65" s="171"/>
      <c r="S65" s="673" t="s">
        <v>544</v>
      </c>
    </row>
    <row r="66" spans="1:19" ht="27.6" customHeight="1" thickBot="1" x14ac:dyDescent="0.5">
      <c r="A66" s="1617"/>
      <c r="B66" s="1620"/>
      <c r="C66" s="1686"/>
      <c r="D66" s="1626"/>
      <c r="E66" s="1689"/>
      <c r="F66" s="1147" t="s">
        <v>54</v>
      </c>
      <c r="G66" s="1148">
        <f t="shared" si="25"/>
        <v>0.29761904761904762</v>
      </c>
      <c r="H66" s="111"/>
      <c r="I66" s="112"/>
      <c r="J66" s="1149">
        <f t="shared" si="23"/>
        <v>0</v>
      </c>
      <c r="K66" s="1150">
        <f>(100-I66)*(6/10)</f>
        <v>60</v>
      </c>
      <c r="L66" s="1151">
        <f t="shared" si="19"/>
        <v>60</v>
      </c>
      <c r="M66" s="950">
        <f t="shared" si="24"/>
        <v>0</v>
      </c>
      <c r="N66" s="1629"/>
      <c r="O66" s="1634"/>
      <c r="P66" s="1631"/>
      <c r="Q66" s="1152" t="s">
        <v>95</v>
      </c>
      <c r="R66" s="162"/>
      <c r="S66" s="674" t="s">
        <v>652</v>
      </c>
    </row>
    <row r="67" spans="1:19" ht="27" customHeight="1" thickBot="1" x14ac:dyDescent="0.5">
      <c r="B67" s="1614" t="s">
        <v>55</v>
      </c>
      <c r="C67" s="1615"/>
      <c r="D67" s="1615"/>
      <c r="E67" s="1615"/>
      <c r="F67" s="1616"/>
      <c r="G67" s="1084"/>
      <c r="H67" s="513"/>
      <c r="I67" s="513"/>
      <c r="J67" s="1084"/>
      <c r="K67" s="1085"/>
      <c r="L67" s="1085"/>
      <c r="M67" s="996"/>
      <c r="N67" s="911">
        <f>N68</f>
        <v>-0.15625</v>
      </c>
      <c r="O67" s="912">
        <f>O68</f>
        <v>0</v>
      </c>
      <c r="P67" s="913">
        <f>O67/3.571428</f>
        <v>0</v>
      </c>
      <c r="Q67" s="1153"/>
      <c r="R67" s="519"/>
      <c r="S67" s="18"/>
    </row>
    <row r="68" spans="1:19" ht="58.5" thickBot="1" x14ac:dyDescent="0.5">
      <c r="A68" s="22">
        <v>17</v>
      </c>
      <c r="B68" s="1154" t="s">
        <v>56</v>
      </c>
      <c r="C68" s="1155">
        <f>M5</f>
        <v>3.5714285714285716</v>
      </c>
      <c r="D68" s="1154" t="s">
        <v>137</v>
      </c>
      <c r="E68" s="1155">
        <f>C68</f>
        <v>3.5714285714285716</v>
      </c>
      <c r="F68" s="1154" t="s">
        <v>57</v>
      </c>
      <c r="G68" s="1156">
        <f>E68/1</f>
        <v>3.5714285714285716</v>
      </c>
      <c r="H68" s="324">
        <v>41</v>
      </c>
      <c r="I68" s="1278">
        <v>38</v>
      </c>
      <c r="J68" s="1157">
        <f>IF(I68=H68,(H68-70),I68-H68)</f>
        <v>-3</v>
      </c>
      <c r="K68" s="1051">
        <f t="shared" ref="K68" si="26">IF(I68&gt;=70,0,((70-I68)*(6/10)))</f>
        <v>19.2</v>
      </c>
      <c r="L68" s="1158">
        <f>I68-K68</f>
        <v>18.8</v>
      </c>
      <c r="M68" s="1039">
        <f t="shared" ref="M68" si="27">IF(I68&gt;=70,(1+(H68-70)/70),(J68/K68))</f>
        <v>-0.15625</v>
      </c>
      <c r="N68" s="1159">
        <f>((G68/C68)*M68)</f>
        <v>-0.15625</v>
      </c>
      <c r="O68" s="1041">
        <f>IF(((G68/C68)*M68)&gt;=1,3.571428,IF(((G68/C68)*M68)&lt;=0,0,((G68/C68)*M68)*3.571428))</f>
        <v>0</v>
      </c>
      <c r="P68" s="913">
        <f>O68/3.571428</f>
        <v>0</v>
      </c>
      <c r="Q68" s="1160" t="s">
        <v>132</v>
      </c>
      <c r="R68" s="660" t="s">
        <v>389</v>
      </c>
      <c r="S68" s="660" t="s">
        <v>390</v>
      </c>
    </row>
    <row r="69" spans="1:19" ht="22.25" customHeight="1" thickBot="1" x14ac:dyDescent="0.5">
      <c r="B69" s="1563" t="s">
        <v>58</v>
      </c>
      <c r="C69" s="1564"/>
      <c r="D69" s="1564"/>
      <c r="E69" s="1564"/>
      <c r="F69" s="1565"/>
      <c r="G69" s="223"/>
      <c r="H69" s="144"/>
      <c r="I69" s="255"/>
      <c r="J69" s="224"/>
      <c r="K69" s="92"/>
      <c r="L69" s="92"/>
      <c r="M69" s="1161"/>
      <c r="N69" s="911">
        <f>(N70+N72+N74)/3</f>
        <v>-50.777777777777779</v>
      </c>
      <c r="O69" s="912">
        <f>(O70+O72+O74)</f>
        <v>3.571428</v>
      </c>
      <c r="P69" s="913">
        <f>O69/10.714284</f>
        <v>0.33333333333333337</v>
      </c>
      <c r="Q69" s="886"/>
      <c r="R69" s="12"/>
      <c r="S69" s="465"/>
    </row>
    <row r="70" spans="1:19" ht="20.45" customHeight="1" thickBot="1" x14ac:dyDescent="0.5">
      <c r="B70" s="1670" t="s">
        <v>59</v>
      </c>
      <c r="C70" s="1671"/>
      <c r="D70" s="1671"/>
      <c r="E70" s="1671"/>
      <c r="F70" s="1672"/>
      <c r="G70" s="996"/>
      <c r="H70" s="136"/>
      <c r="I70" s="137"/>
      <c r="J70" s="997"/>
      <c r="K70" s="997"/>
      <c r="L70" s="997"/>
      <c r="M70" s="1162"/>
      <c r="N70" s="911">
        <f>N71</f>
        <v>-153.33333333333334</v>
      </c>
      <c r="O70" s="912">
        <f>O71</f>
        <v>0</v>
      </c>
      <c r="P70" s="913">
        <f t="shared" ref="P70:P78" si="28">O70/3.571428</f>
        <v>0</v>
      </c>
      <c r="Q70" s="1123"/>
      <c r="R70" s="18"/>
      <c r="S70" s="18"/>
    </row>
    <row r="71" spans="1:19" ht="52.25" customHeight="1" thickBot="1" x14ac:dyDescent="0.5">
      <c r="A71" s="22">
        <v>18</v>
      </c>
      <c r="B71" s="1163" t="s">
        <v>60</v>
      </c>
      <c r="C71" s="1164">
        <f>M5</f>
        <v>3.5714285714285716</v>
      </c>
      <c r="D71" s="1165" t="s">
        <v>138</v>
      </c>
      <c r="E71" s="1166">
        <f>C71</f>
        <v>3.5714285714285716</v>
      </c>
      <c r="F71" s="1167" t="s">
        <v>61</v>
      </c>
      <c r="G71" s="1168">
        <f>E71/1</f>
        <v>3.5714285714285716</v>
      </c>
      <c r="H71" s="675">
        <v>141</v>
      </c>
      <c r="I71" s="662">
        <v>3</v>
      </c>
      <c r="J71" s="1169">
        <f>I71-H71</f>
        <v>-138</v>
      </c>
      <c r="K71" s="1048">
        <f>(0.5*I71)*0.6</f>
        <v>0.89999999999999991</v>
      </c>
      <c r="L71" s="1158">
        <f>I71-K71</f>
        <v>2.1</v>
      </c>
      <c r="M71" s="989">
        <f t="shared" ref="M71" si="29">IF(K71&lt;&gt;0,J71/K71,"100%")</f>
        <v>-153.33333333333334</v>
      </c>
      <c r="N71" s="1159">
        <f>((G71/C71)*M71)</f>
        <v>-153.33333333333334</v>
      </c>
      <c r="O71" s="1041">
        <f>IF(((G71/C71)*M71)&gt;=1,3.571428,IF(((G71/C71)*M71)&lt;=0,0,((G71/C71)*M71)*3.571428))</f>
        <v>0</v>
      </c>
      <c r="P71" s="913">
        <f t="shared" si="28"/>
        <v>0</v>
      </c>
      <c r="Q71" s="1170" t="s">
        <v>183</v>
      </c>
      <c r="R71" s="108" t="s">
        <v>391</v>
      </c>
      <c r="S71" s="656" t="s">
        <v>672</v>
      </c>
    </row>
    <row r="72" spans="1:19" ht="20.45" customHeight="1" thickBot="1" x14ac:dyDescent="0.5">
      <c r="B72" s="1679" t="s">
        <v>277</v>
      </c>
      <c r="C72" s="1680"/>
      <c r="D72" s="1680"/>
      <c r="E72" s="1680"/>
      <c r="F72" s="1681"/>
      <c r="G72" s="1054"/>
      <c r="H72" s="134"/>
      <c r="I72" s="247"/>
      <c r="J72" s="1055"/>
      <c r="K72" s="1056"/>
      <c r="L72" s="1056"/>
      <c r="M72" s="1057"/>
      <c r="N72" s="911">
        <f>N73</f>
        <v>0</v>
      </c>
      <c r="O72" s="912">
        <f>O73</f>
        <v>0</v>
      </c>
      <c r="P72" s="913">
        <f t="shared" si="28"/>
        <v>0</v>
      </c>
      <c r="Q72" s="1171"/>
      <c r="R72" s="18"/>
      <c r="S72" s="18"/>
    </row>
    <row r="73" spans="1:19" ht="45" customHeight="1" thickBot="1" x14ac:dyDescent="0.5">
      <c r="A73" s="22">
        <v>19</v>
      </c>
      <c r="B73" s="1172" t="s">
        <v>62</v>
      </c>
      <c r="C73" s="1173">
        <f>M5</f>
        <v>3.5714285714285716</v>
      </c>
      <c r="D73" s="1174" t="s">
        <v>139</v>
      </c>
      <c r="E73" s="1173">
        <f>C73</f>
        <v>3.5714285714285716</v>
      </c>
      <c r="F73" s="1175" t="s">
        <v>63</v>
      </c>
      <c r="G73" s="1176">
        <f>E73/1</f>
        <v>3.5714285714285716</v>
      </c>
      <c r="H73" s="96"/>
      <c r="I73" s="103"/>
      <c r="J73" s="1177">
        <f>I73-H73</f>
        <v>0</v>
      </c>
      <c r="K73" s="1178">
        <f>IF(H73&gt;0,(H73),I73)</f>
        <v>0</v>
      </c>
      <c r="L73" s="1179">
        <f>I73-K73</f>
        <v>0</v>
      </c>
      <c r="M73" s="950" t="str">
        <f>IF(H73=0,"0%",J73/K73)</f>
        <v>0%</v>
      </c>
      <c r="N73" s="1159">
        <f>((G73/C73)*M73)</f>
        <v>0</v>
      </c>
      <c r="O73" s="1041">
        <f>IF(((G73/C73)*M73)&gt;=1,3.571428,IF(((G73/C73)*M73)&lt;=0,0,((G73/C73)*M73)*3.571428))</f>
        <v>0</v>
      </c>
      <c r="P73" s="913">
        <f t="shared" si="28"/>
        <v>0</v>
      </c>
      <c r="Q73" s="1180" t="s">
        <v>95</v>
      </c>
      <c r="R73" s="24"/>
      <c r="S73" s="653" t="s">
        <v>615</v>
      </c>
    </row>
    <row r="74" spans="1:19" ht="30.6" customHeight="1" thickBot="1" x14ac:dyDescent="0.5">
      <c r="B74" s="1670" t="s">
        <v>64</v>
      </c>
      <c r="C74" s="1671"/>
      <c r="D74" s="1671"/>
      <c r="E74" s="1671"/>
      <c r="F74" s="1672"/>
      <c r="G74" s="997"/>
      <c r="H74" s="136"/>
      <c r="I74" s="137"/>
      <c r="J74" s="997"/>
      <c r="K74" s="997"/>
      <c r="L74" s="997"/>
      <c r="M74" s="996"/>
      <c r="N74" s="911">
        <f>N75</f>
        <v>1</v>
      </c>
      <c r="O74" s="912">
        <f>O75</f>
        <v>3.571428</v>
      </c>
      <c r="P74" s="913">
        <f t="shared" si="28"/>
        <v>1</v>
      </c>
      <c r="Q74" s="1123"/>
      <c r="R74" s="18"/>
      <c r="S74" s="18"/>
    </row>
    <row r="75" spans="1:19" ht="29.45" customHeight="1" thickBot="1" x14ac:dyDescent="0.5">
      <c r="A75" s="22">
        <v>20</v>
      </c>
      <c r="B75" s="1172" t="s">
        <v>65</v>
      </c>
      <c r="C75" s="1035">
        <f>M5</f>
        <v>3.5714285714285716</v>
      </c>
      <c r="D75" s="1165" t="s">
        <v>140</v>
      </c>
      <c r="E75" s="1181">
        <f>C75</f>
        <v>3.5714285714285716</v>
      </c>
      <c r="F75" s="1174" t="s">
        <v>66</v>
      </c>
      <c r="G75" s="1168">
        <f>E75/1</f>
        <v>3.5714285714285716</v>
      </c>
      <c r="H75" s="1279">
        <v>1</v>
      </c>
      <c r="I75" s="1278">
        <v>1</v>
      </c>
      <c r="J75" s="1119">
        <f>H75-I75</f>
        <v>0</v>
      </c>
      <c r="K75" s="1120">
        <f>IF(AND(H75=0,I75=1)," 1",(H75-I75))</f>
        <v>0</v>
      </c>
      <c r="L75" s="1182">
        <f>I75+K75</f>
        <v>1</v>
      </c>
      <c r="M75" s="1183">
        <f>(IF(I75=1,1,(J75/K75)))</f>
        <v>1</v>
      </c>
      <c r="N75" s="1159">
        <f>((G75/C75)*M75)</f>
        <v>1</v>
      </c>
      <c r="O75" s="1041">
        <f>IF(((G75/C75)*M75)&gt;=1,3.571428,IF(((G75/C75)*M75)&lt;=0,0,((G75/C75)*M75)*3.571428))</f>
        <v>3.571428</v>
      </c>
      <c r="P75" s="913">
        <f t="shared" si="28"/>
        <v>1</v>
      </c>
      <c r="Q75" s="1184" t="s">
        <v>95</v>
      </c>
      <c r="R75" s="82"/>
      <c r="S75" s="110"/>
    </row>
    <row r="76" spans="1:19" ht="20.45" customHeight="1" thickBot="1" x14ac:dyDescent="0.5">
      <c r="B76" s="1682" t="s">
        <v>67</v>
      </c>
      <c r="C76" s="1683"/>
      <c r="D76" s="1683"/>
      <c r="E76" s="1683"/>
      <c r="F76" s="1684"/>
      <c r="G76" s="1185"/>
      <c r="H76" s="146"/>
      <c r="I76" s="147"/>
      <c r="J76" s="1186"/>
      <c r="K76" s="885"/>
      <c r="L76" s="885"/>
      <c r="M76" s="1185"/>
      <c r="N76" s="911">
        <f t="shared" ref="N76:O77" si="30">N77</f>
        <v>0</v>
      </c>
      <c r="O76" s="912">
        <f t="shared" si="30"/>
        <v>0</v>
      </c>
      <c r="P76" s="913">
        <f t="shared" si="28"/>
        <v>0</v>
      </c>
      <c r="Q76" s="1187"/>
      <c r="R76" s="23"/>
      <c r="S76" s="23"/>
    </row>
    <row r="77" spans="1:19" ht="20.45" customHeight="1" thickBot="1" x14ac:dyDescent="0.5">
      <c r="B77" s="1670" t="s">
        <v>68</v>
      </c>
      <c r="C77" s="1671"/>
      <c r="D77" s="1671"/>
      <c r="E77" s="1671"/>
      <c r="F77" s="1672"/>
      <c r="G77" s="996"/>
      <c r="H77" s="136"/>
      <c r="I77" s="137"/>
      <c r="J77" s="1016"/>
      <c r="K77" s="1017"/>
      <c r="L77" s="1017"/>
      <c r="M77" s="998"/>
      <c r="N77" s="911">
        <f t="shared" si="30"/>
        <v>0</v>
      </c>
      <c r="O77" s="912">
        <f t="shared" si="30"/>
        <v>0</v>
      </c>
      <c r="P77" s="913">
        <f t="shared" si="28"/>
        <v>0</v>
      </c>
      <c r="Q77" s="1123"/>
      <c r="R77" s="18"/>
      <c r="S77" s="18"/>
    </row>
    <row r="78" spans="1:19" ht="35.25" thickBot="1" x14ac:dyDescent="0.5">
      <c r="A78" s="22">
        <v>21</v>
      </c>
      <c r="B78" s="1172" t="s">
        <v>69</v>
      </c>
      <c r="C78" s="1181">
        <f>M5</f>
        <v>3.5714285714285716</v>
      </c>
      <c r="D78" s="1188" t="s">
        <v>141</v>
      </c>
      <c r="E78" s="1181">
        <f>C78</f>
        <v>3.5714285714285716</v>
      </c>
      <c r="F78" s="1188" t="s">
        <v>70</v>
      </c>
      <c r="G78" s="1155">
        <f>E78/1</f>
        <v>3.5714285714285716</v>
      </c>
      <c r="H78" s="96"/>
      <c r="I78" s="246"/>
      <c r="J78" s="1157">
        <f>IF(I78=H78,(H78-60),H78-I78)</f>
        <v>-60</v>
      </c>
      <c r="K78" s="1051">
        <f>IF(I78&gt;=60,0,((60-I78)*(6/10)))</f>
        <v>36</v>
      </c>
      <c r="L78" s="1158">
        <f t="shared" ref="L78" si="31">K78+I78</f>
        <v>36</v>
      </c>
      <c r="M78" s="1039">
        <f>IF(I78&gt;=60,(1+(H78-60)/60),(H78/L78))</f>
        <v>0</v>
      </c>
      <c r="N78" s="1159">
        <f>((G78/C78)*M78)</f>
        <v>0</v>
      </c>
      <c r="O78" s="1041">
        <f>IF(((G78/C78)*M78)&gt;=1,3.571428,IF(((G78/C78)*M78)&lt;=0,0,((G78/C78)*M78)*3.571428))</f>
        <v>0</v>
      </c>
      <c r="P78" s="913">
        <f t="shared" si="28"/>
        <v>0</v>
      </c>
      <c r="Q78" s="1189" t="s">
        <v>95</v>
      </c>
      <c r="R78" s="24"/>
      <c r="S78" s="653" t="s">
        <v>615</v>
      </c>
    </row>
    <row r="79" spans="1:19" ht="21.6" customHeight="1" thickBot="1" x14ac:dyDescent="0.5">
      <c r="B79" s="1673" t="s">
        <v>71</v>
      </c>
      <c r="C79" s="1674"/>
      <c r="D79" s="1674"/>
      <c r="E79" s="1674"/>
      <c r="F79" s="1675"/>
      <c r="G79" s="1185"/>
      <c r="H79" s="146"/>
      <c r="I79" s="147"/>
      <c r="J79" s="1190"/>
      <c r="K79" s="1191"/>
      <c r="L79" s="1191"/>
      <c r="M79" s="1185"/>
      <c r="N79" s="911">
        <f>(N80+N86)/2</f>
        <v>0.64607488641907262</v>
      </c>
      <c r="O79" s="912">
        <f>(O80+O86)</f>
        <v>4.3965172934272303</v>
      </c>
      <c r="P79" s="913">
        <f>O79/10.714284</f>
        <v>0.41034167970787694</v>
      </c>
      <c r="Q79" s="1187"/>
      <c r="R79" s="23"/>
      <c r="S79" s="23"/>
    </row>
    <row r="80" spans="1:19" ht="20.45" customHeight="1" thickBot="1" x14ac:dyDescent="0.5">
      <c r="B80" s="1614" t="s">
        <v>72</v>
      </c>
      <c r="C80" s="1615"/>
      <c r="D80" s="1615"/>
      <c r="E80" s="1615"/>
      <c r="F80" s="1616"/>
      <c r="G80" s="1018"/>
      <c r="H80" s="148"/>
      <c r="I80" s="149"/>
      <c r="J80" s="997"/>
      <c r="K80" s="997"/>
      <c r="L80" s="997"/>
      <c r="M80" s="1018"/>
      <c r="N80" s="911">
        <f>(N81+N83)/2</f>
        <v>0.11303492518138693</v>
      </c>
      <c r="O80" s="912">
        <f>(O81+O83)</f>
        <v>0.82508929342723014</v>
      </c>
      <c r="P80" s="913">
        <f>O80/7.142856</f>
        <v>0.11551251956181535</v>
      </c>
      <c r="Q80" s="1192"/>
      <c r="R80" s="17"/>
      <c r="S80" s="17"/>
    </row>
    <row r="81" spans="1:19" ht="46.9" thickBot="1" x14ac:dyDescent="0.5">
      <c r="A81" s="22"/>
      <c r="B81" s="1676" t="s">
        <v>73</v>
      </c>
      <c r="C81" s="1678">
        <f>M5</f>
        <v>3.5714285714285716</v>
      </c>
      <c r="D81" s="999" t="s">
        <v>267</v>
      </c>
      <c r="E81" s="931">
        <f>$C$81/2</f>
        <v>1.7857142857142858</v>
      </c>
      <c r="F81" s="1124" t="s">
        <v>278</v>
      </c>
      <c r="G81" s="978">
        <f>E81/1</f>
        <v>1.7857142857142858</v>
      </c>
      <c r="H81" s="97"/>
      <c r="I81" s="98"/>
      <c r="J81" s="1088">
        <f>IF(I81=H81,(H81-50),H81-I81)</f>
        <v>-50</v>
      </c>
      <c r="K81" s="980">
        <f>IF(I81&gt;=50,0,((50-I81)*(6/10)))</f>
        <v>30</v>
      </c>
      <c r="L81" s="1193">
        <f>I81+K81</f>
        <v>30</v>
      </c>
      <c r="M81" s="950" t="str">
        <f>IF(H81=0,"0%",J81/K81)</f>
        <v>0%</v>
      </c>
      <c r="N81" s="1627">
        <f>(((G81/C81)*M81)+((G82/C81)*M82))</f>
        <v>0.2310250391236307</v>
      </c>
      <c r="O81" s="1646">
        <f>IF((((G81/C81)*M81)+((G82/C81)*M82))&gt;=1,3.57148,IF((((G81/C81)*M81)+((G82/C81)*M82))&lt;=0,0, (((G81/C81)*M81)+((G82/C81)*M82))*3.571428))</f>
        <v>0.82508929342723014</v>
      </c>
      <c r="P81" s="1630">
        <f>O81/3.571428</f>
        <v>0.2310250391236307</v>
      </c>
      <c r="Q81" s="1194" t="s">
        <v>279</v>
      </c>
      <c r="R81" s="226"/>
      <c r="S81" s="653" t="s">
        <v>615</v>
      </c>
    </row>
    <row r="82" spans="1:19" ht="39.6" customHeight="1" thickBot="1" x14ac:dyDescent="0.5">
      <c r="A82" s="22"/>
      <c r="B82" s="1677"/>
      <c r="C82" s="1575"/>
      <c r="D82" s="1024" t="s">
        <v>268</v>
      </c>
      <c r="E82" s="944">
        <f>$C$81/2</f>
        <v>1.7857142857142858</v>
      </c>
      <c r="F82" s="1025" t="s">
        <v>74</v>
      </c>
      <c r="G82" s="992">
        <f>E82/1</f>
        <v>1.7857142857142858</v>
      </c>
      <c r="H82" s="99">
        <v>11.81</v>
      </c>
      <c r="I82" s="100">
        <v>18.899999999999999</v>
      </c>
      <c r="J82" s="1195">
        <f>IF(I82=H82,(H82-30),H82-I82)</f>
        <v>-7.0899999999999981</v>
      </c>
      <c r="K82" s="994">
        <f>IF(I82&gt;=30,0,((30-I82)*(6/10)))</f>
        <v>6.660000000000001</v>
      </c>
      <c r="L82" s="1196">
        <f t="shared" ref="L82" si="32">K82+I82</f>
        <v>25.56</v>
      </c>
      <c r="M82" s="950">
        <f>IF(I82&gt;=30,(1+(H82-30)/30),(H82/L82))</f>
        <v>0.46205007824726141</v>
      </c>
      <c r="N82" s="1629"/>
      <c r="O82" s="1647"/>
      <c r="P82" s="1631"/>
      <c r="Q82" s="1197" t="s">
        <v>282</v>
      </c>
      <c r="R82" s="172" t="s">
        <v>392</v>
      </c>
      <c r="S82" s="676" t="s">
        <v>393</v>
      </c>
    </row>
    <row r="83" spans="1:19" ht="60" customHeight="1" thickBot="1" x14ac:dyDescent="0.5">
      <c r="A83" s="22"/>
      <c r="B83" s="1660" t="s">
        <v>142</v>
      </c>
      <c r="C83" s="1662">
        <f>M5</f>
        <v>3.5714285714285716</v>
      </c>
      <c r="D83" s="1198" t="s">
        <v>145</v>
      </c>
      <c r="E83" s="931">
        <f>$C$81/3</f>
        <v>1.1904761904761905</v>
      </c>
      <c r="F83" s="999" t="s">
        <v>143</v>
      </c>
      <c r="G83" s="931">
        <f>E83/1</f>
        <v>1.1904761904761905</v>
      </c>
      <c r="H83" s="677">
        <v>5796</v>
      </c>
      <c r="I83" s="98"/>
      <c r="J83" s="1199">
        <f>I83-H83</f>
        <v>-5796</v>
      </c>
      <c r="K83" s="1077">
        <f>(0.2*I83)*(6/10)</f>
        <v>0</v>
      </c>
      <c r="L83" s="1200">
        <f>I83-K83</f>
        <v>0</v>
      </c>
      <c r="M83" s="935" t="str">
        <f>IF(K83&lt;&gt;0,J83/K83,"0%")</f>
        <v>0%</v>
      </c>
      <c r="N83" s="1665">
        <f>(((G83/C83)*M83)+((G84/C83)*M84)+((G85/C83)*M85))</f>
        <v>-4.955188760856849E-3</v>
      </c>
      <c r="O83" s="1632">
        <f>IF((((G83/C83)*M83)+((G84/C83)*M84)+((G85/C83)*M85))&gt;=1,3.571428,IF((((G83/C83)*M83)+((G84/C83)*M84)+((G85/C83)*M85))&lt;=0,0,(((G83/C83)*M83)+((G84/C83)*M84)+((G85/C83)*M85))*3.571428))</f>
        <v>0</v>
      </c>
      <c r="P83" s="1630">
        <f>O83/3.571428</f>
        <v>0</v>
      </c>
      <c r="Q83" s="1201" t="s">
        <v>184</v>
      </c>
      <c r="R83" s="227" t="s">
        <v>394</v>
      </c>
      <c r="S83" s="678" t="s">
        <v>673</v>
      </c>
    </row>
    <row r="84" spans="1:19" ht="45" customHeight="1" thickBot="1" x14ac:dyDescent="0.5">
      <c r="A84" s="22"/>
      <c r="B84" s="1660"/>
      <c r="C84" s="1663"/>
      <c r="D84" s="1202" t="s">
        <v>146</v>
      </c>
      <c r="E84" s="1005">
        <f t="shared" ref="E84:E85" si="33">$C$81/3</f>
        <v>1.1904761904761905</v>
      </c>
      <c r="F84" s="1128" t="s">
        <v>283</v>
      </c>
      <c r="G84" s="1005">
        <f>E84/1</f>
        <v>1.1904761904761905</v>
      </c>
      <c r="H84" s="299">
        <v>75.8</v>
      </c>
      <c r="I84" s="300">
        <v>67.599999999999994</v>
      </c>
      <c r="J84" s="1203">
        <f>I84-H84</f>
        <v>-8.2000000000000028</v>
      </c>
      <c r="K84" s="1077">
        <f>(0.5*I84)*(6/10)</f>
        <v>20.279999999999998</v>
      </c>
      <c r="L84" s="1204">
        <f>I84-K84</f>
        <v>47.319999999999993</v>
      </c>
      <c r="M84" s="971">
        <f>IF(H84&lt;=0,100%, IF(K84&lt;&gt;0,J84/K84,"0%"))</f>
        <v>-0.40433925049309682</v>
      </c>
      <c r="N84" s="1666"/>
      <c r="O84" s="1633"/>
      <c r="P84" s="1635"/>
      <c r="Q84" s="1205" t="s">
        <v>185</v>
      </c>
      <c r="R84" s="172" t="s">
        <v>674</v>
      </c>
      <c r="S84" s="678" t="s">
        <v>675</v>
      </c>
    </row>
    <row r="85" spans="1:19" ht="38.450000000000003" customHeight="1" thickBot="1" x14ac:dyDescent="0.5">
      <c r="A85" s="22"/>
      <c r="B85" s="1661"/>
      <c r="C85" s="1664"/>
      <c r="D85" s="1206" t="s">
        <v>147</v>
      </c>
      <c r="E85" s="944">
        <f t="shared" si="33"/>
        <v>1.1904761904761905</v>
      </c>
      <c r="F85" s="1025" t="s">
        <v>144</v>
      </c>
      <c r="G85" s="944">
        <f>E85/1</f>
        <v>1.1904761904761905</v>
      </c>
      <c r="H85" s="99">
        <v>49.04</v>
      </c>
      <c r="I85" s="100">
        <v>33.5</v>
      </c>
      <c r="J85" s="1207">
        <f>H85-I85</f>
        <v>15.54</v>
      </c>
      <c r="K85" s="1208">
        <f>(100-I85)*(6/10)</f>
        <v>39.9</v>
      </c>
      <c r="L85" s="1209">
        <f>I85+K85</f>
        <v>73.400000000000006</v>
      </c>
      <c r="M85" s="971">
        <f>IF(H85&gt;=100,167%, IF(K85&lt;&gt;0,J85/K85,"0%"))</f>
        <v>0.38947368421052631</v>
      </c>
      <c r="N85" s="1667"/>
      <c r="O85" s="1634"/>
      <c r="P85" s="1631"/>
      <c r="Q85" s="1210" t="s">
        <v>284</v>
      </c>
      <c r="R85" s="172" t="s">
        <v>395</v>
      </c>
      <c r="S85" s="678" t="s">
        <v>676</v>
      </c>
    </row>
    <row r="86" spans="1:19" ht="20.45" customHeight="1" thickBot="1" x14ac:dyDescent="0.5">
      <c r="B86" s="1648" t="s">
        <v>75</v>
      </c>
      <c r="C86" s="1649"/>
      <c r="D86" s="1649"/>
      <c r="E86" s="1649"/>
      <c r="F86" s="1650"/>
      <c r="G86" s="1162"/>
      <c r="H86" s="150"/>
      <c r="I86" s="151"/>
      <c r="J86" s="1211"/>
      <c r="K86" s="1212"/>
      <c r="L86" s="1212"/>
      <c r="M86" s="1018"/>
      <c r="N86" s="911">
        <f>N87</f>
        <v>1.1791148476567583</v>
      </c>
      <c r="O86" s="912">
        <f>O87</f>
        <v>3.571428</v>
      </c>
      <c r="P86" s="913">
        <f>O86/3.571428</f>
        <v>1</v>
      </c>
      <c r="Q86" s="1085"/>
      <c r="R86" s="18"/>
      <c r="S86" s="18"/>
    </row>
    <row r="87" spans="1:19" ht="27.6" customHeight="1" thickBot="1" x14ac:dyDescent="0.5">
      <c r="A87" s="1651">
        <v>24</v>
      </c>
      <c r="B87" s="1652" t="s">
        <v>76</v>
      </c>
      <c r="C87" s="1654">
        <f>M5</f>
        <v>3.5714285714285716</v>
      </c>
      <c r="D87" s="1073" t="s">
        <v>159</v>
      </c>
      <c r="E87" s="1074">
        <f>($C$87/3)</f>
        <v>1.1904761904761905</v>
      </c>
      <c r="F87" s="1213" t="s">
        <v>285</v>
      </c>
      <c r="G87" s="1214">
        <f>E87/1</f>
        <v>1.1904761904761905</v>
      </c>
      <c r="H87" s="606">
        <v>4.7</v>
      </c>
      <c r="I87" s="679">
        <v>8.6</v>
      </c>
      <c r="J87" s="1215">
        <f>I87-H87</f>
        <v>3.8999999999999995</v>
      </c>
      <c r="K87" s="1216">
        <f>(0.25*I87)*(6/10)</f>
        <v>1.2899999999999998</v>
      </c>
      <c r="L87" s="1217">
        <f>I87-K87</f>
        <v>7.31</v>
      </c>
      <c r="M87" s="935">
        <f>IF(K87&lt;&gt;0,J87/K87,"0%")</f>
        <v>3.0232558139534884</v>
      </c>
      <c r="N87" s="1657">
        <f>(((G87/C87)*M87)+((G88/C87)*M88)+((G89/C87)*M89)+((G90/C87)*M90)+((G91/C87)*M91))</f>
        <v>1.1791148476567583</v>
      </c>
      <c r="O87" s="1632">
        <f>IF((((G87/C87)*M87)+((G88/C87)*M88)+((G89/C87)*M89)+((G90/C87)*M90)+((G91/C87)*M91))&gt;=1,3.571428,IF((((G87/C87)*M87)+((G88/C87)*M88)+((G89/C87)*M89)+((G90/C87)*M90)+((G91/C87)*M91))&lt;=0,0,((((G87/C87)*M87)+((G88/C87)*M88)+((G89/C87)*M89)+((G90/C87)*M90)+((G91/C87)*M91))*3.571428)))</f>
        <v>3.571428</v>
      </c>
      <c r="P87" s="1630">
        <f>O87/3.571428</f>
        <v>1</v>
      </c>
      <c r="Q87" s="1218" t="s">
        <v>186</v>
      </c>
      <c r="R87" s="172" t="s">
        <v>677</v>
      </c>
      <c r="S87" s="676" t="s">
        <v>678</v>
      </c>
    </row>
    <row r="88" spans="1:19" ht="25.8" customHeight="1" x14ac:dyDescent="0.45">
      <c r="A88" s="1651"/>
      <c r="B88" s="1652"/>
      <c r="C88" s="1655"/>
      <c r="D88" s="1668" t="s">
        <v>160</v>
      </c>
      <c r="E88" s="1669">
        <f>C87/3</f>
        <v>1.1904761904761905</v>
      </c>
      <c r="F88" s="1006" t="s">
        <v>77</v>
      </c>
      <c r="G88" s="1219">
        <f>$E$88/3</f>
        <v>0.3968253968253968</v>
      </c>
      <c r="H88" s="233"/>
      <c r="I88" s="234"/>
      <c r="J88" s="1220">
        <f>I88-H88</f>
        <v>0</v>
      </c>
      <c r="K88" s="1221">
        <f>I88*(6/10)</f>
        <v>0</v>
      </c>
      <c r="L88" s="1222">
        <f>I88-K88</f>
        <v>0</v>
      </c>
      <c r="M88" s="989" t="str">
        <f>IF(K88&lt;&gt;0,J88/K88,"0%")</f>
        <v>0%</v>
      </c>
      <c r="N88" s="1658"/>
      <c r="O88" s="1633"/>
      <c r="P88" s="1635"/>
      <c r="Q88" s="1223" t="s">
        <v>187</v>
      </c>
      <c r="R88" s="178"/>
      <c r="S88" s="661" t="s">
        <v>665</v>
      </c>
    </row>
    <row r="89" spans="1:19" ht="59.65" customHeight="1" thickBot="1" x14ac:dyDescent="0.5">
      <c r="A89" s="1651"/>
      <c r="B89" s="1652"/>
      <c r="C89" s="1655"/>
      <c r="D89" s="1668"/>
      <c r="E89" s="1669"/>
      <c r="F89" s="1006" t="s">
        <v>78</v>
      </c>
      <c r="G89" s="1219">
        <f>$E$88/3</f>
        <v>0.3968253968253968</v>
      </c>
      <c r="H89" s="233"/>
      <c r="I89" s="234">
        <v>51.3</v>
      </c>
      <c r="J89" s="1220">
        <f>I89-H89</f>
        <v>51.3</v>
      </c>
      <c r="K89" s="1221">
        <f>I89*(6/10)</f>
        <v>30.779999999999998</v>
      </c>
      <c r="L89" s="1222">
        <f>I89-K89</f>
        <v>20.52</v>
      </c>
      <c r="M89" s="950" t="str">
        <f>IF(H89=0,"0%",J89/K89)</f>
        <v>0%</v>
      </c>
      <c r="N89" s="1658"/>
      <c r="O89" s="1633"/>
      <c r="P89" s="1635"/>
      <c r="Q89" s="1223" t="s">
        <v>188</v>
      </c>
      <c r="R89" s="178" t="s">
        <v>396</v>
      </c>
      <c r="S89" s="680" t="s">
        <v>679</v>
      </c>
    </row>
    <row r="90" spans="1:19" ht="26.45" customHeight="1" x14ac:dyDescent="0.45">
      <c r="A90" s="1651"/>
      <c r="B90" s="1652"/>
      <c r="C90" s="1655"/>
      <c r="D90" s="1668"/>
      <c r="E90" s="1669"/>
      <c r="F90" s="1006" t="s">
        <v>79</v>
      </c>
      <c r="G90" s="1219">
        <f>$E$88/3</f>
        <v>0.3968253968253968</v>
      </c>
      <c r="H90" s="122">
        <v>667</v>
      </c>
      <c r="I90" s="123">
        <v>556</v>
      </c>
      <c r="J90" s="1220">
        <f>I90-H90</f>
        <v>-111</v>
      </c>
      <c r="K90" s="1224">
        <f>(I90)*(6/10)</f>
        <v>333.59999999999997</v>
      </c>
      <c r="L90" s="1225">
        <f>I90-K90</f>
        <v>222.40000000000003</v>
      </c>
      <c r="M90" s="989">
        <f>IF(K90&lt;&gt;0,J90/K90,"100%")</f>
        <v>-0.33273381294964033</v>
      </c>
      <c r="N90" s="1658"/>
      <c r="O90" s="1633"/>
      <c r="P90" s="1635"/>
      <c r="Q90" s="1226" t="s">
        <v>189</v>
      </c>
      <c r="R90" s="178" t="s">
        <v>397</v>
      </c>
      <c r="S90" s="681" t="s">
        <v>398</v>
      </c>
    </row>
    <row r="91" spans="1:19" ht="40.799999999999997" customHeight="1" thickBot="1" x14ac:dyDescent="0.5">
      <c r="A91" s="1651"/>
      <c r="B91" s="1653"/>
      <c r="C91" s="1656"/>
      <c r="D91" s="991" t="s">
        <v>161</v>
      </c>
      <c r="E91" s="944">
        <f>$C$87/3</f>
        <v>1.1904761904761905</v>
      </c>
      <c r="F91" s="1227" t="s">
        <v>80</v>
      </c>
      <c r="G91" s="1228">
        <f>E91/1</f>
        <v>1.1904761904761905</v>
      </c>
      <c r="H91" s="111">
        <v>50</v>
      </c>
      <c r="I91" s="112">
        <v>50</v>
      </c>
      <c r="J91" s="1229">
        <f>H91-I91</f>
        <v>0</v>
      </c>
      <c r="K91" s="1208">
        <f>(100-I91)*(6/10)</f>
        <v>30</v>
      </c>
      <c r="L91" s="1230">
        <f>I91+K91</f>
        <v>80</v>
      </c>
      <c r="M91" s="950">
        <f>IF(I91&gt;=60,(1+(H91-60)/60),(H91/L91))</f>
        <v>0.625</v>
      </c>
      <c r="N91" s="1659"/>
      <c r="O91" s="1634"/>
      <c r="P91" s="1631"/>
      <c r="Q91" s="1231" t="s">
        <v>95</v>
      </c>
      <c r="R91" s="179"/>
      <c r="S91" s="526" t="s">
        <v>544</v>
      </c>
    </row>
    <row r="92" spans="1:19" ht="14.65" thickBot="1" x14ac:dyDescent="0.5">
      <c r="B92" s="1586" t="s">
        <v>81</v>
      </c>
      <c r="C92" s="1587"/>
      <c r="D92" s="1587"/>
      <c r="E92" s="1587"/>
      <c r="F92" s="1588"/>
      <c r="G92" s="11"/>
      <c r="H92" s="146"/>
      <c r="I92" s="147"/>
      <c r="J92" s="225"/>
      <c r="K92" s="11"/>
      <c r="L92" s="11"/>
      <c r="M92" s="223"/>
      <c r="N92" s="911">
        <f>(N93+N97)/2</f>
        <v>1.4557197403589155</v>
      </c>
      <c r="O92" s="912">
        <f>(O93+O97)</f>
        <v>8.8249454052233673</v>
      </c>
      <c r="P92" s="913">
        <f>O92/14.285712</f>
        <v>0.61774627720504005</v>
      </c>
      <c r="Q92" s="1099"/>
      <c r="R92" s="518"/>
      <c r="S92" s="23"/>
    </row>
    <row r="93" spans="1:19" ht="20.45" customHeight="1" thickBot="1" x14ac:dyDescent="0.5">
      <c r="B93" s="1614" t="s">
        <v>82</v>
      </c>
      <c r="C93" s="1615"/>
      <c r="D93" s="1615"/>
      <c r="E93" s="1615"/>
      <c r="F93" s="1616"/>
      <c r="G93" s="996"/>
      <c r="H93" s="136"/>
      <c r="I93" s="137"/>
      <c r="J93" s="1017"/>
      <c r="K93" s="1017"/>
      <c r="L93" s="1017"/>
      <c r="M93" s="1018"/>
      <c r="N93" s="911">
        <f>N94</f>
        <v>0.66666666666666663</v>
      </c>
      <c r="O93" s="912">
        <f>O94</f>
        <v>2.3809519999999997</v>
      </c>
      <c r="P93" s="913">
        <f>O93/3.571428</f>
        <v>0.66666666666666663</v>
      </c>
      <c r="Q93" s="1086"/>
      <c r="R93" s="19"/>
      <c r="S93" s="18"/>
    </row>
    <row r="94" spans="1:19" ht="34.799999999999997" customHeight="1" thickBot="1" x14ac:dyDescent="0.5">
      <c r="A94" s="1617">
        <v>25</v>
      </c>
      <c r="B94" s="1618" t="s">
        <v>83</v>
      </c>
      <c r="C94" s="1621">
        <f>M5</f>
        <v>3.5714285714285716</v>
      </c>
      <c r="D94" s="1624" t="s">
        <v>214</v>
      </c>
      <c r="E94" s="1087">
        <f>$C$94/3</f>
        <v>1.1904761904761905</v>
      </c>
      <c r="F94" s="999" t="s">
        <v>269</v>
      </c>
      <c r="G94" s="1232">
        <f>E94/1</f>
        <v>1.1904761904761905</v>
      </c>
      <c r="H94" s="308">
        <v>100</v>
      </c>
      <c r="I94" s="1280">
        <v>100</v>
      </c>
      <c r="J94" s="1233">
        <f>H94-I94</f>
        <v>0</v>
      </c>
      <c r="K94" s="1234">
        <f>(100-I94)*(6/10)</f>
        <v>0</v>
      </c>
      <c r="L94" s="1235">
        <f>I94+K94</f>
        <v>100</v>
      </c>
      <c r="M94" s="935" t="str">
        <f>IF(K94&lt;&gt;0,J94/K94,"100%")</f>
        <v>100%</v>
      </c>
      <c r="N94" s="1627">
        <f>(((G94/C94)*M94)+((G95/C94)*M95)+((G96/C94)*M96))</f>
        <v>0.66666666666666663</v>
      </c>
      <c r="O94" s="1632">
        <f>IF((((G94/C94)*M94)+((G95/C94)*M95)+((G96/C94)*M96))&gt;=1,3.571428,IF((((G94/C94)*M94)+((G95/C94)*M95)+((G96/C94)*M96))&lt;=0,0,(((G94/C94)*M94)+((G95/C94)*M95)+((G96/C94)*M96))*3.571428))</f>
        <v>2.3809519999999997</v>
      </c>
      <c r="P94" s="1630">
        <f>O94/3.571428</f>
        <v>0.66666666666666663</v>
      </c>
      <c r="Q94" s="1236" t="s">
        <v>190</v>
      </c>
      <c r="R94" s="69"/>
      <c r="S94" s="60"/>
    </row>
    <row r="95" spans="1:19" ht="39.6" customHeight="1" thickBot="1" x14ac:dyDescent="0.5">
      <c r="A95" s="1617"/>
      <c r="B95" s="1619"/>
      <c r="C95" s="1622"/>
      <c r="D95" s="1625"/>
      <c r="E95" s="1237">
        <f t="shared" ref="E95:E96" si="34">$C$94/3</f>
        <v>1.1904761904761905</v>
      </c>
      <c r="F95" s="1128" t="s">
        <v>270</v>
      </c>
      <c r="G95" s="1219">
        <f>E95/1</f>
        <v>1.1904761904761905</v>
      </c>
      <c r="H95" s="299"/>
      <c r="I95" s="514"/>
      <c r="J95" s="1220">
        <f>IF(AND(I95&gt;1,(H95-I95=0)),(H95-1),(H95-I95))</f>
        <v>0</v>
      </c>
      <c r="K95" s="1066">
        <f>IF(AND(I95&gt;=1,H95&gt;=1),"0",((1-I95)*(6/10)))</f>
        <v>0.6</v>
      </c>
      <c r="L95" s="1238">
        <f t="shared" ref="L95:L96" si="35">I95+K95</f>
        <v>0.6</v>
      </c>
      <c r="M95" s="989">
        <f>IF(I95&gt;=1,(1+(H95-1)/1),(J95/K95))</f>
        <v>0</v>
      </c>
      <c r="N95" s="1628"/>
      <c r="O95" s="1633"/>
      <c r="P95" s="1635"/>
      <c r="Q95" s="1239" t="s">
        <v>191</v>
      </c>
      <c r="R95" s="171"/>
      <c r="S95" s="653" t="s">
        <v>615</v>
      </c>
    </row>
    <row r="96" spans="1:19" ht="41.45" customHeight="1" thickBot="1" x14ac:dyDescent="0.5">
      <c r="A96" s="1617"/>
      <c r="B96" s="1620"/>
      <c r="C96" s="1623"/>
      <c r="D96" s="1626"/>
      <c r="E96" s="1090">
        <f t="shared" si="34"/>
        <v>1.1904761904761905</v>
      </c>
      <c r="F96" s="1024" t="s">
        <v>84</v>
      </c>
      <c r="G96" s="1228">
        <f>E96/1</f>
        <v>1.1904761904761905</v>
      </c>
      <c r="H96" s="115">
        <v>100</v>
      </c>
      <c r="I96" s="1281">
        <v>100</v>
      </c>
      <c r="J96" s="1229">
        <f>H96-I96</f>
        <v>0</v>
      </c>
      <c r="K96" s="1208">
        <f>(100-I96)*(6/10)</f>
        <v>0</v>
      </c>
      <c r="L96" s="1230">
        <f t="shared" si="35"/>
        <v>100</v>
      </c>
      <c r="M96" s="950" t="str">
        <f>IF(K96&lt;&gt;0,J96/K96,"100%")</f>
        <v>100%</v>
      </c>
      <c r="N96" s="1629"/>
      <c r="O96" s="1634"/>
      <c r="P96" s="1631"/>
      <c r="Q96" s="1240" t="s">
        <v>95</v>
      </c>
      <c r="R96" s="162"/>
      <c r="S96" s="257"/>
    </row>
    <row r="97" spans="1:19" ht="18" customHeight="1" thickBot="1" x14ac:dyDescent="0.5">
      <c r="B97" s="1636" t="s">
        <v>85</v>
      </c>
      <c r="C97" s="1637"/>
      <c r="D97" s="1637"/>
      <c r="E97" s="1637"/>
      <c r="F97" s="1638"/>
      <c r="G97" s="1241"/>
      <c r="H97" s="125"/>
      <c r="I97" s="126"/>
      <c r="J97" s="1241"/>
      <c r="K97" s="1242"/>
      <c r="L97" s="1242"/>
      <c r="M97" s="1243"/>
      <c r="N97" s="1244">
        <f>(N98+N99+N100)/3</f>
        <v>2.2447728140511645</v>
      </c>
      <c r="O97" s="1245">
        <f>(O98+O99+O100)</f>
        <v>6.4439934052233685</v>
      </c>
      <c r="P97" s="913">
        <f>O97/10.714284</f>
        <v>0.60143948071783138</v>
      </c>
      <c r="Q97" s="1246"/>
      <c r="R97" s="520"/>
      <c r="S97" s="682"/>
    </row>
    <row r="98" spans="1:19" ht="29.45" customHeight="1" thickBot="1" x14ac:dyDescent="0.5">
      <c r="A98" s="22">
        <v>26</v>
      </c>
      <c r="B98" s="1032" t="s">
        <v>86</v>
      </c>
      <c r="C98" s="1033">
        <f>$M$5</f>
        <v>3.5714285714285716</v>
      </c>
      <c r="D98" s="1032" t="s">
        <v>215</v>
      </c>
      <c r="E98" s="1033">
        <f>C98/1</f>
        <v>3.5714285714285716</v>
      </c>
      <c r="F98" s="1163" t="s">
        <v>291</v>
      </c>
      <c r="G98" s="1033">
        <f>E98/1</f>
        <v>3.5714285714285716</v>
      </c>
      <c r="H98" s="324">
        <v>59.3</v>
      </c>
      <c r="I98" s="325">
        <v>57.9</v>
      </c>
      <c r="J98" s="1248">
        <f>IF(I98=H98,(H98-10),H98-I98)</f>
        <v>1.3999999999999986</v>
      </c>
      <c r="K98" s="1051">
        <f>IF(I98&gt;=10,0,((10-I98)*(6/10)))</f>
        <v>0</v>
      </c>
      <c r="L98" s="1158">
        <f>I98+K98</f>
        <v>57.9</v>
      </c>
      <c r="M98" s="1094">
        <f>IF(I98&gt;=10,(1+(H98-10)/10),(J98/K98))</f>
        <v>5.93</v>
      </c>
      <c r="N98" s="1159">
        <f>((G98/C98)*M98)</f>
        <v>5.93</v>
      </c>
      <c r="O98" s="1041">
        <f>IF(((G98/C98)*M98)&gt;=1,3.571428,IF(((G98/C98)*M98)&lt;=0,0,((G98/C98)*M98)*3.571428))</f>
        <v>3.571428</v>
      </c>
      <c r="P98" s="913">
        <f>O98/3.571428</f>
        <v>1</v>
      </c>
      <c r="Q98" s="1249" t="s">
        <v>95</v>
      </c>
      <c r="R98" s="229" t="s">
        <v>365</v>
      </c>
      <c r="S98" s="465"/>
    </row>
    <row r="99" spans="1:19" ht="35.25" thickBot="1" x14ac:dyDescent="0.5">
      <c r="A99" s="22">
        <v>27</v>
      </c>
      <c r="B99" s="1032" t="s">
        <v>87</v>
      </c>
      <c r="C99" s="1033">
        <f>$M$5</f>
        <v>3.5714285714285716</v>
      </c>
      <c r="D99" s="1032" t="s">
        <v>216</v>
      </c>
      <c r="E99" s="1033">
        <f>C99/1</f>
        <v>3.5714285714285716</v>
      </c>
      <c r="F99" s="1163" t="s">
        <v>271</v>
      </c>
      <c r="G99" s="1033">
        <f>E99/1</f>
        <v>3.5714285714285716</v>
      </c>
      <c r="H99" s="326">
        <v>17.3</v>
      </c>
      <c r="I99" s="325">
        <v>16.8</v>
      </c>
      <c r="J99" s="1248">
        <f>IF(I99=H99,(H99-75),H99-I99)</f>
        <v>0.5</v>
      </c>
      <c r="K99" s="1051">
        <f>IF(I99&gt;=75,0,((75-I99)*(6/10)))</f>
        <v>34.92</v>
      </c>
      <c r="L99" s="1182">
        <f>I99+K99</f>
        <v>51.72</v>
      </c>
      <c r="M99" s="1250">
        <f>IF(I99&gt;=75,(1+(H99-75)/75),(J99/K99))</f>
        <v>1.4318442153493699E-2</v>
      </c>
      <c r="N99" s="1159">
        <f>((G99/C99)*M99)</f>
        <v>1.4318442153493699E-2</v>
      </c>
      <c r="O99" s="1041">
        <f>IF(((G99/C99)*M99)&gt;=1,3.571428,IF(((G99/C99)*M99)&lt;=0,0,((G99/C99)*M99)*3.571428))</f>
        <v>5.1137285223367697E-2</v>
      </c>
      <c r="P99" s="913">
        <f>O99/3.571428</f>
        <v>1.4318442153493699E-2</v>
      </c>
      <c r="Q99" s="1249" t="s">
        <v>192</v>
      </c>
      <c r="R99" s="229" t="s">
        <v>365</v>
      </c>
      <c r="S99" s="463" t="s">
        <v>399</v>
      </c>
    </row>
    <row r="100" spans="1:19" ht="31.9" thickBot="1" x14ac:dyDescent="0.5">
      <c r="A100" s="1617">
        <v>28</v>
      </c>
      <c r="B100" s="1639" t="s">
        <v>88</v>
      </c>
      <c r="C100" s="1641">
        <f>M5</f>
        <v>3.5714285714285716</v>
      </c>
      <c r="D100" s="1639" t="s">
        <v>217</v>
      </c>
      <c r="E100" s="1641">
        <f>C100/1</f>
        <v>3.5714285714285716</v>
      </c>
      <c r="F100" s="1124" t="s">
        <v>89</v>
      </c>
      <c r="G100" s="931">
        <f>$E$100/2</f>
        <v>1.7857142857142858</v>
      </c>
      <c r="H100" s="97">
        <v>10.5</v>
      </c>
      <c r="I100" s="98">
        <v>9.9</v>
      </c>
      <c r="J100" s="1252">
        <f>IF(I100=H100,(25-H100),I100-H100)</f>
        <v>-0.59999999999999964</v>
      </c>
      <c r="K100" s="1105">
        <f>IF(I100&lt;=25,0,((0.25*I100)*(6/10)))</f>
        <v>0</v>
      </c>
      <c r="L100" s="1253">
        <f>I100-K100</f>
        <v>9.9</v>
      </c>
      <c r="M100" s="935">
        <f>IF(I100&lt;=25,(1+(25-H100)/25),(J100/K100))</f>
        <v>1.58</v>
      </c>
      <c r="N100" s="1644">
        <f>((G100/$C$100)*M100)+((G101/$C$100)*M101)</f>
        <v>0.79</v>
      </c>
      <c r="O100" s="1646">
        <f>IF((((G100/C100)*M100)+((G101/C100)*M101))&gt;=1,3.57148,IF((((G100/C100)*M100)+((G101/C100)*M101))&lt;=0,0, (((G100/C100)*M100)+((G101/C100)*M101))*3.571428))</f>
        <v>2.8214281200000002</v>
      </c>
      <c r="P100" s="1630">
        <f>O100/3.571428</f>
        <v>0.79</v>
      </c>
      <c r="Q100" s="1254" t="s">
        <v>193</v>
      </c>
      <c r="R100" s="229" t="s">
        <v>680</v>
      </c>
      <c r="S100" s="524" t="s">
        <v>681</v>
      </c>
    </row>
    <row r="101" spans="1:19" ht="38.450000000000003" customHeight="1" thickBot="1" x14ac:dyDescent="0.5">
      <c r="A101" s="1617"/>
      <c r="B101" s="1640"/>
      <c r="C101" s="1642"/>
      <c r="D101" s="1640"/>
      <c r="E101" s="1643"/>
      <c r="F101" s="1024" t="s">
        <v>90</v>
      </c>
      <c r="G101" s="944">
        <f>$E$100/2</f>
        <v>1.7857142857142858</v>
      </c>
      <c r="H101" s="99"/>
      <c r="I101" s="100"/>
      <c r="J101" s="1255">
        <f>IF(I101=H101,(H101-25),H101-I101)</f>
        <v>-25</v>
      </c>
      <c r="K101" s="994">
        <f>IF(I101&gt;=25,0,((25-I101)*(6/10)))</f>
        <v>15</v>
      </c>
      <c r="L101" s="1256">
        <f t="shared" ref="L101" si="36">K101+I101</f>
        <v>15</v>
      </c>
      <c r="M101" s="950" t="str">
        <f>IF(H101=0,"0%",J101/K101)</f>
        <v>0%</v>
      </c>
      <c r="N101" s="1645"/>
      <c r="O101" s="1647"/>
      <c r="P101" s="1631"/>
      <c r="Q101" s="1257" t="s">
        <v>95</v>
      </c>
      <c r="R101" s="181"/>
      <c r="S101" s="524" t="s">
        <v>669</v>
      </c>
    </row>
    <row r="102" spans="1:19" ht="34.25" customHeight="1" thickBot="1" x14ac:dyDescent="0.5">
      <c r="B102" s="1258" t="s">
        <v>194</v>
      </c>
      <c r="C102" s="1259">
        <f>C11+C13+C15+C19+C24+C33+C34+C35+C36+C38+C41+C44+C48+C51+C53+C61+C68+C71+C73+C75+C78+C81+C83+C87+C94+C98+C99+C100</f>
        <v>99.999999999999972</v>
      </c>
      <c r="D102" s="1260"/>
      <c r="E102" s="1259">
        <f>E11+E12+E13+E14+E15+E19+E20+E21+E22+E24+E25+E28+E31+E33+E34+E35+E36+E38+E39+E41+E42+E44+E45+E48+E49++E51+E53+E54+E55+E56+E57+E61+E62+E63+E64+E68+E71+E73+E75+E78+E81++E82+E83+E84+E85+E87+E88+E91+E94+E95+E96+E98+E99+E100</f>
        <v>100.00714285714285</v>
      </c>
      <c r="F102" s="1261"/>
      <c r="G102" s="1259">
        <f>G11+G12+G13+G14+G15+G16+G17+G19+G20+G21+G22+G24+G25+G26+G27+G28+G29+G30+G31+G33+G34+G35+G36+G38+G39+G41+G42+G44+G45+G48+G49+G51+G53+G54+G55+G56+G57+G58+G61+G62+G63+G64+G65+G66+G68+G71+G73+G75+G78+G81+G82+G83+G84+G85+G87+G88+G89+G90+G91+G94+G95+G96+G98+G99+G100+G101</f>
        <v>100.00714285714285</v>
      </c>
      <c r="H102" s="1262"/>
      <c r="I102" s="1263"/>
      <c r="J102" s="1262"/>
      <c r="K102" s="1264"/>
      <c r="L102" s="1261"/>
      <c r="M102" s="1265"/>
      <c r="N102" s="1266"/>
      <c r="O102" s="1267"/>
      <c r="P102" s="1267"/>
      <c r="Q102" s="1268"/>
      <c r="R102" s="26"/>
      <c r="S102" s="27"/>
    </row>
    <row r="104" spans="1:19" ht="15.75" x14ac:dyDescent="0.5">
      <c r="B104" s="28"/>
    </row>
    <row r="107" spans="1:19" ht="15.75" x14ac:dyDescent="0.5">
      <c r="B107" s="28"/>
    </row>
    <row r="108" spans="1:19" x14ac:dyDescent="0.45">
      <c r="B108" s="29"/>
    </row>
    <row r="109" spans="1:19" x14ac:dyDescent="0.45">
      <c r="B109" s="29"/>
    </row>
    <row r="111" spans="1:19" x14ac:dyDescent="0.45">
      <c r="E111"/>
      <c r="F111" s="1269" t="s">
        <v>196</v>
      </c>
    </row>
    <row r="112" spans="1:19" x14ac:dyDescent="0.45">
      <c r="E112" s="1270">
        <v>1</v>
      </c>
      <c r="F112" s="1270" t="s">
        <v>197</v>
      </c>
    </row>
    <row r="113" spans="5:6" x14ac:dyDescent="0.45">
      <c r="E113" s="1270">
        <v>2</v>
      </c>
      <c r="F113" s="1270" t="s">
        <v>227</v>
      </c>
    </row>
    <row r="114" spans="5:6" x14ac:dyDescent="0.45">
      <c r="E114" s="1270">
        <v>3</v>
      </c>
      <c r="F114" s="1270" t="s">
        <v>228</v>
      </c>
    </row>
    <row r="115" spans="5:6" x14ac:dyDescent="0.45">
      <c r="E115" s="1270">
        <v>4</v>
      </c>
      <c r="F115" s="1270" t="s">
        <v>229</v>
      </c>
    </row>
    <row r="116" spans="5:6" x14ac:dyDescent="0.45">
      <c r="E116" s="1270">
        <v>5</v>
      </c>
      <c r="F116" s="1270" t="s">
        <v>198</v>
      </c>
    </row>
    <row r="117" spans="5:6" x14ac:dyDescent="0.45">
      <c r="E117" s="1270">
        <v>6</v>
      </c>
      <c r="F117" s="1270" t="s">
        <v>230</v>
      </c>
    </row>
    <row r="118" spans="5:6" x14ac:dyDescent="0.45">
      <c r="E118" s="1270">
        <v>7</v>
      </c>
      <c r="F118" s="1270" t="s">
        <v>231</v>
      </c>
    </row>
    <row r="119" spans="5:6" x14ac:dyDescent="0.45">
      <c r="E119" s="1270">
        <v>8</v>
      </c>
      <c r="F119" s="1270" t="s">
        <v>199</v>
      </c>
    </row>
    <row r="120" spans="5:6" x14ac:dyDescent="0.45">
      <c r="E120" s="1270">
        <v>9</v>
      </c>
      <c r="F120" s="1270" t="s">
        <v>200</v>
      </c>
    </row>
    <row r="121" spans="5:6" x14ac:dyDescent="0.45">
      <c r="E121" s="1270">
        <v>10</v>
      </c>
      <c r="F121" s="1270" t="s">
        <v>201</v>
      </c>
    </row>
    <row r="122" spans="5:6" x14ac:dyDescent="0.45">
      <c r="E122" s="1270">
        <v>11</v>
      </c>
      <c r="F122" s="1270" t="s">
        <v>232</v>
      </c>
    </row>
    <row r="123" spans="5:6" x14ac:dyDescent="0.45">
      <c r="E123" s="1270">
        <v>12</v>
      </c>
      <c r="F123" s="1270" t="s">
        <v>202</v>
      </c>
    </row>
    <row r="124" spans="5:6" x14ac:dyDescent="0.45">
      <c r="E124" s="1270">
        <f t="shared" ref="E124:E145" si="37">E123+1</f>
        <v>13</v>
      </c>
      <c r="F124" s="1270" t="s">
        <v>203</v>
      </c>
    </row>
    <row r="125" spans="5:6" x14ac:dyDescent="0.45">
      <c r="E125" s="1270">
        <v>14</v>
      </c>
      <c r="F125" s="1270" t="s">
        <v>233</v>
      </c>
    </row>
    <row r="126" spans="5:6" x14ac:dyDescent="0.45">
      <c r="E126" s="1270">
        <v>15</v>
      </c>
      <c r="F126" s="1270" t="s">
        <v>234</v>
      </c>
    </row>
    <row r="127" spans="5:6" x14ac:dyDescent="0.45">
      <c r="E127" s="1270">
        <v>16</v>
      </c>
      <c r="F127" s="1270" t="s">
        <v>213</v>
      </c>
    </row>
    <row r="128" spans="5:6" x14ac:dyDescent="0.45">
      <c r="E128" s="1270">
        <v>17</v>
      </c>
      <c r="F128" s="1270" t="s">
        <v>235</v>
      </c>
    </row>
    <row r="129" spans="5:6" x14ac:dyDescent="0.45">
      <c r="E129" s="1270">
        <v>18</v>
      </c>
      <c r="F129" s="1270" t="s">
        <v>263</v>
      </c>
    </row>
    <row r="130" spans="5:6" x14ac:dyDescent="0.45">
      <c r="E130" s="1270">
        <v>19</v>
      </c>
      <c r="F130" s="1270" t="s">
        <v>204</v>
      </c>
    </row>
    <row r="131" spans="5:6" x14ac:dyDescent="0.45">
      <c r="E131" s="1270">
        <v>20</v>
      </c>
      <c r="F131" s="1270" t="s">
        <v>236</v>
      </c>
    </row>
    <row r="132" spans="5:6" x14ac:dyDescent="0.45">
      <c r="E132" s="1270">
        <v>21</v>
      </c>
      <c r="F132" s="1270" t="s">
        <v>237</v>
      </c>
    </row>
    <row r="133" spans="5:6" x14ac:dyDescent="0.45">
      <c r="E133" s="1270">
        <v>22</v>
      </c>
      <c r="F133" s="1270" t="s">
        <v>238</v>
      </c>
    </row>
    <row r="134" spans="5:6" x14ac:dyDescent="0.45">
      <c r="E134" s="1270">
        <v>23</v>
      </c>
      <c r="F134" s="1270" t="s">
        <v>205</v>
      </c>
    </row>
    <row r="135" spans="5:6" x14ac:dyDescent="0.45">
      <c r="E135" s="1270">
        <v>24</v>
      </c>
      <c r="F135" s="1270" t="s">
        <v>239</v>
      </c>
    </row>
    <row r="136" spans="5:6" x14ac:dyDescent="0.45">
      <c r="E136" s="1270">
        <v>25</v>
      </c>
      <c r="F136" s="1270" t="s">
        <v>240</v>
      </c>
    </row>
    <row r="137" spans="5:6" x14ac:dyDescent="0.45">
      <c r="E137" s="1270">
        <v>26</v>
      </c>
      <c r="F137" s="1270" t="s">
        <v>241</v>
      </c>
    </row>
    <row r="138" spans="5:6" x14ac:dyDescent="0.45">
      <c r="E138" s="1270">
        <v>27</v>
      </c>
      <c r="F138" s="1270" t="s">
        <v>206</v>
      </c>
    </row>
    <row r="139" spans="5:6" x14ac:dyDescent="0.45">
      <c r="E139" s="1270">
        <v>28</v>
      </c>
      <c r="F139" s="1270" t="s">
        <v>242</v>
      </c>
    </row>
    <row r="140" spans="5:6" x14ac:dyDescent="0.45">
      <c r="E140" s="1270">
        <v>29</v>
      </c>
      <c r="F140" s="1270" t="s">
        <v>243</v>
      </c>
    </row>
    <row r="141" spans="5:6" x14ac:dyDescent="0.45">
      <c r="E141" s="1270">
        <v>30</v>
      </c>
      <c r="F141" s="1270" t="s">
        <v>244</v>
      </c>
    </row>
    <row r="142" spans="5:6" x14ac:dyDescent="0.45">
      <c r="E142" s="1270">
        <v>31</v>
      </c>
      <c r="F142" s="1270" t="s">
        <v>245</v>
      </c>
    </row>
    <row r="143" spans="5:6" x14ac:dyDescent="0.45">
      <c r="E143" s="1270">
        <v>32</v>
      </c>
      <c r="F143" s="1270" t="s">
        <v>246</v>
      </c>
    </row>
    <row r="144" spans="5:6" x14ac:dyDescent="0.45">
      <c r="E144" s="1270">
        <v>33</v>
      </c>
      <c r="F144" s="1270" t="s">
        <v>207</v>
      </c>
    </row>
    <row r="145" spans="5:6" x14ac:dyDescent="0.45">
      <c r="E145" s="1270">
        <f t="shared" si="37"/>
        <v>34</v>
      </c>
      <c r="F145" s="1270" t="s">
        <v>208</v>
      </c>
    </row>
    <row r="146" spans="5:6" x14ac:dyDescent="0.45">
      <c r="E146" s="1270">
        <v>35</v>
      </c>
      <c r="F146" s="1270" t="s">
        <v>247</v>
      </c>
    </row>
    <row r="147" spans="5:6" x14ac:dyDescent="0.45">
      <c r="E147" s="1270">
        <v>36</v>
      </c>
      <c r="F147" s="1270" t="s">
        <v>248</v>
      </c>
    </row>
    <row r="148" spans="5:6" x14ac:dyDescent="0.45">
      <c r="E148" s="1270">
        <v>36</v>
      </c>
      <c r="F148" s="1270" t="s">
        <v>249</v>
      </c>
    </row>
    <row r="149" spans="5:6" x14ac:dyDescent="0.45">
      <c r="E149" s="1270">
        <v>38</v>
      </c>
      <c r="F149" s="1270" t="s">
        <v>250</v>
      </c>
    </row>
    <row r="150" spans="5:6" x14ac:dyDescent="0.45">
      <c r="E150" s="1270">
        <v>39</v>
      </c>
      <c r="F150" s="1270" t="s">
        <v>251</v>
      </c>
    </row>
    <row r="151" spans="5:6" x14ac:dyDescent="0.45">
      <c r="E151" s="1270">
        <v>40</v>
      </c>
      <c r="F151" s="1270" t="s">
        <v>209</v>
      </c>
    </row>
    <row r="152" spans="5:6" x14ac:dyDescent="0.45">
      <c r="E152" s="1270">
        <v>41</v>
      </c>
      <c r="F152" s="1270" t="s">
        <v>264</v>
      </c>
    </row>
    <row r="153" spans="5:6" x14ac:dyDescent="0.45">
      <c r="E153" s="1270">
        <v>42</v>
      </c>
      <c r="F153" s="1270" t="s">
        <v>252</v>
      </c>
    </row>
    <row r="154" spans="5:6" x14ac:dyDescent="0.45">
      <c r="E154" s="1270">
        <v>43</v>
      </c>
      <c r="F154" s="1270" t="s">
        <v>253</v>
      </c>
    </row>
    <row r="155" spans="5:6" x14ac:dyDescent="0.45">
      <c r="E155" s="1270">
        <v>44</v>
      </c>
      <c r="F155" s="1270" t="s">
        <v>254</v>
      </c>
    </row>
    <row r="156" spans="5:6" x14ac:dyDescent="0.45">
      <c r="E156" s="1270">
        <v>45</v>
      </c>
      <c r="F156" s="1270" t="s">
        <v>210</v>
      </c>
    </row>
    <row r="157" spans="5:6" x14ac:dyDescent="0.45">
      <c r="E157" s="1270">
        <v>46</v>
      </c>
      <c r="F157" s="1270" t="s">
        <v>255</v>
      </c>
    </row>
    <row r="158" spans="5:6" x14ac:dyDescent="0.45">
      <c r="E158" s="1270">
        <v>47</v>
      </c>
      <c r="F158" s="1270" t="s">
        <v>211</v>
      </c>
    </row>
    <row r="159" spans="5:6" x14ac:dyDescent="0.45">
      <c r="E159" s="1270">
        <v>48</v>
      </c>
      <c r="F159" s="1270" t="s">
        <v>256</v>
      </c>
    </row>
    <row r="160" spans="5:6" x14ac:dyDescent="0.45">
      <c r="E160" s="1270">
        <v>49</v>
      </c>
      <c r="F160" s="1270" t="s">
        <v>257</v>
      </c>
    </row>
    <row r="161" spans="5:6" x14ac:dyDescent="0.45">
      <c r="E161" s="1270">
        <v>50</v>
      </c>
      <c r="F161" s="1270" t="s">
        <v>260</v>
      </c>
    </row>
    <row r="162" spans="5:6" x14ac:dyDescent="0.45">
      <c r="E162" s="1270">
        <v>51</v>
      </c>
      <c r="F162" s="1270" t="s">
        <v>258</v>
      </c>
    </row>
    <row r="163" spans="5:6" x14ac:dyDescent="0.45">
      <c r="E163" s="1270">
        <v>52</v>
      </c>
      <c r="F163" s="1270" t="s">
        <v>212</v>
      </c>
    </row>
    <row r="164" spans="5:6" x14ac:dyDescent="0.45">
      <c r="E164" s="1270">
        <v>53</v>
      </c>
      <c r="F164" s="1270" t="s">
        <v>259</v>
      </c>
    </row>
    <row r="165" spans="5:6" x14ac:dyDescent="0.45">
      <c r="E165" s="1270">
        <v>54</v>
      </c>
      <c r="F165" s="1270" t="s">
        <v>261</v>
      </c>
    </row>
    <row r="166" spans="5:6" x14ac:dyDescent="0.45">
      <c r="E166" s="1270">
        <v>55</v>
      </c>
      <c r="F166" s="1270" t="s">
        <v>262</v>
      </c>
    </row>
    <row r="167" spans="5:6" x14ac:dyDescent="0.45">
      <c r="E167"/>
      <c r="F167"/>
    </row>
    <row r="168" spans="5:6" x14ac:dyDescent="0.45">
      <c r="E168"/>
      <c r="F168"/>
    </row>
  </sheetData>
  <sheetProtection algorithmName="SHA-512" hashValue="nY5cN9aPU3QdbORg0RtFCMfqwA3CtAVgYGdHsBKWlQO/kw9TaZrx7nxqkznDUusw1o513T2yu1v1CSRBQpj4FQ==" saltValue="FYFJMOhGAd1qaYg24W3jPQ==" spinCount="100000" sheet="1" objects="1" scenarios="1"/>
  <mergeCells count="140">
    <mergeCell ref="K4:M4"/>
    <mergeCell ref="B5:K5"/>
    <mergeCell ref="B6:F6"/>
    <mergeCell ref="B7:F7"/>
    <mergeCell ref="B9:F9"/>
    <mergeCell ref="B10:F10"/>
    <mergeCell ref="A13:A14"/>
    <mergeCell ref="B13:B14"/>
    <mergeCell ref="C13:C14"/>
    <mergeCell ref="N13:N14"/>
    <mergeCell ref="O13:O14"/>
    <mergeCell ref="P13:P14"/>
    <mergeCell ref="A11:A12"/>
    <mergeCell ref="B11:B12"/>
    <mergeCell ref="C11:C12"/>
    <mergeCell ref="N11:N12"/>
    <mergeCell ref="O11:O12"/>
    <mergeCell ref="P11:P1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B37:F37"/>
    <mergeCell ref="A38:A39"/>
    <mergeCell ref="B38:B39"/>
    <mergeCell ref="C38:C39"/>
    <mergeCell ref="N38:N39"/>
    <mergeCell ref="O38:O39"/>
    <mergeCell ref="P24:P31"/>
    <mergeCell ref="D25:D27"/>
    <mergeCell ref="E25:E27"/>
    <mergeCell ref="D28:D30"/>
    <mergeCell ref="E28:E30"/>
    <mergeCell ref="B32:F32"/>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77:F77"/>
    <mergeCell ref="B79:F79"/>
    <mergeCell ref="B80:F80"/>
    <mergeCell ref="B81:B82"/>
    <mergeCell ref="C81:C82"/>
    <mergeCell ref="N81:N82"/>
    <mergeCell ref="B67:F67"/>
    <mergeCell ref="B69:F69"/>
    <mergeCell ref="B70:F70"/>
    <mergeCell ref="B72:F72"/>
    <mergeCell ref="B74:F74"/>
    <mergeCell ref="B76:F76"/>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69 O10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80 O59">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343B4897-4BAF-4719-8B3A-A4E56B2452B7}">
      <formula1>$F$112:$F$166</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6192D7-5138-420A-B2AD-BB3D7A143826}">
  <dimension ref="A1:AA168"/>
  <sheetViews>
    <sheetView topLeftCell="B19" zoomScale="50" zoomScaleNormal="50" workbookViewId="0">
      <selection activeCell="G24" sqref="G24:G31 C24:C31 M24:M31"/>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871"/>
      <c r="R1" s="3"/>
      <c r="S1" s="4"/>
      <c r="U1" s="872"/>
      <c r="V1" s="872"/>
      <c r="W1" s="872"/>
      <c r="X1" s="872"/>
      <c r="Y1" s="872"/>
      <c r="Z1" s="872"/>
      <c r="AA1" s="872"/>
    </row>
    <row r="2" spans="1:27" ht="30" x14ac:dyDescent="1.1000000000000001">
      <c r="B2" s="873"/>
      <c r="C2" s="874"/>
      <c r="D2" s="875" t="s">
        <v>286</v>
      </c>
      <c r="E2" s="874"/>
      <c r="F2" s="876"/>
      <c r="G2" s="876"/>
      <c r="H2" s="876"/>
      <c r="I2" s="876"/>
      <c r="J2" s="876"/>
      <c r="K2" s="876"/>
      <c r="L2" s="876"/>
      <c r="M2" s="876"/>
      <c r="N2" s="876"/>
      <c r="O2" s="876"/>
      <c r="P2" s="876"/>
      <c r="Q2" s="874"/>
      <c r="R2" s="876"/>
      <c r="S2" s="6"/>
    </row>
    <row r="3" spans="1:27" ht="14.65" thickBot="1" x14ac:dyDescent="0.5">
      <c r="B3" s="877"/>
      <c r="C3" s="878"/>
      <c r="D3" s="878"/>
      <c r="E3" s="878"/>
      <c r="F3" s="879"/>
      <c r="G3" s="879"/>
      <c r="H3" s="879"/>
      <c r="I3" s="879"/>
      <c r="J3" s="879"/>
      <c r="K3" s="879"/>
      <c r="L3" s="879"/>
      <c r="M3" s="879"/>
      <c r="N3" s="879"/>
      <c r="O3" s="879"/>
      <c r="P3" s="879"/>
      <c r="Q3" s="878"/>
      <c r="R3" s="879"/>
      <c r="S3" s="7"/>
    </row>
    <row r="4" spans="1:27" ht="26.45" customHeight="1" thickBot="1" x14ac:dyDescent="0.5">
      <c r="B4" s="877"/>
      <c r="C4" s="878"/>
      <c r="D4" s="880" t="s">
        <v>195</v>
      </c>
      <c r="E4" s="878"/>
      <c r="F4" s="8" t="s">
        <v>205</v>
      </c>
      <c r="G4" s="879"/>
      <c r="H4" s="879"/>
      <c r="I4" s="879"/>
      <c r="J4" s="879"/>
      <c r="K4" s="1737" t="s">
        <v>723</v>
      </c>
      <c r="L4" s="1738"/>
      <c r="M4" s="1739"/>
      <c r="N4" s="881">
        <f>(N9+N46+N59+N69+N76+N79+N92)/7</f>
        <v>0.49405972592880781</v>
      </c>
      <c r="O4" s="882">
        <f>(O9+O46+O59+O69+O76+O79+O92)</f>
        <v>35.458876763846561</v>
      </c>
      <c r="P4" s="881">
        <f>O4/100</f>
        <v>0.35458876763846559</v>
      </c>
      <c r="Q4" s="878"/>
      <c r="R4" s="879"/>
      <c r="S4" s="7"/>
    </row>
    <row r="5" spans="1:27" ht="18.399999999999999" thickBot="1" x14ac:dyDescent="0.6">
      <c r="B5" s="1740"/>
      <c r="C5" s="1741"/>
      <c r="D5" s="1741"/>
      <c r="E5" s="1741"/>
      <c r="F5" s="1741"/>
      <c r="G5" s="1741"/>
      <c r="H5" s="1741"/>
      <c r="I5" s="1741"/>
      <c r="J5" s="1741"/>
      <c r="K5" s="1741"/>
      <c r="L5" s="68"/>
      <c r="M5" s="883">
        <f>100/28</f>
        <v>3.5714285714285716</v>
      </c>
      <c r="N5" s="9"/>
      <c r="O5" s="647"/>
      <c r="P5" s="647"/>
      <c r="Q5" s="884"/>
      <c r="R5" s="9"/>
      <c r="S5" s="10"/>
    </row>
    <row r="6" spans="1:27" ht="33.6" customHeight="1" thickBot="1" x14ac:dyDescent="0.5">
      <c r="B6" s="1742"/>
      <c r="C6" s="1743"/>
      <c r="D6" s="1743"/>
      <c r="E6" s="1743"/>
      <c r="F6" s="1744"/>
      <c r="G6" s="885"/>
      <c r="H6" s="885"/>
      <c r="I6" s="885"/>
      <c r="J6" s="885"/>
      <c r="K6" s="885"/>
      <c r="L6" s="885"/>
      <c r="M6" s="885"/>
      <c r="N6" s="886"/>
      <c r="O6" s="887"/>
      <c r="P6" s="887"/>
      <c r="Q6" s="886"/>
      <c r="R6" s="12"/>
      <c r="S6" s="13"/>
    </row>
    <row r="7" spans="1:27" ht="55.8" customHeight="1" thickBot="1" x14ac:dyDescent="0.5">
      <c r="B7" s="1745"/>
      <c r="C7" s="1746"/>
      <c r="D7" s="1746"/>
      <c r="E7" s="1746"/>
      <c r="F7" s="1747"/>
      <c r="G7" s="888"/>
      <c r="H7" s="889" t="s">
        <v>218</v>
      </c>
      <c r="I7" s="890" t="s">
        <v>219</v>
      </c>
      <c r="J7" s="891" t="s">
        <v>91</v>
      </c>
      <c r="K7" s="892" t="s">
        <v>107</v>
      </c>
      <c r="L7" s="892" t="s">
        <v>104</v>
      </c>
      <c r="M7" s="892" t="s">
        <v>105</v>
      </c>
      <c r="N7" s="890" t="s">
        <v>106</v>
      </c>
      <c r="O7" s="890" t="s">
        <v>646</v>
      </c>
      <c r="P7" s="893" t="s">
        <v>647</v>
      </c>
      <c r="Q7" s="894" t="s">
        <v>93</v>
      </c>
      <c r="R7" s="895" t="s">
        <v>110</v>
      </c>
      <c r="S7" s="896" t="s">
        <v>103</v>
      </c>
    </row>
    <row r="8" spans="1:27" ht="25.25" customHeight="1" thickBot="1" x14ac:dyDescent="0.5">
      <c r="B8" s="897" t="s">
        <v>2</v>
      </c>
      <c r="C8" s="897" t="s">
        <v>92</v>
      </c>
      <c r="D8" s="897" t="s">
        <v>3</v>
      </c>
      <c r="E8" s="897" t="s">
        <v>94</v>
      </c>
      <c r="F8" s="897" t="s">
        <v>102</v>
      </c>
      <c r="G8" s="897" t="s">
        <v>96</v>
      </c>
      <c r="H8" s="898"/>
      <c r="I8" s="899"/>
      <c r="J8" s="898"/>
      <c r="K8" s="900"/>
      <c r="L8" s="900"/>
      <c r="M8" s="897"/>
      <c r="N8" s="901"/>
      <c r="O8" s="902"/>
      <c r="P8" s="903"/>
      <c r="Q8" s="899"/>
      <c r="R8" s="901"/>
      <c r="S8" s="901"/>
      <c r="V8" s="904" t="s">
        <v>151</v>
      </c>
      <c r="W8" s="905"/>
      <c r="X8" s="905"/>
      <c r="Y8" s="905"/>
      <c r="Z8" s="906"/>
    </row>
    <row r="9" spans="1:27" s="207" customFormat="1" ht="25.25" customHeight="1" thickBot="1" x14ac:dyDescent="0.5">
      <c r="B9" s="1748" t="s">
        <v>0</v>
      </c>
      <c r="C9" s="1749"/>
      <c r="D9" s="1749"/>
      <c r="E9" s="1749"/>
      <c r="F9" s="1750"/>
      <c r="G9" s="907"/>
      <c r="H9" s="908"/>
      <c r="I9" s="909"/>
      <c r="J9" s="910"/>
      <c r="K9" s="910"/>
      <c r="L9" s="910"/>
      <c r="M9" s="907"/>
      <c r="N9" s="911">
        <f>(N10+N18+N23+N32+N37+N40+N43)/7</f>
        <v>0.14133842578723504</v>
      </c>
      <c r="O9" s="912">
        <f>(O10+O18+O23+O32+O37+O40+O43)</f>
        <v>8.8668394949992209</v>
      </c>
      <c r="P9" s="913">
        <f>O9/42.857136</f>
        <v>0.20689295465285457</v>
      </c>
      <c r="Q9" s="910"/>
      <c r="R9" s="914"/>
      <c r="S9" s="914"/>
      <c r="U9" s="915"/>
      <c r="V9" s="916"/>
      <c r="W9" s="917"/>
      <c r="X9" s="917"/>
      <c r="Y9" s="917"/>
      <c r="Z9" s="918"/>
      <c r="AA9" s="915"/>
    </row>
    <row r="10" spans="1:27" s="109" customFormat="1" ht="25.25" customHeight="1" thickBot="1" x14ac:dyDescent="0.5">
      <c r="B10" s="1751" t="s">
        <v>1</v>
      </c>
      <c r="C10" s="1752"/>
      <c r="D10" s="1752"/>
      <c r="E10" s="1752"/>
      <c r="F10" s="1753"/>
      <c r="G10" s="919"/>
      <c r="H10" s="920"/>
      <c r="I10" s="921"/>
      <c r="J10" s="922"/>
      <c r="K10" s="922"/>
      <c r="L10" s="922"/>
      <c r="M10" s="919"/>
      <c r="N10" s="911">
        <f>(N11+N13+N15)/3</f>
        <v>0.37378298897226542</v>
      </c>
      <c r="O10" s="912">
        <f>(O11+O13+O15)</f>
        <v>4.446498306764882</v>
      </c>
      <c r="P10" s="913">
        <f>O10/10.714284</f>
        <v>0.41500657503244104</v>
      </c>
      <c r="Q10" s="922"/>
      <c r="R10" s="923"/>
      <c r="S10" s="923"/>
      <c r="U10" s="924"/>
      <c r="V10" s="925"/>
      <c r="W10" s="926"/>
      <c r="X10" s="926"/>
      <c r="Y10" s="926"/>
      <c r="Z10" s="927"/>
      <c r="AA10" s="924"/>
    </row>
    <row r="11" spans="1:27" ht="27.6" customHeight="1" thickBot="1" x14ac:dyDescent="0.5">
      <c r="A11" s="1617">
        <v>1</v>
      </c>
      <c r="B11" s="1733" t="s">
        <v>4</v>
      </c>
      <c r="C11" s="1735">
        <f>M5</f>
        <v>3.5714285714285716</v>
      </c>
      <c r="D11" s="928" t="s">
        <v>111</v>
      </c>
      <c r="E11" s="929">
        <f>$C$11/2</f>
        <v>1.7857142857142858</v>
      </c>
      <c r="F11" s="930" t="s">
        <v>5</v>
      </c>
      <c r="G11" s="931">
        <f>E11/1</f>
        <v>1.7857142857142858</v>
      </c>
      <c r="H11" s="1282">
        <v>4650</v>
      </c>
      <c r="I11" s="1283">
        <v>3830</v>
      </c>
      <c r="J11" s="932">
        <f>(H11-I11)</f>
        <v>820</v>
      </c>
      <c r="K11" s="933">
        <f>(0.3*I11)*6/10</f>
        <v>689.4</v>
      </c>
      <c r="L11" s="934">
        <f>I11+K11</f>
        <v>4519.3999999999996</v>
      </c>
      <c r="M11" s="935">
        <f>IF(K11&lt;&gt;0,J11/K11,"0%")</f>
        <v>1.1894400928343487</v>
      </c>
      <c r="N11" s="1731">
        <f>(((G11/C11)*M11)+((G12/C11)*M12))</f>
        <v>-0.12367075818052675</v>
      </c>
      <c r="O11" s="1723">
        <f>IF((((G11/C11)*M11)+((G12/C11)*M12))&gt;=1,3.57148,IF((((G11/C11)*M11)+((G12/C11)*M12))&lt;=0,0, (((G11/C11)*M11)+((G12/C11)*M12))*3.571428))</f>
        <v>0</v>
      </c>
      <c r="P11" s="1630">
        <f>O11/3.571428</f>
        <v>0</v>
      </c>
      <c r="Q11" s="936" t="s">
        <v>97</v>
      </c>
      <c r="R11" s="265" t="s">
        <v>400</v>
      </c>
      <c r="S11" s="258" t="s">
        <v>401</v>
      </c>
      <c r="V11" s="937" t="s">
        <v>109</v>
      </c>
      <c r="W11" s="938" t="e">
        <f>#REF!</f>
        <v>#REF!</v>
      </c>
      <c r="X11" s="939"/>
      <c r="Y11" s="939"/>
      <c r="Z11" s="940"/>
    </row>
    <row r="12" spans="1:27" ht="27" customHeight="1" thickBot="1" x14ac:dyDescent="0.5">
      <c r="A12" s="1617"/>
      <c r="B12" s="1734"/>
      <c r="C12" s="1736"/>
      <c r="D12" s="941" t="s">
        <v>112</v>
      </c>
      <c r="E12" s="942">
        <f>$C$11/2</f>
        <v>1.7857142857142858</v>
      </c>
      <c r="F12" s="943" t="s">
        <v>281</v>
      </c>
      <c r="G12" s="944">
        <f>E12/1</f>
        <v>1.7857142857142858</v>
      </c>
      <c r="H12" s="1284">
        <v>14.1</v>
      </c>
      <c r="I12" s="1285">
        <v>11.6</v>
      </c>
      <c r="J12" s="947">
        <f>I12-H12</f>
        <v>-2.5</v>
      </c>
      <c r="K12" s="948">
        <f>(0.25*I12)*(6/10)</f>
        <v>1.74</v>
      </c>
      <c r="L12" s="949">
        <f>I12-K12</f>
        <v>9.86</v>
      </c>
      <c r="M12" s="950">
        <f>IF(K12&lt;&gt;0,J12/K12,"0%")</f>
        <v>-1.4367816091954022</v>
      </c>
      <c r="N12" s="1732"/>
      <c r="O12" s="1760"/>
      <c r="P12" s="1631"/>
      <c r="Q12" s="951" t="s">
        <v>98</v>
      </c>
      <c r="R12" s="265" t="s">
        <v>402</v>
      </c>
      <c r="S12" s="266" t="s">
        <v>403</v>
      </c>
      <c r="V12" s="952">
        <v>0.02</v>
      </c>
      <c r="W12" s="953" t="e">
        <f>(W11-(W11*V12))</f>
        <v>#REF!</v>
      </c>
      <c r="X12" s="953" t="e">
        <f>W11-(V12*W11)</f>
        <v>#REF!</v>
      </c>
      <c r="Y12" s="939"/>
      <c r="Z12" s="940"/>
    </row>
    <row r="13" spans="1:27" ht="32.450000000000003" customHeight="1" thickBot="1" x14ac:dyDescent="0.5">
      <c r="A13" s="1617">
        <v>2</v>
      </c>
      <c r="B13" s="1754" t="s">
        <v>6</v>
      </c>
      <c r="C13" s="1756">
        <f>M5</f>
        <v>3.5714285714285716</v>
      </c>
      <c r="D13" s="954" t="s">
        <v>273</v>
      </c>
      <c r="E13" s="955">
        <f>$C$13/2</f>
        <v>1.7857142857142858</v>
      </c>
      <c r="F13" s="956" t="s">
        <v>7</v>
      </c>
      <c r="G13" s="957">
        <f>E13/1</f>
        <v>1.7857142857142858</v>
      </c>
      <c r="H13" s="1286">
        <v>13</v>
      </c>
      <c r="I13" s="1287">
        <v>13</v>
      </c>
      <c r="J13" s="959">
        <v>0</v>
      </c>
      <c r="K13" s="960">
        <f>IF(I13&lt;=5,0,((I13-5)*(6/10)))</f>
        <v>4.8</v>
      </c>
      <c r="L13" s="961">
        <f>I13-K13</f>
        <v>8.1999999999999993</v>
      </c>
      <c r="M13" s="962">
        <f>IF(I13&lt;=5,(1+(5-H13)/5),(J13/K13))</f>
        <v>0</v>
      </c>
      <c r="N13" s="1731">
        <f>(((G13/C13)*M13)+((G14/C13)*M14))</f>
        <v>0.26315789473684209</v>
      </c>
      <c r="O13" s="1723">
        <f>IF((((G13/C13)*M13)+((G14/C13)*M14))&gt;=1,3.57148,IF((((G13/C13)*M13)+((G14/C13)*M14))&lt;=0,0, (((G13/C13)*M13)+((G14/C13)*M14))*3.571428))</f>
        <v>0.93984947368421046</v>
      </c>
      <c r="P13" s="1630">
        <f>O13/3.571428</f>
        <v>0.26315789473684209</v>
      </c>
      <c r="Q13" s="963" t="s">
        <v>99</v>
      </c>
      <c r="R13" s="267" t="s">
        <v>404</v>
      </c>
      <c r="S13" s="266" t="s">
        <v>405</v>
      </c>
      <c r="V13" s="952">
        <v>0.02</v>
      </c>
      <c r="W13" s="953" t="e">
        <f>(#REF!-(#REF!*V13))</f>
        <v>#REF!</v>
      </c>
      <c r="X13" s="953" t="e">
        <f>(W11-(V12*W11))-((W11-(V12*W11))*0.02)-(((W11-(V12*W11))-((W11-(V12*W11))*0.02))*0.02)-(((W11-(V12*W11))-((W11-(V12*W11))*0.02)-(((W11-(V12*W11))-((W11-(V12*W11))*0.02))*0.02))*0.02)</f>
        <v>#REF!</v>
      </c>
      <c r="Y13" s="964" t="e">
        <f>(W11-W14)/W11</f>
        <v>#REF!</v>
      </c>
      <c r="Z13" s="940"/>
    </row>
    <row r="14" spans="1:27" ht="33" customHeight="1" thickBot="1" x14ac:dyDescent="0.5">
      <c r="A14" s="1617"/>
      <c r="B14" s="1755"/>
      <c r="C14" s="1757"/>
      <c r="D14" s="941" t="s">
        <v>274</v>
      </c>
      <c r="E14" s="965">
        <f>$C$13/2</f>
        <v>1.7857142857142858</v>
      </c>
      <c r="F14" s="966" t="s">
        <v>8</v>
      </c>
      <c r="G14" s="967">
        <f>E14/1</f>
        <v>1.7857142857142858</v>
      </c>
      <c r="H14" s="1288">
        <v>86</v>
      </c>
      <c r="I14" s="1289">
        <v>80</v>
      </c>
      <c r="J14" s="968">
        <f>H14-I14</f>
        <v>6</v>
      </c>
      <c r="K14" s="969">
        <f>(0.95*(100-I14))*6/10</f>
        <v>11.4</v>
      </c>
      <c r="L14" s="961">
        <f>I14-K14</f>
        <v>68.599999999999994</v>
      </c>
      <c r="M14" s="971">
        <f>IF(K14&lt;&gt;0,J14/K14,"1%")</f>
        <v>0.52631578947368418</v>
      </c>
      <c r="N14" s="1732"/>
      <c r="O14" s="1760"/>
      <c r="P14" s="1631"/>
      <c r="Q14" s="972" t="s">
        <v>100</v>
      </c>
      <c r="R14" s="268" t="s">
        <v>406</v>
      </c>
      <c r="S14" s="269"/>
      <c r="V14" s="973">
        <v>0.02</v>
      </c>
      <c r="W14" s="974" t="e">
        <f>(#REF!-(#REF!*V14))</f>
        <v>#REF!</v>
      </c>
      <c r="X14" s="974"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975" t="e">
        <f>W11-X14</f>
        <v>#REF!</v>
      </c>
      <c r="Z14" s="976"/>
    </row>
    <row r="15" spans="1:27" ht="22.25" customHeight="1" x14ac:dyDescent="0.45">
      <c r="A15" s="1651">
        <v>3</v>
      </c>
      <c r="B15" s="1727" t="s">
        <v>9</v>
      </c>
      <c r="C15" s="1729">
        <f>M5</f>
        <v>3.5714285714285716</v>
      </c>
      <c r="D15" s="1727" t="s">
        <v>113</v>
      </c>
      <c r="E15" s="1729">
        <f>$C$15/1</f>
        <v>3.5714285714285716</v>
      </c>
      <c r="F15" s="977" t="s">
        <v>221</v>
      </c>
      <c r="G15" s="978">
        <f>$E$15/3</f>
        <v>1.1904761904761905</v>
      </c>
      <c r="H15" s="1290">
        <v>84.3</v>
      </c>
      <c r="I15" s="1291">
        <v>75.599999999999994</v>
      </c>
      <c r="J15" s="979">
        <f>H15-I15</f>
        <v>8.7000000000000028</v>
      </c>
      <c r="K15" s="980">
        <f>(0.5*I15)*6/10</f>
        <v>22.68</v>
      </c>
      <c r="L15" s="934">
        <f>I15+K15</f>
        <v>98.28</v>
      </c>
      <c r="M15" s="935">
        <f>IF(K15&lt;&gt;0,J15/K15,"0%")</f>
        <v>0.38359788359788372</v>
      </c>
      <c r="N15" s="1702">
        <f>(((G15/C15)*M15)+((G16/C15)*M16)+((G17/C15)*M17))</f>
        <v>0.9818618303604808</v>
      </c>
      <c r="O15" s="1632">
        <f>IF((((G15/C15)*M15)+((G16/C15)*M16)+((G17/C15)*M17))&gt;=1,3.571428,IF((((G15/C15)*M15)+((G16/C15)*M16)+((G17/C15)*M17))&lt;=0,0,(((G15/C15)*M15)+((G16/C15)*M16)+((G17/C15)*M17))*3.571428))</f>
        <v>3.5066488330806713</v>
      </c>
      <c r="P15" s="1630">
        <f>O15/3.571428</f>
        <v>0.9818618303604808</v>
      </c>
      <c r="Q15" s="981" t="s">
        <v>101</v>
      </c>
      <c r="R15" s="270" t="s">
        <v>407</v>
      </c>
      <c r="S15" s="258" t="s">
        <v>408</v>
      </c>
    </row>
    <row r="16" spans="1:27" ht="35.25" thickBot="1" x14ac:dyDescent="0.5">
      <c r="A16" s="1651"/>
      <c r="B16" s="1727"/>
      <c r="C16" s="1729"/>
      <c r="D16" s="1727"/>
      <c r="E16" s="1729"/>
      <c r="F16" s="982" t="s">
        <v>220</v>
      </c>
      <c r="G16" s="983">
        <f t="shared" ref="G16:G17" si="0">$E$15/3</f>
        <v>1.1904761904761905</v>
      </c>
      <c r="H16" s="271">
        <v>72.099999999999994</v>
      </c>
      <c r="I16" s="272">
        <v>70.599999999999994</v>
      </c>
      <c r="J16" s="986">
        <f>H16-I16</f>
        <v>1.5</v>
      </c>
      <c r="K16" s="987">
        <f>(0.5*I16)*6/10</f>
        <v>21.18</v>
      </c>
      <c r="L16" s="988">
        <f t="shared" ref="L16:L17" si="1">I16+K16</f>
        <v>91.78</v>
      </c>
      <c r="M16" s="989">
        <f>IF(K16&lt;&gt;0,J16/K16,"0%")</f>
        <v>7.0821529745042494E-2</v>
      </c>
      <c r="N16" s="1657"/>
      <c r="O16" s="1758"/>
      <c r="P16" s="1635"/>
      <c r="Q16" s="990" t="s">
        <v>95</v>
      </c>
      <c r="R16" s="273" t="s">
        <v>409</v>
      </c>
      <c r="S16" s="266" t="s">
        <v>410</v>
      </c>
    </row>
    <row r="17" spans="1:19" ht="25.25" customHeight="1" thickBot="1" x14ac:dyDescent="0.5">
      <c r="A17" s="1651"/>
      <c r="B17" s="1728"/>
      <c r="C17" s="1730"/>
      <c r="D17" s="1728"/>
      <c r="E17" s="1730"/>
      <c r="F17" s="991" t="s">
        <v>10</v>
      </c>
      <c r="G17" s="992">
        <f t="shared" si="0"/>
        <v>1.1904761904761905</v>
      </c>
      <c r="H17" s="274">
        <v>98.9</v>
      </c>
      <c r="I17" s="275">
        <v>56.6</v>
      </c>
      <c r="J17" s="993">
        <f>H17-I17</f>
        <v>42.300000000000004</v>
      </c>
      <c r="K17" s="994">
        <f>(0.5*I17)*6/10</f>
        <v>16.98</v>
      </c>
      <c r="L17" s="949">
        <f t="shared" si="1"/>
        <v>73.58</v>
      </c>
      <c r="M17" s="950">
        <f>IF(K17&lt;&gt;0,J17/K17,"0%")</f>
        <v>2.4911660777385163</v>
      </c>
      <c r="N17" s="1703"/>
      <c r="O17" s="1759"/>
      <c r="P17" s="1635"/>
      <c r="Q17" s="995" t="s">
        <v>162</v>
      </c>
      <c r="R17" s="273" t="s">
        <v>409</v>
      </c>
      <c r="S17" s="266" t="s">
        <v>411</v>
      </c>
    </row>
    <row r="18" spans="1:19" ht="21.4" thickBot="1" x14ac:dyDescent="0.7">
      <c r="A18" s="14"/>
      <c r="B18" s="1670" t="s">
        <v>11</v>
      </c>
      <c r="C18" s="1671"/>
      <c r="D18" s="1671"/>
      <c r="E18" s="1671"/>
      <c r="F18" s="1672"/>
      <c r="G18" s="996"/>
      <c r="H18" s="1292"/>
      <c r="I18" s="1292"/>
      <c r="J18" s="997"/>
      <c r="K18" s="997"/>
      <c r="L18" s="997"/>
      <c r="M18" s="998"/>
      <c r="N18" s="911">
        <f>N19</f>
        <v>7.102906407026495E-2</v>
      </c>
      <c r="O18" s="912">
        <f>O19</f>
        <v>0.25367518823433821</v>
      </c>
      <c r="P18" s="913">
        <f>O18/3.571428</f>
        <v>7.102906407026495E-2</v>
      </c>
      <c r="Q18" s="997"/>
      <c r="R18" s="15"/>
      <c r="S18" s="16"/>
    </row>
    <row r="19" spans="1:19" ht="34.25" customHeight="1" thickBot="1" x14ac:dyDescent="0.5">
      <c r="A19" s="1617">
        <v>4</v>
      </c>
      <c r="B19" s="1618" t="s">
        <v>12</v>
      </c>
      <c r="C19" s="1678">
        <f>M5</f>
        <v>3.5714285714285716</v>
      </c>
      <c r="D19" s="999" t="s">
        <v>114</v>
      </c>
      <c r="E19" s="931">
        <f>$C$19/4</f>
        <v>0.8928571428571429</v>
      </c>
      <c r="F19" s="1000" t="s">
        <v>222</v>
      </c>
      <c r="G19" s="978">
        <f>E19/1</f>
        <v>0.8928571428571429</v>
      </c>
      <c r="H19" s="1290">
        <v>88.1</v>
      </c>
      <c r="I19" s="1291">
        <v>80.3</v>
      </c>
      <c r="J19" s="1001">
        <f>H19-I19</f>
        <v>7.7999999999999972</v>
      </c>
      <c r="K19" s="980">
        <f>(2*I19)*6/10</f>
        <v>96.359999999999985</v>
      </c>
      <c r="L19" s="1002">
        <f t="shared" ref="L19:L22" si="2">K19+I19</f>
        <v>176.65999999999997</v>
      </c>
      <c r="M19" s="935">
        <f>IF(K19&lt;&gt;0,J19/K19,"0%")</f>
        <v>8.0946450809464485E-2</v>
      </c>
      <c r="N19" s="1721">
        <f>(((G19/C19)*M19)+((G20/C19)*M20)+((G21/C19)*M21)+((G22/C19)*M22))</f>
        <v>7.102906407026495E-2</v>
      </c>
      <c r="O19" s="1723">
        <f>IF((((G19/C19)*M19)+((G20/C19)*M20)+((G21/C19)*M21)+((G22/C19)*M22))&gt;=1,3.571428,IF((((G19/C19)*M19)+((G20/C19)*M20)+((G21/C19)*M21)+((G22/C19)*M22))&lt;=0,0,((((G19/C19)*M19)+((G20/C19)*M20)+((G21/C19)*M21)+((G22/C19)*M22))*3.571428)))</f>
        <v>0.25367518823433821</v>
      </c>
      <c r="P19" s="1630">
        <f>O19/3.571428</f>
        <v>7.102906407026495E-2</v>
      </c>
      <c r="Q19" s="1003" t="s">
        <v>163</v>
      </c>
      <c r="R19" s="276" t="s">
        <v>406</v>
      </c>
      <c r="S19" s="258" t="s">
        <v>412</v>
      </c>
    </row>
    <row r="20" spans="1:19" ht="39" customHeight="1" thickBot="1" x14ac:dyDescent="0.5">
      <c r="A20" s="1617"/>
      <c r="B20" s="1619"/>
      <c r="C20" s="1685"/>
      <c r="D20" s="1004" t="s">
        <v>152</v>
      </c>
      <c r="E20" s="1005">
        <f>($C$19/4)</f>
        <v>0.8928571428571429</v>
      </c>
      <c r="F20" s="1006" t="s">
        <v>265</v>
      </c>
      <c r="G20" s="983">
        <f>E20/1</f>
        <v>0.8928571428571429</v>
      </c>
      <c r="H20" s="221">
        <v>89.3</v>
      </c>
      <c r="I20" s="279">
        <v>89</v>
      </c>
      <c r="J20" s="1007">
        <f t="shared" ref="J20:J24" si="3">H20-I20</f>
        <v>0.29999999999999716</v>
      </c>
      <c r="K20" s="987">
        <f>(100-I20)*(6/10)</f>
        <v>6.6</v>
      </c>
      <c r="L20" s="1008">
        <f t="shared" si="2"/>
        <v>95.6</v>
      </c>
      <c r="M20" s="935">
        <f>IF(K20&lt;&gt;0,J20/K20,"0%")</f>
        <v>4.5454545454545026E-2</v>
      </c>
      <c r="N20" s="1722"/>
      <c r="O20" s="1763"/>
      <c r="P20" s="1635"/>
      <c r="Q20" s="1009" t="s">
        <v>164</v>
      </c>
      <c r="R20" s="276" t="s">
        <v>413</v>
      </c>
      <c r="S20" s="258" t="s">
        <v>414</v>
      </c>
    </row>
    <row r="21" spans="1:19" ht="56.45" customHeight="1" thickBot="1" x14ac:dyDescent="0.5">
      <c r="A21" s="1617"/>
      <c r="B21" s="1619"/>
      <c r="C21" s="1685"/>
      <c r="D21" s="1004" t="s">
        <v>153</v>
      </c>
      <c r="E21" s="1005">
        <f t="shared" ref="E21:E22" si="4">($C$19/4)</f>
        <v>0.8928571428571429</v>
      </c>
      <c r="F21" s="1006" t="s">
        <v>155</v>
      </c>
      <c r="G21" s="983">
        <f>E21/1</f>
        <v>0.8928571428571429</v>
      </c>
      <c r="H21" s="213"/>
      <c r="I21" s="1293"/>
      <c r="J21" s="1007">
        <f t="shared" si="3"/>
        <v>0</v>
      </c>
      <c r="K21" s="987">
        <f>(0.3*I21)*6/10</f>
        <v>0</v>
      </c>
      <c r="L21" s="1008">
        <f t="shared" si="2"/>
        <v>0</v>
      </c>
      <c r="M21" s="989" t="str">
        <f>IF(K21&lt;&gt;0,J21/K21,"0%")</f>
        <v>0%</v>
      </c>
      <c r="N21" s="1722"/>
      <c r="O21" s="1763"/>
      <c r="P21" s="1635"/>
      <c r="Q21" s="1009" t="s">
        <v>165</v>
      </c>
      <c r="R21" s="158"/>
      <c r="S21" s="23" t="s">
        <v>682</v>
      </c>
    </row>
    <row r="22" spans="1:19" ht="36.6" customHeight="1" thickBot="1" x14ac:dyDescent="0.5">
      <c r="A22" s="1617"/>
      <c r="B22" s="1724"/>
      <c r="C22" s="1725"/>
      <c r="D22" s="966" t="s">
        <v>154</v>
      </c>
      <c r="E22" s="1010">
        <f t="shared" si="4"/>
        <v>0.8928571428571429</v>
      </c>
      <c r="F22" s="1011" t="s">
        <v>156</v>
      </c>
      <c r="G22" s="1012">
        <f>E22/1</f>
        <v>0.8928571428571429</v>
      </c>
      <c r="H22" s="222">
        <v>29.2</v>
      </c>
      <c r="I22" s="280">
        <v>21.8</v>
      </c>
      <c r="J22" s="1013">
        <f t="shared" si="3"/>
        <v>7.3999999999999986</v>
      </c>
      <c r="K22" s="994">
        <f>(100-I22)*(6/10)</f>
        <v>46.92</v>
      </c>
      <c r="L22" s="1014">
        <f t="shared" si="2"/>
        <v>68.72</v>
      </c>
      <c r="M22" s="950">
        <f>IF(K22&lt;&gt;0,J22/K22,"100%")</f>
        <v>0.15771526001705027</v>
      </c>
      <c r="N22" s="1726"/>
      <c r="O22" s="1760"/>
      <c r="P22" s="1631"/>
      <c r="Q22" s="1015" t="s">
        <v>95</v>
      </c>
      <c r="R22" s="276" t="s">
        <v>413</v>
      </c>
      <c r="S22" s="258" t="s">
        <v>415</v>
      </c>
    </row>
    <row r="23" spans="1:19" ht="20.45" customHeight="1" thickBot="1" x14ac:dyDescent="0.5">
      <c r="B23" s="1614" t="s">
        <v>13</v>
      </c>
      <c r="C23" s="1615"/>
      <c r="D23" s="1615"/>
      <c r="E23" s="1615"/>
      <c r="F23" s="1616"/>
      <c r="G23" s="996"/>
      <c r="H23" s="1292"/>
      <c r="I23" s="1292"/>
      <c r="J23" s="1016"/>
      <c r="K23" s="1017"/>
      <c r="L23" s="1017"/>
      <c r="M23" s="1018"/>
      <c r="N23" s="911">
        <f>N24</f>
        <v>1.0829288601948865</v>
      </c>
      <c r="O23" s="912">
        <f>O24</f>
        <v>3.571428</v>
      </c>
      <c r="P23" s="913">
        <f>O23/3.571428</f>
        <v>1</v>
      </c>
      <c r="Q23" s="997"/>
      <c r="R23" s="17"/>
      <c r="S23" s="17"/>
    </row>
    <row r="24" spans="1:19" ht="36" customHeight="1" x14ac:dyDescent="0.45">
      <c r="A24" s="1617">
        <v>5</v>
      </c>
      <c r="B24" s="1618" t="s">
        <v>14</v>
      </c>
      <c r="C24" s="1678">
        <f>M5</f>
        <v>3.5714285714285716</v>
      </c>
      <c r="D24" s="999" t="s">
        <v>115</v>
      </c>
      <c r="E24" s="931">
        <f>$C$24/4</f>
        <v>0.8928571428571429</v>
      </c>
      <c r="F24" s="999" t="s">
        <v>280</v>
      </c>
      <c r="G24" s="931">
        <f>E24/1</f>
        <v>0.8928571428571429</v>
      </c>
      <c r="H24" s="1290">
        <v>42</v>
      </c>
      <c r="I24" s="1291">
        <v>26.7</v>
      </c>
      <c r="J24" s="1020">
        <f t="shared" si="3"/>
        <v>15.3</v>
      </c>
      <c r="K24" s="980">
        <f>(0.3*I24)*6/10</f>
        <v>4.806</v>
      </c>
      <c r="L24" s="1002">
        <f>K24+I24</f>
        <v>31.506</v>
      </c>
      <c r="M24" s="935">
        <f t="shared" ref="M24:M31" si="5">IF(K24&lt;&gt;0,J24/K24,"0%")</f>
        <v>3.1835205992509366</v>
      </c>
      <c r="N24" s="1721">
        <f>(((G24/C24)*M24)+((G25/C24)*M25)+ ((G26/C24)*M26)+((G27/C24)*M27)+((G28/C24)*M28)+((G29/C24)*M29)+((G30/C24)*M30)+((G31/C24)*M31))</f>
        <v>1.0829288601948865</v>
      </c>
      <c r="O24" s="1723">
        <f>IF((((G24/C24)*M24)+((G25/C24)*M25)+ ((G26/C24)*M26)+((G27/C24)*M27)+((G28/C24)*M28)+((G29/C24)*M29)+((G30/C24)*M30)+((G31/C24)*M31))&gt;=1,3.571428,IF((((G24/C24)*M24)+((G25/C24)*M25)+ ((G26/C24)*M26)+((G27/C24)*M27)+((G28/C24)*M28)+((G29/C24)*M29)+((G30/C24)*M30)+((G31/C24)*M31))&lt;=0,0,((((G24/C24)*M24)+((G25/C24)*M25)+ ((G26/C24)*M26)+((G27/C24)*M27)+((G28/C24)*M28)+((G29/C24)*M29)+((G30/C24)*M30)+((G31/C24)*M31))*3.571428)))</f>
        <v>3.571428</v>
      </c>
      <c r="P24" s="1630">
        <f>O24/3.571428</f>
        <v>1</v>
      </c>
      <c r="Q24" s="1021" t="s">
        <v>166</v>
      </c>
      <c r="R24" s="267" t="s">
        <v>404</v>
      </c>
      <c r="S24" s="258" t="s">
        <v>416</v>
      </c>
    </row>
    <row r="25" spans="1:19" ht="19.8" customHeight="1" thickBot="1" x14ac:dyDescent="0.5">
      <c r="A25" s="1617"/>
      <c r="B25" s="1619"/>
      <c r="C25" s="1685"/>
      <c r="D25" s="1625" t="s">
        <v>158</v>
      </c>
      <c r="E25" s="1688">
        <v>0.9</v>
      </c>
      <c r="F25" s="1004" t="s">
        <v>15</v>
      </c>
      <c r="G25" s="1005">
        <f>$E$25/3</f>
        <v>0.3</v>
      </c>
      <c r="H25" s="221">
        <v>310</v>
      </c>
      <c r="I25" s="279">
        <v>510</v>
      </c>
      <c r="J25" s="1022">
        <f t="shared" ref="J25:J30" si="6">I25-H25</f>
        <v>200</v>
      </c>
      <c r="K25" s="987">
        <f>(0.5*I25)*6/10</f>
        <v>153</v>
      </c>
      <c r="L25" s="1008">
        <f t="shared" ref="L25:L30" si="7">I25-K25</f>
        <v>357</v>
      </c>
      <c r="M25" s="989">
        <f t="shared" si="5"/>
        <v>1.3071895424836601</v>
      </c>
      <c r="N25" s="1722"/>
      <c r="O25" s="1763"/>
      <c r="P25" s="1635"/>
      <c r="Q25" s="1023" t="s">
        <v>167</v>
      </c>
      <c r="R25" s="278" t="s">
        <v>417</v>
      </c>
      <c r="S25" s="277" t="s">
        <v>418</v>
      </c>
    </row>
    <row r="26" spans="1:19" ht="19.8" customHeight="1" thickBot="1" x14ac:dyDescent="0.5">
      <c r="A26" s="1617"/>
      <c r="B26" s="1619"/>
      <c r="C26" s="1685"/>
      <c r="D26" s="1713"/>
      <c r="E26" s="1714"/>
      <c r="F26" s="1004" t="s">
        <v>16</v>
      </c>
      <c r="G26" s="1005">
        <f t="shared" ref="G26:G27" si="8">$E$25/3</f>
        <v>0.3</v>
      </c>
      <c r="H26" s="221">
        <v>27</v>
      </c>
      <c r="I26" s="279">
        <v>29</v>
      </c>
      <c r="J26" s="1022">
        <f t="shared" si="6"/>
        <v>2</v>
      </c>
      <c r="K26" s="987">
        <f>(0.8*I26)*6/10</f>
        <v>13.920000000000002</v>
      </c>
      <c r="L26" s="1008">
        <f t="shared" si="7"/>
        <v>15.079999999999998</v>
      </c>
      <c r="M26" s="989">
        <f t="shared" si="5"/>
        <v>0.14367816091954022</v>
      </c>
      <c r="N26" s="1722"/>
      <c r="O26" s="1763"/>
      <c r="P26" s="1635"/>
      <c r="Q26" s="1023" t="s">
        <v>168</v>
      </c>
      <c r="R26" s="267" t="s">
        <v>404</v>
      </c>
      <c r="S26" s="258" t="s">
        <v>416</v>
      </c>
    </row>
    <row r="27" spans="1:19" ht="19.8" customHeight="1" x14ac:dyDescent="0.45">
      <c r="A27" s="1617"/>
      <c r="B27" s="1619"/>
      <c r="C27" s="1685"/>
      <c r="D27" s="1713"/>
      <c r="E27" s="1714"/>
      <c r="F27" s="1004" t="s">
        <v>17</v>
      </c>
      <c r="G27" s="1005">
        <f t="shared" si="8"/>
        <v>0.3</v>
      </c>
      <c r="H27" s="221">
        <v>56</v>
      </c>
      <c r="I27" s="279">
        <v>60</v>
      </c>
      <c r="J27" s="1022">
        <f t="shared" si="6"/>
        <v>4</v>
      </c>
      <c r="K27" s="987">
        <f>(0.5*I27)*(6/10)</f>
        <v>18</v>
      </c>
      <c r="L27" s="1008">
        <f t="shared" si="7"/>
        <v>42</v>
      </c>
      <c r="M27" s="989">
        <f t="shared" si="5"/>
        <v>0.22222222222222221</v>
      </c>
      <c r="N27" s="1722"/>
      <c r="O27" s="1763"/>
      <c r="P27" s="1635"/>
      <c r="Q27" s="1023" t="s">
        <v>169</v>
      </c>
      <c r="R27" s="267" t="s">
        <v>404</v>
      </c>
      <c r="S27" s="258" t="s">
        <v>416</v>
      </c>
    </row>
    <row r="28" spans="1:19" ht="30.6" customHeight="1" x14ac:dyDescent="0.45">
      <c r="A28" s="22"/>
      <c r="B28" s="1619"/>
      <c r="C28" s="1685"/>
      <c r="D28" s="1625" t="s">
        <v>116</v>
      </c>
      <c r="E28" s="1688">
        <f t="shared" ref="E28:E31" si="9">$C$24/4</f>
        <v>0.8928571428571429</v>
      </c>
      <c r="F28" s="1004" t="s">
        <v>148</v>
      </c>
      <c r="G28" s="1005">
        <f>$E$28/3</f>
        <v>0.29761904761904762</v>
      </c>
      <c r="H28" s="221">
        <v>19.100000000000001</v>
      </c>
      <c r="I28" s="279">
        <v>19.25</v>
      </c>
      <c r="J28" s="1022">
        <f t="shared" si="6"/>
        <v>0.14999999999999858</v>
      </c>
      <c r="K28" s="987">
        <f>(0.5*I28)*(6/10)</f>
        <v>5.7749999999999995</v>
      </c>
      <c r="L28" s="1008">
        <f t="shared" si="7"/>
        <v>13.475000000000001</v>
      </c>
      <c r="M28" s="989">
        <f t="shared" si="5"/>
        <v>2.5974025974025729E-2</v>
      </c>
      <c r="N28" s="1658"/>
      <c r="O28" s="1763"/>
      <c r="P28" s="1635"/>
      <c r="Q28" s="1023" t="s">
        <v>170</v>
      </c>
      <c r="R28" s="278" t="s">
        <v>419</v>
      </c>
      <c r="S28" s="277" t="s">
        <v>420</v>
      </c>
    </row>
    <row r="29" spans="1:19" ht="20.45" customHeight="1" x14ac:dyDescent="0.45">
      <c r="A29" s="22"/>
      <c r="B29" s="1619"/>
      <c r="C29" s="1685"/>
      <c r="D29" s="1713"/>
      <c r="E29" s="1714"/>
      <c r="F29" s="1004" t="s">
        <v>149</v>
      </c>
      <c r="G29" s="1005">
        <f t="shared" ref="G29:G30" si="10">$E$28/3</f>
        <v>0.29761904761904762</v>
      </c>
      <c r="H29" s="221">
        <v>46.34</v>
      </c>
      <c r="I29" s="279">
        <v>49.3</v>
      </c>
      <c r="J29" s="1022">
        <f t="shared" si="6"/>
        <v>2.9599999999999937</v>
      </c>
      <c r="K29" s="987">
        <f>(0.5*I29)*(6/10)</f>
        <v>14.79</v>
      </c>
      <c r="L29" s="1008">
        <f t="shared" si="7"/>
        <v>34.51</v>
      </c>
      <c r="M29" s="989">
        <f t="shared" si="5"/>
        <v>0.20013522650439444</v>
      </c>
      <c r="N29" s="1658"/>
      <c r="O29" s="1763"/>
      <c r="P29" s="1635"/>
      <c r="Q29" s="1023" t="s">
        <v>171</v>
      </c>
      <c r="R29" s="278" t="s">
        <v>421</v>
      </c>
      <c r="S29" s="277" t="s">
        <v>422</v>
      </c>
    </row>
    <row r="30" spans="1:19" ht="20.45" customHeight="1" x14ac:dyDescent="0.45">
      <c r="A30" s="22"/>
      <c r="B30" s="1718"/>
      <c r="C30" s="1714"/>
      <c r="D30" s="1713"/>
      <c r="E30" s="1714"/>
      <c r="F30" s="1004" t="s">
        <v>150</v>
      </c>
      <c r="G30" s="1005">
        <f t="shared" si="10"/>
        <v>0.29761904761904762</v>
      </c>
      <c r="H30" s="221">
        <v>185.4</v>
      </c>
      <c r="I30" s="279">
        <v>214</v>
      </c>
      <c r="J30" s="1022">
        <f t="shared" si="6"/>
        <v>28.599999999999994</v>
      </c>
      <c r="K30" s="987">
        <f>(0.5*I30)*(6/10)</f>
        <v>64.2</v>
      </c>
      <c r="L30" s="1008">
        <f t="shared" si="7"/>
        <v>149.80000000000001</v>
      </c>
      <c r="M30" s="989">
        <f t="shared" si="5"/>
        <v>0.44548286604361359</v>
      </c>
      <c r="N30" s="1658"/>
      <c r="O30" s="1763"/>
      <c r="P30" s="1635"/>
      <c r="Q30" s="1023" t="s">
        <v>172</v>
      </c>
      <c r="R30" s="278" t="s">
        <v>421</v>
      </c>
      <c r="S30" s="277" t="s">
        <v>423</v>
      </c>
    </row>
    <row r="31" spans="1:19" ht="34.9" customHeight="1" thickBot="1" x14ac:dyDescent="0.5">
      <c r="A31" s="22"/>
      <c r="B31" s="1719"/>
      <c r="C31" s="1720"/>
      <c r="D31" s="1024" t="s">
        <v>117</v>
      </c>
      <c r="E31" s="944">
        <f t="shared" si="9"/>
        <v>0.8928571428571429</v>
      </c>
      <c r="F31" s="1025" t="s">
        <v>223</v>
      </c>
      <c r="G31" s="944">
        <f>E31/1</f>
        <v>0.8928571428571429</v>
      </c>
      <c r="H31" s="222">
        <v>41.83</v>
      </c>
      <c r="I31" s="280">
        <v>25.68</v>
      </c>
      <c r="J31" s="1026">
        <f t="shared" ref="J31" si="11">H31-I31</f>
        <v>16.149999999999999</v>
      </c>
      <c r="K31" s="994">
        <f>(100-I31)*(6/10)</f>
        <v>44.591999999999992</v>
      </c>
      <c r="L31" s="1014">
        <f>K31+I31</f>
        <v>70.271999999999991</v>
      </c>
      <c r="M31" s="971">
        <f t="shared" si="5"/>
        <v>0.36217258701112309</v>
      </c>
      <c r="N31" s="1659"/>
      <c r="O31" s="1760"/>
      <c r="P31" s="1631"/>
      <c r="Q31" s="1027" t="s">
        <v>95</v>
      </c>
      <c r="R31" s="278" t="s">
        <v>419</v>
      </c>
      <c r="S31" s="277" t="s">
        <v>420</v>
      </c>
    </row>
    <row r="32" spans="1:19" ht="20.45" customHeight="1" thickBot="1" x14ac:dyDescent="0.5">
      <c r="B32" s="1715" t="s">
        <v>18</v>
      </c>
      <c r="C32" s="1716"/>
      <c r="D32" s="1716"/>
      <c r="E32" s="1716"/>
      <c r="F32" s="1717"/>
      <c r="G32" s="996"/>
      <c r="H32" s="1294"/>
      <c r="I32" s="1295"/>
      <c r="J32" s="1028"/>
      <c r="K32" s="1029"/>
      <c r="L32" s="1030"/>
      <c r="M32" s="1031"/>
      <c r="N32" s="911">
        <f>(N33+N34+N35+N36)/4</f>
        <v>-0.11102150537634406</v>
      </c>
      <c r="O32" s="912">
        <f>(O33+O34+O35+O36)</f>
        <v>0.5952380000000006</v>
      </c>
      <c r="P32" s="913">
        <f>O32/14.285712</f>
        <v>4.1666666666666706E-2</v>
      </c>
      <c r="Q32" s="997"/>
      <c r="R32" s="16"/>
      <c r="S32" s="16"/>
    </row>
    <row r="33" spans="1:19" ht="33.6" customHeight="1" thickBot="1" x14ac:dyDescent="0.5">
      <c r="A33" s="22">
        <v>6</v>
      </c>
      <c r="B33" s="1032" t="s">
        <v>19</v>
      </c>
      <c r="C33" s="1033">
        <f>$M$5</f>
        <v>3.5714285714285716</v>
      </c>
      <c r="D33" s="1034" t="s">
        <v>287</v>
      </c>
      <c r="E33" s="1035">
        <f>C33/1</f>
        <v>3.5714285714285716</v>
      </c>
      <c r="F33" s="1032" t="s">
        <v>288</v>
      </c>
      <c r="G33" s="1033">
        <f>E33/1</f>
        <v>3.5714285714285716</v>
      </c>
      <c r="H33" s="213">
        <v>6.3</v>
      </c>
      <c r="I33" s="214">
        <v>7.9</v>
      </c>
      <c r="J33" s="1036">
        <f>IF(H33&lt;7,(H33-7),(H33-I33))</f>
        <v>-0.70000000000000018</v>
      </c>
      <c r="K33" s="1037">
        <f>IF((7-H33&gt;=0),(7-H33),0)</f>
        <v>0.70000000000000018</v>
      </c>
      <c r="L33" s="1038">
        <f>IF((I33&lt;7),7,I33)</f>
        <v>7.9</v>
      </c>
      <c r="M33" s="1039">
        <f>IF(K33&lt;&gt;0,J33/7,(1+((H33-I33)/I33)))</f>
        <v>-0.10000000000000002</v>
      </c>
      <c r="N33" s="1040">
        <f>((G33/C33)*M33)</f>
        <v>-0.10000000000000002</v>
      </c>
      <c r="O33" s="1041">
        <f>IF(((G33/C33)*M33)&gt;=1,3.571428,IF(((G33/C33)*M33)&lt;=0,0,((G33/C33)*M33)*3.571428))</f>
        <v>0</v>
      </c>
      <c r="P33" s="913">
        <f>O33/3.571428</f>
        <v>0</v>
      </c>
      <c r="Q33" s="1042" t="s">
        <v>97</v>
      </c>
      <c r="R33" s="266" t="s">
        <v>424</v>
      </c>
      <c r="S33" s="611" t="s">
        <v>425</v>
      </c>
    </row>
    <row r="34" spans="1:19" ht="51" customHeight="1" thickBot="1" x14ac:dyDescent="0.5">
      <c r="A34" s="22">
        <v>7</v>
      </c>
      <c r="B34" s="1032" t="s">
        <v>20</v>
      </c>
      <c r="C34" s="1033">
        <f t="shared" ref="C34:C36" si="12">$M$5</f>
        <v>3.5714285714285716</v>
      </c>
      <c r="D34" s="1032" t="s">
        <v>118</v>
      </c>
      <c r="E34" s="1035">
        <f t="shared" ref="E34:E36" si="13">C34/1</f>
        <v>3.5714285714285716</v>
      </c>
      <c r="F34" s="1032" t="s">
        <v>21</v>
      </c>
      <c r="G34" s="1033">
        <f>E34/1</f>
        <v>3.5714285714285716</v>
      </c>
      <c r="H34" s="1296">
        <v>10.5</v>
      </c>
      <c r="I34" s="1297">
        <v>12.4</v>
      </c>
      <c r="J34" s="1044">
        <f>H34-I34</f>
        <v>-1.9000000000000004</v>
      </c>
      <c r="K34" s="1045">
        <f>(0.5*I34)*(6/10)</f>
        <v>3.7199999999999998</v>
      </c>
      <c r="L34" s="1046">
        <f>K34+I34</f>
        <v>16.12</v>
      </c>
      <c r="M34" s="1039">
        <f>IF(K34&lt;&gt;0,J34/K34,"0%")</f>
        <v>-0.51075268817204311</v>
      </c>
      <c r="N34" s="1040">
        <f>((G34/C34)*M34)</f>
        <v>-0.51075268817204311</v>
      </c>
      <c r="O34" s="1041">
        <f>IF(((G34/C34)*M34)&gt;=1,3.571428,IF(((G34/C34)*M34)&lt;=0,0,((G34/C34)*M34)*3.571428))</f>
        <v>0</v>
      </c>
      <c r="P34" s="913">
        <f t="shared" ref="P34:P36" si="14">O34/3.571428</f>
        <v>0</v>
      </c>
      <c r="Q34" s="1042" t="s">
        <v>173</v>
      </c>
      <c r="R34" s="281" t="s">
        <v>426</v>
      </c>
      <c r="S34" s="110" t="s">
        <v>427</v>
      </c>
    </row>
    <row r="35" spans="1:19" ht="40.799999999999997" customHeight="1" thickBot="1" x14ac:dyDescent="0.5">
      <c r="A35" s="22">
        <v>8</v>
      </c>
      <c r="B35" s="1032" t="s">
        <v>22</v>
      </c>
      <c r="C35" s="1033">
        <f t="shared" si="12"/>
        <v>3.5714285714285716</v>
      </c>
      <c r="D35" s="1032" t="s">
        <v>119</v>
      </c>
      <c r="E35" s="1035">
        <f t="shared" si="13"/>
        <v>3.5714285714285716</v>
      </c>
      <c r="F35" s="1032" t="s">
        <v>23</v>
      </c>
      <c r="G35" s="1033">
        <f>E35/1</f>
        <v>3.5714285714285716</v>
      </c>
      <c r="H35" s="213">
        <v>0.05</v>
      </c>
      <c r="I35" s="1297">
        <v>0.05</v>
      </c>
      <c r="J35" s="1047">
        <f>H35-I35</f>
        <v>0</v>
      </c>
      <c r="K35" s="1048">
        <f>IF((I35&gt;=1),0,((1-I35)*0.6))</f>
        <v>0.56999999999999995</v>
      </c>
      <c r="L35" s="1038">
        <f>I35+K35</f>
        <v>0.62</v>
      </c>
      <c r="M35" s="1039">
        <f>IF(K35&lt;&gt;0,J35/K35,"0%")</f>
        <v>0</v>
      </c>
      <c r="N35" s="1040">
        <f>((G35/C35)*M35)</f>
        <v>0</v>
      </c>
      <c r="O35" s="1041">
        <f>IF(((G35/C35)*M35)&gt;=1,3.571428,IF(((G35/C35)*M35)&lt;=0,0,((G35/C35)*M35)*3.571428))</f>
        <v>0</v>
      </c>
      <c r="P35" s="913">
        <f t="shared" si="14"/>
        <v>0</v>
      </c>
      <c r="Q35" s="1042" t="s">
        <v>174</v>
      </c>
      <c r="R35" s="281" t="s">
        <v>428</v>
      </c>
      <c r="S35" s="110" t="s">
        <v>427</v>
      </c>
    </row>
    <row r="36" spans="1:19" ht="32.450000000000003" customHeight="1" thickBot="1" x14ac:dyDescent="0.5">
      <c r="A36" s="22">
        <v>9</v>
      </c>
      <c r="B36" s="1032" t="s">
        <v>24</v>
      </c>
      <c r="C36" s="1033">
        <f t="shared" si="12"/>
        <v>3.5714285714285716</v>
      </c>
      <c r="D36" s="1032" t="s">
        <v>275</v>
      </c>
      <c r="E36" s="1035">
        <f t="shared" si="13"/>
        <v>3.5714285714285716</v>
      </c>
      <c r="F36" s="1049" t="s">
        <v>25</v>
      </c>
      <c r="G36" s="1033">
        <f>E36/1</f>
        <v>3.5714285714285716</v>
      </c>
      <c r="H36" s="213">
        <v>1.1000000000000001</v>
      </c>
      <c r="I36" s="1297">
        <v>1</v>
      </c>
      <c r="J36" s="1050">
        <f>H36-I36</f>
        <v>0.10000000000000009</v>
      </c>
      <c r="K36" s="1051">
        <f>(1*I36)*(6/10)</f>
        <v>0.6</v>
      </c>
      <c r="L36" s="1052">
        <f>I36+K36</f>
        <v>1.6</v>
      </c>
      <c r="M36" s="1039">
        <f>IF(K36&lt;&gt;0,J36/K36,"0%")</f>
        <v>0.16666666666666682</v>
      </c>
      <c r="N36" s="1040">
        <f>((G36/C36)*M36)</f>
        <v>0.16666666666666682</v>
      </c>
      <c r="O36" s="1041">
        <f>IF(((G36/C36)*M36)&gt;=1,3.571428,IF(((G36/C36)*M36)&lt;=0,0,((G36/C36)*M36)*3.571428))</f>
        <v>0.5952380000000006</v>
      </c>
      <c r="P36" s="913">
        <f t="shared" si="14"/>
        <v>0.16666666666666682</v>
      </c>
      <c r="Q36" s="1053" t="s">
        <v>175</v>
      </c>
      <c r="R36" s="266" t="s">
        <v>683</v>
      </c>
      <c r="S36" s="110" t="s">
        <v>427</v>
      </c>
    </row>
    <row r="37" spans="1:19" ht="30.6" customHeight="1" thickBot="1" x14ac:dyDescent="0.5">
      <c r="B37" s="1710" t="s">
        <v>26</v>
      </c>
      <c r="C37" s="1711"/>
      <c r="D37" s="1711"/>
      <c r="E37" s="1711"/>
      <c r="F37" s="1712"/>
      <c r="G37" s="1054"/>
      <c r="H37" s="1292"/>
      <c r="I37" s="1292"/>
      <c r="J37" s="1055"/>
      <c r="K37" s="1056"/>
      <c r="L37" s="1056"/>
      <c r="M37" s="1057"/>
      <c r="N37" s="911">
        <f>N38</f>
        <v>0</v>
      </c>
      <c r="O37" s="912">
        <f>O38</f>
        <v>0</v>
      </c>
      <c r="P37" s="913">
        <f>O37/3.571428</f>
        <v>0</v>
      </c>
      <c r="Q37" s="1058"/>
      <c r="R37" s="15"/>
      <c r="S37" s="16"/>
    </row>
    <row r="38" spans="1:19" ht="25.8" customHeight="1" thickBot="1" x14ac:dyDescent="0.5">
      <c r="A38" s="1617">
        <v>10</v>
      </c>
      <c r="B38" s="1618" t="s">
        <v>27</v>
      </c>
      <c r="C38" s="1678">
        <f>M5</f>
        <v>3.5714285714285716</v>
      </c>
      <c r="D38" s="977" t="s">
        <v>120</v>
      </c>
      <c r="E38" s="931">
        <f>$C$38/2</f>
        <v>1.7857142857142858</v>
      </c>
      <c r="F38" s="1059" t="s">
        <v>224</v>
      </c>
      <c r="G38" s="931">
        <f>E38/1</f>
        <v>1.7857142857142858</v>
      </c>
      <c r="H38" s="213"/>
      <c r="I38" s="1293"/>
      <c r="J38" s="1060">
        <f>H38-I38</f>
        <v>0</v>
      </c>
      <c r="K38" s="1061">
        <f>(1*I38)*(6/10)</f>
        <v>0</v>
      </c>
      <c r="L38" s="1062">
        <f>I38+K38</f>
        <v>0</v>
      </c>
      <c r="M38" s="935" t="str">
        <f>IF(K38&lt;&gt;0,J38/K38,"0%")</f>
        <v>0%</v>
      </c>
      <c r="N38" s="1702">
        <f>(((G38/C38)*M38)+((G39/C38)*M39))</f>
        <v>0</v>
      </c>
      <c r="O38" s="1723">
        <f>IF((((G38/C38)*M38)+((G39/C38)*M39))&gt;=1,3.57148,IF((((G38/C38)*M38)+((G39/C38)*M39))&lt;=0,0, (((G38/C38)*M38)+((G39/C38)*M39))*3.571428))</f>
        <v>0</v>
      </c>
      <c r="P38" s="1630">
        <f>O38/3.571428</f>
        <v>0</v>
      </c>
      <c r="Q38" s="1063" t="s">
        <v>176</v>
      </c>
      <c r="R38" s="684"/>
      <c r="S38" s="685" t="s">
        <v>682</v>
      </c>
    </row>
    <row r="39" spans="1:19" ht="35.25" thickBot="1" x14ac:dyDescent="0.5">
      <c r="A39" s="1617"/>
      <c r="B39" s="1619"/>
      <c r="C39" s="1685"/>
      <c r="D39" s="982" t="s">
        <v>157</v>
      </c>
      <c r="E39" s="944">
        <f>$C$38/2</f>
        <v>1.7857142857142858</v>
      </c>
      <c r="F39" s="1064" t="s">
        <v>225</v>
      </c>
      <c r="G39" s="1005">
        <f>E39/1</f>
        <v>1.7857142857142858</v>
      </c>
      <c r="H39" s="213"/>
      <c r="I39" s="1293"/>
      <c r="J39" s="1065">
        <f>H39-I39</f>
        <v>0</v>
      </c>
      <c r="K39" s="1066">
        <f>IF(AND(I39&gt;=10,H39&gt;=I39),0,((10-H39)*(6/10)))</f>
        <v>6</v>
      </c>
      <c r="L39" s="1067">
        <f>I39+K39</f>
        <v>6</v>
      </c>
      <c r="M39" s="950">
        <f>IF(K39&lt;&gt;0,J39/K39,"0%")</f>
        <v>0</v>
      </c>
      <c r="N39" s="1657"/>
      <c r="O39" s="1760"/>
      <c r="P39" s="1631"/>
      <c r="Q39" s="1068" t="s">
        <v>95</v>
      </c>
      <c r="R39" s="240"/>
      <c r="S39" s="685" t="s">
        <v>682</v>
      </c>
    </row>
    <row r="40" spans="1:19" ht="20.45" customHeight="1" thickBot="1" x14ac:dyDescent="0.5">
      <c r="B40" s="1679" t="s">
        <v>28</v>
      </c>
      <c r="C40" s="1680"/>
      <c r="D40" s="1680"/>
      <c r="E40" s="1704"/>
      <c r="F40" s="1681"/>
      <c r="G40" s="1054"/>
      <c r="H40" s="1298"/>
      <c r="I40" s="1299"/>
      <c r="J40" s="1069"/>
      <c r="K40" s="1070"/>
      <c r="L40" s="1070"/>
      <c r="M40" s="1071"/>
      <c r="N40" s="911">
        <f>N41</f>
        <v>-0.4273504273504275</v>
      </c>
      <c r="O40" s="912">
        <f>O41</f>
        <v>0</v>
      </c>
      <c r="P40" s="913">
        <f>O40/3.571428</f>
        <v>0</v>
      </c>
      <c r="Q40" s="1072"/>
      <c r="R40" s="686"/>
      <c r="S40" s="687"/>
    </row>
    <row r="41" spans="1:19" ht="35.25" thickBot="1" x14ac:dyDescent="0.5">
      <c r="A41" s="1617">
        <v>11</v>
      </c>
      <c r="B41" s="1705" t="s">
        <v>29</v>
      </c>
      <c r="C41" s="1707">
        <f>M5</f>
        <v>3.5714285714285716</v>
      </c>
      <c r="D41" s="1073" t="s">
        <v>121</v>
      </c>
      <c r="E41" s="1074">
        <f>$C$41/2</f>
        <v>1.7857142857142858</v>
      </c>
      <c r="F41" s="956" t="s">
        <v>30</v>
      </c>
      <c r="G41" s="1075">
        <f>E41/1</f>
        <v>1.7857142857142858</v>
      </c>
      <c r="H41" s="213">
        <v>0.28999999999999998</v>
      </c>
      <c r="I41" s="1293">
        <v>0.39</v>
      </c>
      <c r="J41" s="1076">
        <f>H41-I41</f>
        <v>-0.10000000000000003</v>
      </c>
      <c r="K41" s="1077">
        <f>(0.5*I41)*(6/10)</f>
        <v>0.11699999999999999</v>
      </c>
      <c r="L41" s="1078">
        <f>I41+K41</f>
        <v>0.50700000000000001</v>
      </c>
      <c r="M41" s="935">
        <f>IF(K41&lt;&gt;0,J41/K41,"0%")</f>
        <v>-0.854700854700855</v>
      </c>
      <c r="N41" s="1709">
        <f>(((G41/C41)*M41)+(G42/C41)*M42)</f>
        <v>-0.4273504273504275</v>
      </c>
      <c r="O41" s="1723">
        <f>IF((((G41/C41)*M41)+((G42/C41)*M42))&gt;=1,3.57148,IF((((G41/C41)*M41)+((G42/C41)*M42))&lt;=0,0, (((G41/C41)*M41)+((G42/C41)*M42))*3.571428))</f>
        <v>0</v>
      </c>
      <c r="P41" s="1630">
        <f>O41/3.571428</f>
        <v>0</v>
      </c>
      <c r="Q41" s="1079" t="s">
        <v>177</v>
      </c>
      <c r="R41" s="266" t="s">
        <v>683</v>
      </c>
      <c r="S41" s="110" t="s">
        <v>427</v>
      </c>
    </row>
    <row r="42" spans="1:19" ht="28.9" thickBot="1" x14ac:dyDescent="0.5">
      <c r="A42" s="1617"/>
      <c r="B42" s="1706"/>
      <c r="C42" s="1708"/>
      <c r="D42" s="1080" t="s">
        <v>122</v>
      </c>
      <c r="E42" s="1010">
        <f>$C$41/2</f>
        <v>1.7857142857142858</v>
      </c>
      <c r="F42" s="966" t="s">
        <v>31</v>
      </c>
      <c r="G42" s="1081">
        <f>E42/1</f>
        <v>1.7857142857142858</v>
      </c>
      <c r="H42" s="213"/>
      <c r="I42" s="1293"/>
      <c r="J42" s="1082">
        <f>H42-I42</f>
        <v>0</v>
      </c>
      <c r="K42" s="969">
        <f>(0.5*I42)*(6/10)</f>
        <v>0</v>
      </c>
      <c r="L42" s="1083">
        <f>I42+K42</f>
        <v>0</v>
      </c>
      <c r="M42" s="950" t="str">
        <f>IF(K42&lt;&gt;0,J42/K42,"0%")</f>
        <v>0%</v>
      </c>
      <c r="N42" s="1709"/>
      <c r="O42" s="1760"/>
      <c r="P42" s="1631"/>
      <c r="Q42" s="1079" t="s">
        <v>95</v>
      </c>
      <c r="R42" s="688"/>
      <c r="S42" s="685" t="s">
        <v>682</v>
      </c>
    </row>
    <row r="43" spans="1:19" ht="30.6" customHeight="1" thickBot="1" x14ac:dyDescent="0.5">
      <c r="B43" s="1670" t="s">
        <v>32</v>
      </c>
      <c r="C43" s="1671"/>
      <c r="D43" s="1671"/>
      <c r="E43" s="1671"/>
      <c r="F43" s="1672"/>
      <c r="G43" s="996"/>
      <c r="H43" s="1298"/>
      <c r="I43" s="1299"/>
      <c r="J43" s="1084"/>
      <c r="K43" s="1085"/>
      <c r="L43" s="1085"/>
      <c r="M43" s="996"/>
      <c r="N43" s="911">
        <f>N44</f>
        <v>0</v>
      </c>
      <c r="O43" s="912">
        <f>O44</f>
        <v>0</v>
      </c>
      <c r="P43" s="913">
        <f>O43/3.571428</f>
        <v>0</v>
      </c>
      <c r="Q43" s="1086"/>
      <c r="R43" s="687"/>
      <c r="S43" s="687"/>
    </row>
    <row r="44" spans="1:19" ht="37.799999999999997" customHeight="1" thickBot="1" x14ac:dyDescent="0.5">
      <c r="A44" s="1617">
        <v>12</v>
      </c>
      <c r="B44" s="1624" t="s">
        <v>33</v>
      </c>
      <c r="C44" s="1678">
        <f>M5</f>
        <v>3.5714285714285716</v>
      </c>
      <c r="D44" s="999" t="s">
        <v>123</v>
      </c>
      <c r="E44" s="1087">
        <f>C44/2</f>
        <v>1.7857142857142858</v>
      </c>
      <c r="F44" s="999" t="s">
        <v>34</v>
      </c>
      <c r="G44" s="931">
        <f>$E$44/1</f>
        <v>1.7857142857142858</v>
      </c>
      <c r="H44" s="213"/>
      <c r="I44" s="1293"/>
      <c r="J44" s="1088">
        <f>IF(I44=H44,(H44-30),H44-I44)</f>
        <v>-30</v>
      </c>
      <c r="K44" s="980">
        <f>IF(I44&gt;=30,0,((30-I44)*(6/10)))</f>
        <v>18</v>
      </c>
      <c r="L44" s="1089">
        <f>I44+K44</f>
        <v>18</v>
      </c>
      <c r="M44" s="950" t="str">
        <f>IF(K44&lt;&gt;0,"0%",J44/K44)</f>
        <v>0%</v>
      </c>
      <c r="N44" s="1702">
        <f>(((G44/C44)*M44)+((G45/C44)*M45))</f>
        <v>0</v>
      </c>
      <c r="O44" s="1723">
        <f>IF((((G44/C44)*M44)+((G45/C44)*M45))&gt;=1,3.57148,IF((((G44/C44)*M44)+((G45/C44)*M45))&lt;=0,0, (((G44/C44)*M44)+((G45/C44)*M45))*3.571428))</f>
        <v>0</v>
      </c>
      <c r="P44" s="1630">
        <f>O44/3.571428</f>
        <v>0</v>
      </c>
      <c r="Q44" s="981" t="s">
        <v>178</v>
      </c>
      <c r="R44" s="689"/>
      <c r="S44" s="685" t="s">
        <v>682</v>
      </c>
    </row>
    <row r="45" spans="1:19" ht="35.25" thickBot="1" x14ac:dyDescent="0.5">
      <c r="A45" s="1617"/>
      <c r="B45" s="1626"/>
      <c r="C45" s="1686"/>
      <c r="D45" s="1024" t="s">
        <v>124</v>
      </c>
      <c r="E45" s="1090">
        <f>(C44/2)</f>
        <v>1.7857142857142858</v>
      </c>
      <c r="F45" s="1024" t="s">
        <v>35</v>
      </c>
      <c r="G45" s="944">
        <f>$E$45/1</f>
        <v>1.7857142857142858</v>
      </c>
      <c r="H45" s="213"/>
      <c r="I45" s="1293"/>
      <c r="J45" s="1091">
        <f>IF(I45=H45,(H45-17),H45-I45)</f>
        <v>-17</v>
      </c>
      <c r="K45" s="1092">
        <f>IF(I45&gt;=17,0,((17-I45)*(6/10)))</f>
        <v>10.199999999999999</v>
      </c>
      <c r="L45" s="1093">
        <f>I45+K45</f>
        <v>10.199999999999999</v>
      </c>
      <c r="M45" s="1094" t="str">
        <f>IF(K45&lt;&gt;0,"0%",J45/K45)</f>
        <v>0%</v>
      </c>
      <c r="N45" s="1703"/>
      <c r="O45" s="1760"/>
      <c r="P45" s="1631"/>
      <c r="Q45" s="995" t="s">
        <v>179</v>
      </c>
      <c r="R45" s="690"/>
      <c r="S45" s="685" t="s">
        <v>682</v>
      </c>
    </row>
    <row r="46" spans="1:19" ht="30.6" customHeight="1" thickBot="1" x14ac:dyDescent="0.5">
      <c r="B46" s="1694" t="s">
        <v>36</v>
      </c>
      <c r="C46" s="1695"/>
      <c r="D46" s="1695"/>
      <c r="E46" s="1695"/>
      <c r="F46" s="1696"/>
      <c r="G46" s="1095"/>
      <c r="H46" s="1300"/>
      <c r="I46" s="1301"/>
      <c r="J46" s="1096"/>
      <c r="K46" s="1097"/>
      <c r="L46" s="1097"/>
      <c r="M46" s="1098"/>
      <c r="N46" s="911">
        <f>(N47+N50+N52)/3</f>
        <v>1.3466525379949186</v>
      </c>
      <c r="O46" s="912">
        <f>(O47+O50+O52)</f>
        <v>10.430961109170305</v>
      </c>
      <c r="P46" s="913">
        <f>O46/10.714284</f>
        <v>0.97355652595827269</v>
      </c>
      <c r="Q46" s="1099"/>
      <c r="R46" s="691"/>
      <c r="S46" s="691"/>
    </row>
    <row r="47" spans="1:19" ht="20.45" customHeight="1" thickBot="1" x14ac:dyDescent="0.5">
      <c r="B47" s="1614" t="s">
        <v>37</v>
      </c>
      <c r="C47" s="1615"/>
      <c r="D47" s="1615"/>
      <c r="E47" s="1615"/>
      <c r="F47" s="1616"/>
      <c r="G47" s="1100"/>
      <c r="H47" s="1302"/>
      <c r="I47" s="1302"/>
      <c r="J47" s="1101"/>
      <c r="K47" s="1102"/>
      <c r="L47" s="1102"/>
      <c r="M47" s="996"/>
      <c r="N47" s="911">
        <f>N48</f>
        <v>0.92066957787481807</v>
      </c>
      <c r="O47" s="912">
        <f>O48</f>
        <v>3.288105109170306</v>
      </c>
      <c r="P47" s="913">
        <f>O47/3.571428</f>
        <v>0.92066957787481807</v>
      </c>
      <c r="Q47" s="1086"/>
      <c r="R47" s="17"/>
      <c r="S47" s="17"/>
    </row>
    <row r="48" spans="1:19" ht="37.799999999999997" customHeight="1" thickBot="1" x14ac:dyDescent="0.5">
      <c r="A48" s="1617">
        <v>13</v>
      </c>
      <c r="B48" s="1624" t="s">
        <v>38</v>
      </c>
      <c r="C48" s="1678">
        <f>M5</f>
        <v>3.5714285714285716</v>
      </c>
      <c r="D48" s="999" t="s">
        <v>125</v>
      </c>
      <c r="E48" s="931">
        <f>$C$48/2</f>
        <v>1.7857142857142858</v>
      </c>
      <c r="F48" s="1103" t="s">
        <v>289</v>
      </c>
      <c r="G48" s="931">
        <f>E48/1</f>
        <v>1.7857142857142858</v>
      </c>
      <c r="H48" s="213"/>
      <c r="I48" s="1297"/>
      <c r="J48" s="1104">
        <f>H48-I48</f>
        <v>0</v>
      </c>
      <c r="K48" s="1105">
        <f>(0.5*I48)* (6/10)</f>
        <v>0</v>
      </c>
      <c r="L48" s="1106">
        <f>I48-K48</f>
        <v>0</v>
      </c>
      <c r="M48" s="962" t="str">
        <f>IF(K48&lt;&gt;0,J48/K48,"0%")</f>
        <v>0%</v>
      </c>
      <c r="N48" s="1700">
        <f>(((G48/C48)*M48)+((G49/C48)*M49))</f>
        <v>0.92066957787481807</v>
      </c>
      <c r="O48" s="1723">
        <f>IF((((G48/C48)*M48)+((G49/C48)*M49))&gt;=1,3.57148,IF((((G48/C48)*M48)+((G49/C48)*M49))&lt;=0,0, (((G48/C48)*M48)+((G49/C48)*M49))*3.571428))</f>
        <v>3.288105109170306</v>
      </c>
      <c r="P48" s="1630">
        <f>O48/3.571428</f>
        <v>0.92066957787481807</v>
      </c>
      <c r="Q48" s="1021" t="s">
        <v>95</v>
      </c>
      <c r="R48" s="69"/>
      <c r="S48" s="692" t="s">
        <v>682</v>
      </c>
    </row>
    <row r="49" spans="1:19" ht="30.6" customHeight="1" thickBot="1" x14ac:dyDescent="0.5">
      <c r="A49" s="1617"/>
      <c r="B49" s="1626"/>
      <c r="C49" s="1686"/>
      <c r="D49" s="1024" t="s">
        <v>126</v>
      </c>
      <c r="E49" s="944">
        <f>$C$48/2</f>
        <v>1.7857142857142858</v>
      </c>
      <c r="F49" s="1024" t="s">
        <v>290</v>
      </c>
      <c r="G49" s="944">
        <f>E49/1</f>
        <v>1.7857142857142858</v>
      </c>
      <c r="H49" s="1297">
        <v>27.7</v>
      </c>
      <c r="I49" s="1297">
        <v>-22.9</v>
      </c>
      <c r="J49" s="1026">
        <f>H49-I49</f>
        <v>50.599999999999994</v>
      </c>
      <c r="K49" s="1107">
        <f>(2*I49)*(6/10)*-1</f>
        <v>27.479999999999997</v>
      </c>
      <c r="L49" s="1108">
        <f>I49+K49</f>
        <v>4.5799999999999983</v>
      </c>
      <c r="M49" s="950">
        <f>IF(K49&lt;&gt;0,J49/K49,"0%")</f>
        <v>1.8413391557496361</v>
      </c>
      <c r="N49" s="1701"/>
      <c r="O49" s="1760"/>
      <c r="P49" s="1631"/>
      <c r="Q49" s="1027" t="s">
        <v>95</v>
      </c>
      <c r="R49" s="162" t="s">
        <v>428</v>
      </c>
      <c r="S49" s="697" t="s">
        <v>420</v>
      </c>
    </row>
    <row r="50" spans="1:19" ht="15" customHeight="1" thickBot="1" x14ac:dyDescent="0.5">
      <c r="B50" s="1670" t="s">
        <v>39</v>
      </c>
      <c r="C50" s="1671"/>
      <c r="D50" s="1671"/>
      <c r="E50" s="1671"/>
      <c r="F50" s="1672"/>
      <c r="G50" s="1109"/>
      <c r="H50" s="1303"/>
      <c r="I50" s="1303"/>
      <c r="J50" s="1110"/>
      <c r="K50" s="1110"/>
      <c r="L50" s="1110"/>
      <c r="M50" s="1111"/>
      <c r="N50" s="911">
        <f>N51</f>
        <v>1.6666666666666667</v>
      </c>
      <c r="O50" s="912">
        <f>O51</f>
        <v>3.571428</v>
      </c>
      <c r="P50" s="913">
        <f>O50/3.571428</f>
        <v>1</v>
      </c>
      <c r="Q50" s="1112"/>
      <c r="R50" s="18"/>
      <c r="S50" s="693"/>
    </row>
    <row r="51" spans="1:19" ht="30.6" customHeight="1" thickBot="1" x14ac:dyDescent="0.5">
      <c r="A51" s="21">
        <v>14</v>
      </c>
      <c r="B51" s="1113" t="s">
        <v>226</v>
      </c>
      <c r="C51" s="1114">
        <f>M5</f>
        <v>3.5714285714285716</v>
      </c>
      <c r="D51" s="1115" t="s">
        <v>272</v>
      </c>
      <c r="E51" s="1116">
        <f>C51</f>
        <v>3.5714285714285716</v>
      </c>
      <c r="F51" s="1117" t="s">
        <v>266</v>
      </c>
      <c r="G51" s="1118">
        <f>E51/1</f>
        <v>3.5714285714285716</v>
      </c>
      <c r="H51" s="1304">
        <v>100</v>
      </c>
      <c r="I51" s="1305">
        <v>0</v>
      </c>
      <c r="J51" s="1119">
        <f>H51-I51</f>
        <v>100</v>
      </c>
      <c r="K51" s="1120">
        <f>(100-I51)*(6/10)</f>
        <v>60</v>
      </c>
      <c r="L51" s="1121">
        <f>I51+K51</f>
        <v>60</v>
      </c>
      <c r="M51" s="971">
        <f>IF(K51&lt;&gt;0,J51/K51,"100%")</f>
        <v>1.6666666666666667</v>
      </c>
      <c r="N51" s="1040">
        <f>((G51/C51)*M51)</f>
        <v>1.6666666666666667</v>
      </c>
      <c r="O51" s="1041">
        <f>IF(((G51/C51)*M51)&gt;=1,3.571428,IF(((G51/C51)*M51)&lt;=0,0,((G51/C51)*M51)*3.571428))</f>
        <v>3.571428</v>
      </c>
      <c r="P51" s="913">
        <f>O51/3.571428</f>
        <v>1</v>
      </c>
      <c r="Q51" s="1122" t="s">
        <v>95</v>
      </c>
      <c r="R51" s="167"/>
      <c r="S51" s="694" t="s">
        <v>429</v>
      </c>
    </row>
    <row r="52" spans="1:19" ht="20.45" customHeight="1" thickBot="1" x14ac:dyDescent="0.5">
      <c r="B52" s="1670" t="s">
        <v>40</v>
      </c>
      <c r="C52" s="1671"/>
      <c r="D52" s="1671"/>
      <c r="E52" s="1671"/>
      <c r="F52" s="1672"/>
      <c r="G52" s="1100"/>
      <c r="H52" s="1306"/>
      <c r="I52" s="1306"/>
      <c r="J52" s="1101"/>
      <c r="K52" s="1102"/>
      <c r="L52" s="1102"/>
      <c r="M52" s="1018"/>
      <c r="N52" s="911">
        <f>N53</f>
        <v>1.452621369443271</v>
      </c>
      <c r="O52" s="912">
        <f>O53</f>
        <v>3.571428</v>
      </c>
      <c r="P52" s="913">
        <f>O52/3.571428</f>
        <v>1</v>
      </c>
      <c r="Q52" s="1123"/>
      <c r="R52" s="18"/>
      <c r="S52" s="693"/>
    </row>
    <row r="53" spans="1:19" ht="43.8" customHeight="1" thickBot="1" x14ac:dyDescent="0.5">
      <c r="A53" s="1617">
        <v>15</v>
      </c>
      <c r="B53" s="1618" t="s">
        <v>108</v>
      </c>
      <c r="C53" s="1678">
        <f>M5</f>
        <v>3.5714285714285716</v>
      </c>
      <c r="D53" s="1124" t="s">
        <v>127</v>
      </c>
      <c r="E53" s="1125">
        <f>$C$53/5</f>
        <v>0.7142857142857143</v>
      </c>
      <c r="F53" s="1126" t="s">
        <v>41</v>
      </c>
      <c r="G53" s="978">
        <f>E53/1</f>
        <v>0.7142857142857143</v>
      </c>
      <c r="H53" s="695"/>
      <c r="I53" s="1291"/>
      <c r="J53" s="1001">
        <f>H53-I53</f>
        <v>0</v>
      </c>
      <c r="K53" s="1105">
        <f>(100-I53)*(6/10)</f>
        <v>60</v>
      </c>
      <c r="L53" s="1062">
        <f t="shared" ref="L53:L58" si="15">I53+K53</f>
        <v>60</v>
      </c>
      <c r="M53" s="935">
        <f t="shared" ref="M53:M55" si="16">IF(K53&lt;&gt;0,J53/K53,"0%")</f>
        <v>0</v>
      </c>
      <c r="N53" s="1697">
        <f>(((G53/C53)*M53)+((G54/C53)*M54)+((G55/C53)*M55)+((G56/C53)*M56)+((G57/C53)*M57)+((G58/C53)*M58))</f>
        <v>1.452621369443271</v>
      </c>
      <c r="O53" s="1687">
        <f>IF((((G53/C53)*M53)+((G54/C53)*M54)+((G55/C53)*M55)+((G56/C53)*M56)+((G57/C53)*M57)+((G58/C53)*M58))&gt;=1,3.571428,IF((((G53/C53)*M53)+((G54/C53)*M54)+((G55/C53)*M55)+((G56/C53)*M56)+((G57/C53)*M57)+((G58/C53)*M58))&lt;=0,0,((((G53/C53)*M53)+((G54/C53)*M54)+((G55/C53)*M55)+((G56/C53)*M56)+((G57/C53)*M57)+((G58/C53)*M58))*3.571428)))</f>
        <v>3.571428</v>
      </c>
      <c r="P53" s="1630">
        <f>O53/3.571428</f>
        <v>1</v>
      </c>
      <c r="Q53" s="1127" t="s">
        <v>95</v>
      </c>
      <c r="R53" s="168"/>
      <c r="S53" s="692" t="s">
        <v>682</v>
      </c>
    </row>
    <row r="54" spans="1:19" ht="35.450000000000003" customHeight="1" thickBot="1" x14ac:dyDescent="0.5">
      <c r="A54" s="1617"/>
      <c r="B54" s="1619"/>
      <c r="C54" s="1685"/>
      <c r="D54" s="1128" t="s">
        <v>128</v>
      </c>
      <c r="E54" s="1129">
        <f t="shared" ref="E54:E57" si="17">$C$53/5</f>
        <v>0.7142857142857143</v>
      </c>
      <c r="F54" s="1130" t="s">
        <v>42</v>
      </c>
      <c r="G54" s="983">
        <f>E54/1</f>
        <v>0.7142857142857143</v>
      </c>
      <c r="H54" s="271"/>
      <c r="I54" s="279"/>
      <c r="J54" s="1007">
        <f>H54-I54</f>
        <v>0</v>
      </c>
      <c r="K54" s="1066">
        <f>(100-I54)*(6/6)</f>
        <v>100</v>
      </c>
      <c r="L54" s="1067">
        <f>I54+K54</f>
        <v>100</v>
      </c>
      <c r="M54" s="989">
        <f t="shared" si="16"/>
        <v>0</v>
      </c>
      <c r="N54" s="1698"/>
      <c r="O54" s="1761"/>
      <c r="P54" s="1635"/>
      <c r="Q54" s="1131" t="s">
        <v>95</v>
      </c>
      <c r="R54" s="169"/>
      <c r="S54" s="692" t="s">
        <v>682</v>
      </c>
    </row>
    <row r="55" spans="1:19" ht="34.25" customHeight="1" thickBot="1" x14ac:dyDescent="0.5">
      <c r="A55" s="1617"/>
      <c r="B55" s="1619"/>
      <c r="C55" s="1685"/>
      <c r="D55" s="1128" t="s">
        <v>129</v>
      </c>
      <c r="E55" s="1129">
        <f t="shared" si="17"/>
        <v>0.7142857142857143</v>
      </c>
      <c r="F55" s="1130" t="s">
        <v>43</v>
      </c>
      <c r="G55" s="983">
        <f>E55/1</f>
        <v>0.7142857142857143</v>
      </c>
      <c r="H55" s="271"/>
      <c r="I55" s="279"/>
      <c r="J55" s="1007">
        <f>H55-I55</f>
        <v>0</v>
      </c>
      <c r="K55" s="1066">
        <f>(100-I55)*(6/10)</f>
        <v>60</v>
      </c>
      <c r="L55" s="1067">
        <f t="shared" si="15"/>
        <v>60</v>
      </c>
      <c r="M55" s="989">
        <f t="shared" si="16"/>
        <v>0</v>
      </c>
      <c r="N55" s="1698"/>
      <c r="O55" s="1761"/>
      <c r="P55" s="1635"/>
      <c r="Q55" s="1131" t="s">
        <v>95</v>
      </c>
      <c r="R55" s="169"/>
      <c r="S55" s="692" t="s">
        <v>682</v>
      </c>
    </row>
    <row r="56" spans="1:19" ht="37.25" customHeight="1" x14ac:dyDescent="0.45">
      <c r="A56" s="1617"/>
      <c r="B56" s="1619"/>
      <c r="C56" s="1685"/>
      <c r="D56" s="1128" t="s">
        <v>130</v>
      </c>
      <c r="E56" s="1129">
        <f t="shared" si="17"/>
        <v>0.7142857142857143</v>
      </c>
      <c r="F56" s="1130" t="s">
        <v>44</v>
      </c>
      <c r="G56" s="983">
        <f>E56/1</f>
        <v>0.7142857142857143</v>
      </c>
      <c r="H56" s="221">
        <v>2058</v>
      </c>
      <c r="I56" s="279">
        <v>551</v>
      </c>
      <c r="J56" s="1007">
        <f>H56-I56</f>
        <v>1507</v>
      </c>
      <c r="K56" s="1132">
        <f>(0.5*I56)*(6/7)</f>
        <v>236.14285714285714</v>
      </c>
      <c r="L56" s="1067">
        <f t="shared" si="15"/>
        <v>787.14285714285711</v>
      </c>
      <c r="M56" s="989">
        <f>IF(K56&lt;&gt;0,J56/K56,"0%")</f>
        <v>6.3817301875378103</v>
      </c>
      <c r="N56" s="1698"/>
      <c r="O56" s="1761"/>
      <c r="P56" s="1635"/>
      <c r="Q56" s="1131" t="s">
        <v>101</v>
      </c>
      <c r="R56" s="270" t="s">
        <v>407</v>
      </c>
      <c r="S56" s="696" t="s">
        <v>408</v>
      </c>
    </row>
    <row r="57" spans="1:19" ht="22.8" customHeight="1" x14ac:dyDescent="0.45">
      <c r="A57" s="1617"/>
      <c r="B57" s="1619"/>
      <c r="C57" s="1685"/>
      <c r="D57" s="1690" t="s">
        <v>131</v>
      </c>
      <c r="E57" s="1692">
        <f t="shared" si="17"/>
        <v>0.7142857142857143</v>
      </c>
      <c r="F57" s="1130" t="s">
        <v>45</v>
      </c>
      <c r="G57" s="983">
        <f>$E$57/2</f>
        <v>0.35714285714285715</v>
      </c>
      <c r="H57" s="221">
        <v>74.3</v>
      </c>
      <c r="I57" s="279">
        <v>47.7</v>
      </c>
      <c r="J57" s="1007">
        <f t="shared" ref="J57:J58" si="18">H57-I57</f>
        <v>26.599999999999994</v>
      </c>
      <c r="K57" s="1133">
        <f>(1*I57)*(6/10)</f>
        <v>28.62</v>
      </c>
      <c r="L57" s="1067">
        <f t="shared" si="15"/>
        <v>76.320000000000007</v>
      </c>
      <c r="M57" s="989">
        <f>IF(K57&lt;&gt;0,J57/K57,"0%")</f>
        <v>0.92941998602375941</v>
      </c>
      <c r="N57" s="1698"/>
      <c r="O57" s="1761"/>
      <c r="P57" s="1635"/>
      <c r="Q57" s="1131" t="s">
        <v>180</v>
      </c>
      <c r="R57" s="277" t="s">
        <v>684</v>
      </c>
      <c r="S57" s="697" t="s">
        <v>685</v>
      </c>
    </row>
    <row r="58" spans="1:19" ht="15" customHeight="1" thickBot="1" x14ac:dyDescent="0.5">
      <c r="A58" s="1617"/>
      <c r="B58" s="1620"/>
      <c r="C58" s="1686"/>
      <c r="D58" s="1691"/>
      <c r="E58" s="1693"/>
      <c r="F58" s="943" t="s">
        <v>46</v>
      </c>
      <c r="G58" s="992">
        <f>$E$57/2</f>
        <v>0.35714285714285715</v>
      </c>
      <c r="H58" s="222">
        <v>2.4</v>
      </c>
      <c r="I58" s="280">
        <v>1.6</v>
      </c>
      <c r="J58" s="1013">
        <f t="shared" si="18"/>
        <v>0.79999999999999982</v>
      </c>
      <c r="K58" s="1107">
        <f>(1*I58)*(6/10)</f>
        <v>0.96</v>
      </c>
      <c r="L58" s="1134">
        <f t="shared" si="15"/>
        <v>2.56</v>
      </c>
      <c r="M58" s="950">
        <f>IF(K58&lt;&gt;0,J58/K58,"0%")</f>
        <v>0.83333333333333315</v>
      </c>
      <c r="N58" s="1699"/>
      <c r="O58" s="1762"/>
      <c r="P58" s="1631"/>
      <c r="Q58" s="1135" t="s">
        <v>95</v>
      </c>
      <c r="R58" s="266" t="s">
        <v>424</v>
      </c>
      <c r="S58" s="697" t="s">
        <v>430</v>
      </c>
    </row>
    <row r="59" spans="1:19" ht="23.45" customHeight="1" thickBot="1" x14ac:dyDescent="0.5">
      <c r="B59" s="1694" t="s">
        <v>47</v>
      </c>
      <c r="C59" s="1695"/>
      <c r="D59" s="1695"/>
      <c r="E59" s="1695"/>
      <c r="F59" s="1696"/>
      <c r="G59" s="1136"/>
      <c r="H59" s="1307"/>
      <c r="I59" s="1307"/>
      <c r="J59" s="1137"/>
      <c r="K59" s="1137"/>
      <c r="L59" s="1137"/>
      <c r="M59" s="1098"/>
      <c r="N59" s="911">
        <f>(N60+N67)/2</f>
        <v>0.8944785680076629</v>
      </c>
      <c r="O59" s="912">
        <f>(O60+O67)</f>
        <v>3.8349448229166674</v>
      </c>
      <c r="P59" s="913">
        <f>O59/7.142856</f>
        <v>0.53689236111111116</v>
      </c>
      <c r="Q59" s="1138"/>
      <c r="R59" s="219"/>
      <c r="S59" s="698"/>
    </row>
    <row r="60" spans="1:19" ht="22.25" customHeight="1" thickBot="1" x14ac:dyDescent="0.5">
      <c r="B60" s="1670" t="s">
        <v>48</v>
      </c>
      <c r="C60" s="1671"/>
      <c r="D60" s="1671"/>
      <c r="E60" s="1671"/>
      <c r="F60" s="1672"/>
      <c r="G60" s="996"/>
      <c r="H60" s="1306"/>
      <c r="I60" s="1306"/>
      <c r="J60" s="1016"/>
      <c r="K60" s="1017"/>
      <c r="L60" s="1017"/>
      <c r="M60" s="996"/>
      <c r="N60" s="911">
        <f>N61</f>
        <v>1.7151724137931035</v>
      </c>
      <c r="O60" s="912">
        <f>O61</f>
        <v>3.571428</v>
      </c>
      <c r="P60" s="913">
        <f>O60/3.571428</f>
        <v>1</v>
      </c>
      <c r="Q60" s="997"/>
      <c r="R60" s="17"/>
      <c r="S60" s="699"/>
    </row>
    <row r="61" spans="1:19" ht="39" customHeight="1" thickBot="1" x14ac:dyDescent="0.5">
      <c r="A61" s="1617">
        <v>16</v>
      </c>
      <c r="B61" s="1618" t="s">
        <v>49</v>
      </c>
      <c r="C61" s="1678">
        <f>M5</f>
        <v>3.5714285714285716</v>
      </c>
      <c r="D61" s="999" t="s">
        <v>133</v>
      </c>
      <c r="E61" s="931">
        <f>$C$61/4</f>
        <v>0.8928571428571429</v>
      </c>
      <c r="F61" s="999" t="s">
        <v>50</v>
      </c>
      <c r="G61" s="978">
        <f>E61/1</f>
        <v>0.8928571428571429</v>
      </c>
      <c r="H61" s="695"/>
      <c r="I61" s="1291"/>
      <c r="J61" s="1088">
        <f>IF(I61=H61,(H61-70),H61-I61)</f>
        <v>-70</v>
      </c>
      <c r="K61" s="980">
        <f>IF(I61&gt;=70,0,((70-I61)*(6/10)))</f>
        <v>42</v>
      </c>
      <c r="L61" s="1140">
        <f t="shared" ref="L61:L66" si="19">I61+K61</f>
        <v>42</v>
      </c>
      <c r="M61" s="989" t="str">
        <f>IF(K61&lt;&gt;0,"0%",J61/K61)</f>
        <v>0%</v>
      </c>
      <c r="N61" s="1627">
        <f>(((G61/C61)*M61)+((G62/C61)*M62)+((G63/C61)*M63)+((G64/C61)*M64)+((G65/C61)*M65)+((G66/C61)*M66))</f>
        <v>1.7151724137931035</v>
      </c>
      <c r="O61" s="1687">
        <f>IF((((G61/C61)*M61)+((G62/C61)*M62)+((G63/C61)*M63)+((G64/C61)*M64)+((G65/C61)*M65)+((G66/C61)*M66))&gt;=1,3.571428,IF((((G61/C61)*M61)+((G62/C61)*M62)+((G63/C61)*M63)+((G64/C61)*M64)+((G65/C61)*M65)+((G66/C61)*M66))&lt;=0,0,((((G61/C61)*M61)+((G62/C61)*M62)+((G63/C61)*M63)+((G64/C61)*M64)+((G65/C61)*M65)+((G66/C61)*M66))*3.571428)))</f>
        <v>3.571428</v>
      </c>
      <c r="P61" s="1630">
        <f>O61/3.571428</f>
        <v>1</v>
      </c>
      <c r="Q61" s="1063" t="s">
        <v>181</v>
      </c>
      <c r="R61" s="69"/>
      <c r="S61" s="692" t="s">
        <v>682</v>
      </c>
    </row>
    <row r="62" spans="1:19" ht="58.25" customHeight="1" x14ac:dyDescent="0.45">
      <c r="A62" s="1617"/>
      <c r="B62" s="1619"/>
      <c r="C62" s="1685"/>
      <c r="D62" s="1004" t="s">
        <v>134</v>
      </c>
      <c r="E62" s="1005">
        <f t="shared" ref="E62:E63" si="20">$C$61/4</f>
        <v>0.8928571428571429</v>
      </c>
      <c r="F62" s="1128" t="s">
        <v>276</v>
      </c>
      <c r="G62" s="983">
        <f>$E$62/1</f>
        <v>0.8928571428571429</v>
      </c>
      <c r="H62" s="221">
        <v>97.2</v>
      </c>
      <c r="I62" s="279">
        <v>20</v>
      </c>
      <c r="J62" s="1141">
        <f>IF(I62=H62,(H62-70),H62-I62)</f>
        <v>77.2</v>
      </c>
      <c r="K62" s="987">
        <f t="shared" ref="K62:K63" si="21">IF(I62&gt;=70,0,((70-I62)*(6/10)))</f>
        <v>30</v>
      </c>
      <c r="L62" s="1142">
        <f t="shared" si="19"/>
        <v>50</v>
      </c>
      <c r="M62" s="962">
        <f t="shared" ref="M62:M63" si="22">IF(I62&gt;=70,(1+(H62-70)/70),(J62/K62))</f>
        <v>2.5733333333333333</v>
      </c>
      <c r="N62" s="1628"/>
      <c r="O62" s="1761"/>
      <c r="P62" s="1635"/>
      <c r="Q62" s="1068" t="s">
        <v>182</v>
      </c>
      <c r="R62" s="277" t="s">
        <v>686</v>
      </c>
      <c r="S62" s="697" t="s">
        <v>687</v>
      </c>
    </row>
    <row r="63" spans="1:19" ht="26.45" customHeight="1" x14ac:dyDescent="0.45">
      <c r="A63" s="1617"/>
      <c r="B63" s="1619"/>
      <c r="C63" s="1685"/>
      <c r="D63" s="1004" t="s">
        <v>135</v>
      </c>
      <c r="E63" s="1005">
        <f t="shared" si="20"/>
        <v>0.8928571428571429</v>
      </c>
      <c r="F63" s="1004" t="s">
        <v>51</v>
      </c>
      <c r="G63" s="983">
        <f>E63/1</f>
        <v>0.8928571428571429</v>
      </c>
      <c r="H63" s="221">
        <v>98.2</v>
      </c>
      <c r="I63" s="279">
        <v>41</v>
      </c>
      <c r="J63" s="1141">
        <f>IF(I63=H63,(H63-70),H63-I63)</f>
        <v>57.2</v>
      </c>
      <c r="K63" s="987">
        <f t="shared" si="21"/>
        <v>17.399999999999999</v>
      </c>
      <c r="L63" s="1142">
        <f t="shared" si="19"/>
        <v>58.4</v>
      </c>
      <c r="M63" s="962">
        <f t="shared" si="22"/>
        <v>3.2873563218390811</v>
      </c>
      <c r="N63" s="1628"/>
      <c r="O63" s="1761"/>
      <c r="P63" s="1635"/>
      <c r="Q63" s="1068" t="s">
        <v>95</v>
      </c>
      <c r="R63" s="277" t="s">
        <v>686</v>
      </c>
      <c r="S63" s="697" t="s">
        <v>687</v>
      </c>
    </row>
    <row r="64" spans="1:19" ht="15" customHeight="1" thickBot="1" x14ac:dyDescent="0.5">
      <c r="A64" s="1617"/>
      <c r="B64" s="1619"/>
      <c r="C64" s="1685"/>
      <c r="D64" s="1625" t="s">
        <v>136</v>
      </c>
      <c r="E64" s="1688">
        <f>$C$61/4</f>
        <v>0.8928571428571429</v>
      </c>
      <c r="F64" s="1143" t="s">
        <v>52</v>
      </c>
      <c r="G64" s="1144">
        <f>$E$64/3</f>
        <v>0.29761904761904762</v>
      </c>
      <c r="H64" s="271">
        <v>100</v>
      </c>
      <c r="I64" s="272">
        <v>100</v>
      </c>
      <c r="J64" s="1145">
        <f t="shared" ref="J64:J66" si="23">H64-I64</f>
        <v>0</v>
      </c>
      <c r="K64" s="1146">
        <f>(100-I64)*(6/10)</f>
        <v>0</v>
      </c>
      <c r="L64" s="1142">
        <f t="shared" si="19"/>
        <v>100</v>
      </c>
      <c r="M64" s="989" t="str">
        <f t="shared" ref="M64:M66" si="24">IF(K64&lt;&gt;0,J64/K64,"100%")</f>
        <v>100%</v>
      </c>
      <c r="N64" s="1628"/>
      <c r="O64" s="1761"/>
      <c r="P64" s="1635"/>
      <c r="Q64" s="1068" t="s">
        <v>95</v>
      </c>
      <c r="R64" s="170"/>
      <c r="S64" s="700" t="s">
        <v>544</v>
      </c>
    </row>
    <row r="65" spans="1:19" ht="26.65" thickBot="1" x14ac:dyDescent="0.5">
      <c r="A65" s="1617"/>
      <c r="B65" s="1619"/>
      <c r="C65" s="1685"/>
      <c r="D65" s="1625"/>
      <c r="E65" s="1688"/>
      <c r="F65" s="1143" t="s">
        <v>53</v>
      </c>
      <c r="G65" s="1144">
        <f t="shared" ref="G65:G66" si="25">$E$64/3</f>
        <v>0.29761904761904762</v>
      </c>
      <c r="H65" s="271">
        <v>100</v>
      </c>
      <c r="I65" s="272">
        <v>100</v>
      </c>
      <c r="J65" s="1145">
        <f t="shared" si="23"/>
        <v>0</v>
      </c>
      <c r="K65" s="1146">
        <f>(100-I65)*(6/10)</f>
        <v>0</v>
      </c>
      <c r="L65" s="1142">
        <f t="shared" si="19"/>
        <v>100</v>
      </c>
      <c r="M65" s="989" t="str">
        <f t="shared" si="24"/>
        <v>100%</v>
      </c>
      <c r="N65" s="1628"/>
      <c r="O65" s="1761"/>
      <c r="P65" s="1635"/>
      <c r="Q65" s="1068" t="s">
        <v>95</v>
      </c>
      <c r="R65" s="171"/>
      <c r="S65" s="700" t="s">
        <v>544</v>
      </c>
    </row>
    <row r="66" spans="1:19" ht="27.6" customHeight="1" thickBot="1" x14ac:dyDescent="0.5">
      <c r="A66" s="1617"/>
      <c r="B66" s="1620"/>
      <c r="C66" s="1686"/>
      <c r="D66" s="1626"/>
      <c r="E66" s="1689"/>
      <c r="F66" s="1147" t="s">
        <v>54</v>
      </c>
      <c r="G66" s="1148">
        <f t="shared" si="25"/>
        <v>0.29761904761904762</v>
      </c>
      <c r="H66" s="274">
        <v>100</v>
      </c>
      <c r="I66" s="275">
        <v>100</v>
      </c>
      <c r="J66" s="1149">
        <f t="shared" si="23"/>
        <v>0</v>
      </c>
      <c r="K66" s="1150">
        <f>(100-I66)*(6/10)</f>
        <v>0</v>
      </c>
      <c r="L66" s="1151">
        <f t="shared" si="19"/>
        <v>100</v>
      </c>
      <c r="M66" s="950" t="str">
        <f t="shared" si="24"/>
        <v>100%</v>
      </c>
      <c r="N66" s="1629"/>
      <c r="O66" s="1762"/>
      <c r="P66" s="1631"/>
      <c r="Q66" s="1152" t="s">
        <v>95</v>
      </c>
      <c r="R66" s="162"/>
      <c r="S66" s="701"/>
    </row>
    <row r="67" spans="1:19" ht="27" customHeight="1" thickBot="1" x14ac:dyDescent="0.5">
      <c r="B67" s="1614" t="s">
        <v>55</v>
      </c>
      <c r="C67" s="1615"/>
      <c r="D67" s="1615"/>
      <c r="E67" s="1615"/>
      <c r="F67" s="1616"/>
      <c r="G67" s="1084"/>
      <c r="H67" s="1308"/>
      <c r="I67" s="1308"/>
      <c r="J67" s="1084"/>
      <c r="K67" s="1085"/>
      <c r="L67" s="1085"/>
      <c r="M67" s="996"/>
      <c r="N67" s="911">
        <f>N68</f>
        <v>7.3784722222222349E-2</v>
      </c>
      <c r="O67" s="912">
        <f>O68</f>
        <v>0.26351682291666711</v>
      </c>
      <c r="P67" s="913">
        <f>O67/3.571428</f>
        <v>7.3784722222222349E-2</v>
      </c>
      <c r="Q67" s="1153"/>
      <c r="R67" s="924"/>
      <c r="S67" s="1309"/>
    </row>
    <row r="68" spans="1:19" ht="58.5" thickBot="1" x14ac:dyDescent="0.5">
      <c r="A68" s="22">
        <v>17</v>
      </c>
      <c r="B68" s="1154" t="s">
        <v>56</v>
      </c>
      <c r="C68" s="1155">
        <f>M5</f>
        <v>3.5714285714285716</v>
      </c>
      <c r="D68" s="1154" t="s">
        <v>137</v>
      </c>
      <c r="E68" s="1155">
        <f>C68</f>
        <v>3.5714285714285716</v>
      </c>
      <c r="F68" s="1154" t="s">
        <v>57</v>
      </c>
      <c r="G68" s="1156">
        <f>E68/1</f>
        <v>3.5714285714285716</v>
      </c>
      <c r="H68" s="1296">
        <v>29.9</v>
      </c>
      <c r="I68" s="1297">
        <v>31.6</v>
      </c>
      <c r="J68" s="1157">
        <f>IF(I68=H68,(H68-70),I68-H68)</f>
        <v>1.7000000000000028</v>
      </c>
      <c r="K68" s="1051">
        <f t="shared" ref="K68" si="26">IF(I68&gt;=70,0,((70-I68)*(6/10)))</f>
        <v>23.04</v>
      </c>
      <c r="L68" s="1158">
        <f>I68-K68</f>
        <v>8.5600000000000023</v>
      </c>
      <c r="M68" s="1039">
        <f t="shared" ref="M68" si="27">IF(I68&gt;=70,(1+(H68-70)/70),(J68/K68))</f>
        <v>7.3784722222222349E-2</v>
      </c>
      <c r="N68" s="1159">
        <f>((G68/C68)*M68)</f>
        <v>7.3784722222222349E-2</v>
      </c>
      <c r="O68" s="1041">
        <f>IF(((G68/C68)*M68)&gt;=1,3.571428,IF(((G68/C68)*M68)&lt;=0,0,((G68/C68)*M68)*3.571428))</f>
        <v>0.26351682291666711</v>
      </c>
      <c r="P68" s="913">
        <f>O68/3.571428</f>
        <v>7.3784722222222349E-2</v>
      </c>
      <c r="Q68" s="1160" t="s">
        <v>132</v>
      </c>
      <c r="R68" s="277" t="s">
        <v>431</v>
      </c>
      <c r="S68" s="697" t="s">
        <v>427</v>
      </c>
    </row>
    <row r="69" spans="1:19" ht="22.25" customHeight="1" thickBot="1" x14ac:dyDescent="0.5">
      <c r="B69" s="1563" t="s">
        <v>58</v>
      </c>
      <c r="C69" s="1564"/>
      <c r="D69" s="1564"/>
      <c r="E69" s="1564"/>
      <c r="F69" s="1565"/>
      <c r="G69" s="223"/>
      <c r="H69" s="285"/>
      <c r="I69" s="286"/>
      <c r="J69" s="224"/>
      <c r="K69" s="92"/>
      <c r="L69" s="92"/>
      <c r="M69" s="1161"/>
      <c r="N69" s="911">
        <f>(N70+N72+N74)/3</f>
        <v>0.33333333333333331</v>
      </c>
      <c r="O69" s="912">
        <f>(O70+O72+O74)</f>
        <v>3.571428</v>
      </c>
      <c r="P69" s="913">
        <f>O69/10.714284</f>
        <v>0.33333333333333337</v>
      </c>
      <c r="Q69" s="886"/>
      <c r="R69" s="12"/>
      <c r="S69" s="702"/>
    </row>
    <row r="70" spans="1:19" ht="20.45" customHeight="1" thickBot="1" x14ac:dyDescent="0.5">
      <c r="B70" s="1670" t="s">
        <v>59</v>
      </c>
      <c r="C70" s="1671"/>
      <c r="D70" s="1671"/>
      <c r="E70" s="1671"/>
      <c r="F70" s="1672"/>
      <c r="G70" s="996"/>
      <c r="H70" s="1298"/>
      <c r="I70" s="1299"/>
      <c r="J70" s="997"/>
      <c r="K70" s="997"/>
      <c r="L70" s="997"/>
      <c r="M70" s="1162"/>
      <c r="N70" s="911">
        <f>N71</f>
        <v>0</v>
      </c>
      <c r="O70" s="912">
        <f>O71</f>
        <v>0</v>
      </c>
      <c r="P70" s="913">
        <f t="shared" ref="P70:P78" si="28">O70/3.571428</f>
        <v>0</v>
      </c>
      <c r="Q70" s="1123"/>
      <c r="R70" s="1310"/>
      <c r="S70" s="1309"/>
    </row>
    <row r="71" spans="1:19" ht="52.25" customHeight="1" thickBot="1" x14ac:dyDescent="0.5">
      <c r="A71" s="22">
        <v>18</v>
      </c>
      <c r="B71" s="1163" t="s">
        <v>60</v>
      </c>
      <c r="C71" s="1164">
        <f>M5</f>
        <v>3.5714285714285716</v>
      </c>
      <c r="D71" s="1165" t="s">
        <v>138</v>
      </c>
      <c r="E71" s="1166">
        <f>C71</f>
        <v>3.5714285714285716</v>
      </c>
      <c r="F71" s="1167" t="s">
        <v>61</v>
      </c>
      <c r="G71" s="1168">
        <f>E71/1</f>
        <v>3.5714285714285716</v>
      </c>
      <c r="H71" s="213"/>
      <c r="I71" s="1297"/>
      <c r="J71" s="1169">
        <f>I71-H71</f>
        <v>0</v>
      </c>
      <c r="K71" s="1048">
        <f>(0.5*I71)*0.6</f>
        <v>0</v>
      </c>
      <c r="L71" s="1158">
        <f>I71-K71</f>
        <v>0</v>
      </c>
      <c r="M71" s="989" t="str">
        <f>IF(K71=0,"0%",J71/K71)</f>
        <v>0%</v>
      </c>
      <c r="N71" s="1159">
        <f>((G71/C71)*M71)</f>
        <v>0</v>
      </c>
      <c r="O71" s="1041">
        <f>IF(((G71/C71)*M71)&gt;=1,3.571428,IF(((G71/C71)*M71)&lt;=0,0,((G71/C71)*M71)*3.571428))</f>
        <v>0</v>
      </c>
      <c r="P71" s="913">
        <f t="shared" si="28"/>
        <v>0</v>
      </c>
      <c r="Q71" s="1170" t="s">
        <v>183</v>
      </c>
      <c r="R71" s="24"/>
      <c r="S71" s="692" t="s">
        <v>682</v>
      </c>
    </row>
    <row r="72" spans="1:19" ht="20.45" customHeight="1" thickBot="1" x14ac:dyDescent="0.5">
      <c r="B72" s="1679" t="s">
        <v>277</v>
      </c>
      <c r="C72" s="1680"/>
      <c r="D72" s="1680"/>
      <c r="E72" s="1680"/>
      <c r="F72" s="1681"/>
      <c r="G72" s="1054"/>
      <c r="H72" s="1298"/>
      <c r="I72" s="1302"/>
      <c r="J72" s="1055"/>
      <c r="K72" s="1056"/>
      <c r="L72" s="1056"/>
      <c r="M72" s="1057"/>
      <c r="N72" s="911">
        <f>N73</f>
        <v>0</v>
      </c>
      <c r="O72" s="912">
        <f>O73</f>
        <v>0</v>
      </c>
      <c r="P72" s="913">
        <f t="shared" si="28"/>
        <v>0</v>
      </c>
      <c r="Q72" s="1171"/>
      <c r="R72" s="1310"/>
      <c r="S72" s="1311"/>
    </row>
    <row r="73" spans="1:19" ht="45" customHeight="1" thickBot="1" x14ac:dyDescent="0.5">
      <c r="A73" s="22">
        <v>19</v>
      </c>
      <c r="B73" s="1172" t="s">
        <v>62</v>
      </c>
      <c r="C73" s="1173">
        <f>M5</f>
        <v>3.5714285714285716</v>
      </c>
      <c r="D73" s="1174" t="s">
        <v>139</v>
      </c>
      <c r="E73" s="1173">
        <f>C73</f>
        <v>3.5714285714285716</v>
      </c>
      <c r="F73" s="1175" t="s">
        <v>63</v>
      </c>
      <c r="G73" s="1176">
        <f>E73/1</f>
        <v>3.5714285714285716</v>
      </c>
      <c r="H73" s="472"/>
      <c r="I73" s="511"/>
      <c r="J73" s="1177">
        <f>I73-H73</f>
        <v>0</v>
      </c>
      <c r="K73" s="1178">
        <f>IF(H73&gt;0,(H73),I73)</f>
        <v>0</v>
      </c>
      <c r="L73" s="1179">
        <f>I73-K73</f>
        <v>0</v>
      </c>
      <c r="M73" s="989" t="str">
        <f>IF(K73=0,"0%",J73/K73)</f>
        <v>0%</v>
      </c>
      <c r="N73" s="1159">
        <f>((G73/C73)*M73)</f>
        <v>0</v>
      </c>
      <c r="O73" s="1041">
        <f>IF(((G73/C73)*M73)&gt;=1,3.571428,IF(((G73/C73)*M73)&lt;=0,0,((G73/C73)*M73)*3.571428))</f>
        <v>0</v>
      </c>
      <c r="P73" s="913">
        <f t="shared" si="28"/>
        <v>0</v>
      </c>
      <c r="Q73" s="1180" t="s">
        <v>95</v>
      </c>
      <c r="R73" s="24"/>
      <c r="S73" s="692" t="s">
        <v>797</v>
      </c>
    </row>
    <row r="74" spans="1:19" ht="30.6" customHeight="1" thickBot="1" x14ac:dyDescent="0.5">
      <c r="B74" s="1670" t="s">
        <v>64</v>
      </c>
      <c r="C74" s="1671"/>
      <c r="D74" s="1671"/>
      <c r="E74" s="1671"/>
      <c r="F74" s="1672"/>
      <c r="G74" s="997"/>
      <c r="H74" s="1298"/>
      <c r="I74" s="1299"/>
      <c r="J74" s="997"/>
      <c r="K74" s="997"/>
      <c r="L74" s="997"/>
      <c r="M74" s="996"/>
      <c r="N74" s="911">
        <f>N75</f>
        <v>1</v>
      </c>
      <c r="O74" s="912">
        <f>O75</f>
        <v>3.571428</v>
      </c>
      <c r="P74" s="913">
        <f t="shared" si="28"/>
        <v>1</v>
      </c>
      <c r="Q74" s="1123"/>
      <c r="R74" s="18"/>
      <c r="S74" s="703"/>
    </row>
    <row r="75" spans="1:19" ht="29.45" customHeight="1" thickBot="1" x14ac:dyDescent="0.5">
      <c r="A75" s="22">
        <v>20</v>
      </c>
      <c r="B75" s="1172" t="s">
        <v>65</v>
      </c>
      <c r="C75" s="1035">
        <f>M5</f>
        <v>3.5714285714285716</v>
      </c>
      <c r="D75" s="1165" t="s">
        <v>140</v>
      </c>
      <c r="E75" s="1181">
        <f>C75</f>
        <v>3.5714285714285716</v>
      </c>
      <c r="F75" s="1174" t="s">
        <v>66</v>
      </c>
      <c r="G75" s="1168">
        <f>E75/1</f>
        <v>3.5714285714285716</v>
      </c>
      <c r="H75" s="1312">
        <v>1</v>
      </c>
      <c r="I75" s="1297">
        <v>1</v>
      </c>
      <c r="J75" s="1119">
        <f>H75-I75</f>
        <v>0</v>
      </c>
      <c r="K75" s="1120">
        <f>IF(AND(H75=0,I75=1)," 1",(H75-I75))</f>
        <v>0</v>
      </c>
      <c r="L75" s="1182">
        <f>I75+K75</f>
        <v>1</v>
      </c>
      <c r="M75" s="1183">
        <f>(IF(I75=1,1,(J75/K75)))</f>
        <v>1</v>
      </c>
      <c r="N75" s="1159">
        <f>((G75/C75)*M75)</f>
        <v>1</v>
      </c>
      <c r="O75" s="1041">
        <f>IF(((G75/C75)*M75)&gt;=1,3.571428,IF(((G75/C75)*M75)&lt;=0,0,((G75/C75)*M75)*3.571428))</f>
        <v>3.571428</v>
      </c>
      <c r="P75" s="913">
        <f t="shared" si="28"/>
        <v>1</v>
      </c>
      <c r="Q75" s="1184" t="s">
        <v>95</v>
      </c>
      <c r="R75" s="82"/>
      <c r="S75" s="692"/>
    </row>
    <row r="76" spans="1:19" ht="20.45" customHeight="1" thickBot="1" x14ac:dyDescent="0.5">
      <c r="B76" s="1682" t="s">
        <v>67</v>
      </c>
      <c r="C76" s="1683"/>
      <c r="D76" s="1683"/>
      <c r="E76" s="1683"/>
      <c r="F76" s="1684"/>
      <c r="G76" s="1185"/>
      <c r="H76" s="1313"/>
      <c r="I76" s="1314"/>
      <c r="J76" s="1186"/>
      <c r="K76" s="885"/>
      <c r="L76" s="885"/>
      <c r="M76" s="1185"/>
      <c r="N76" s="911">
        <f t="shared" ref="N76:O77" si="29">N77</f>
        <v>0</v>
      </c>
      <c r="O76" s="912">
        <f t="shared" si="29"/>
        <v>0</v>
      </c>
      <c r="P76" s="913">
        <f t="shared" si="28"/>
        <v>0</v>
      </c>
      <c r="Q76" s="1187"/>
      <c r="R76" s="23"/>
      <c r="S76" s="692"/>
    </row>
    <row r="77" spans="1:19" ht="20.45" customHeight="1" thickBot="1" x14ac:dyDescent="0.5">
      <c r="B77" s="1670" t="s">
        <v>68</v>
      </c>
      <c r="C77" s="1671"/>
      <c r="D77" s="1671"/>
      <c r="E77" s="1671"/>
      <c r="F77" s="1672"/>
      <c r="G77" s="996"/>
      <c r="H77" s="1298"/>
      <c r="I77" s="1299"/>
      <c r="J77" s="1016"/>
      <c r="K77" s="1017"/>
      <c r="L77" s="1017"/>
      <c r="M77" s="998"/>
      <c r="N77" s="911">
        <f t="shared" si="29"/>
        <v>0</v>
      </c>
      <c r="O77" s="912">
        <f t="shared" si="29"/>
        <v>0</v>
      </c>
      <c r="P77" s="913">
        <f t="shared" si="28"/>
        <v>0</v>
      </c>
      <c r="Q77" s="1123"/>
      <c r="R77" s="18"/>
      <c r="S77" s="693"/>
    </row>
    <row r="78" spans="1:19" ht="35.25" thickBot="1" x14ac:dyDescent="0.5">
      <c r="A78" s="22">
        <v>21</v>
      </c>
      <c r="B78" s="1172" t="s">
        <v>69</v>
      </c>
      <c r="C78" s="1181">
        <f>M5</f>
        <v>3.5714285714285716</v>
      </c>
      <c r="D78" s="1188" t="s">
        <v>141</v>
      </c>
      <c r="E78" s="1181">
        <f>C78</f>
        <v>3.5714285714285716</v>
      </c>
      <c r="F78" s="1188" t="s">
        <v>70</v>
      </c>
      <c r="G78" s="1155">
        <f>E78/1</f>
        <v>3.5714285714285716</v>
      </c>
      <c r="H78" s="213"/>
      <c r="I78" s="1297"/>
      <c r="J78" s="1157">
        <f>IF(I78=H78,(H78-60),H78-I78)</f>
        <v>-60</v>
      </c>
      <c r="K78" s="1051">
        <f>IF(I78&gt;=60,0,((60-I78)*(6/10)))</f>
        <v>36</v>
      </c>
      <c r="L78" s="1158">
        <f t="shared" ref="L78" si="30">K78+I78</f>
        <v>36</v>
      </c>
      <c r="M78" s="1039">
        <f>IF(I78&gt;=60,(1+(H78-60)/60),(H78/L78))</f>
        <v>0</v>
      </c>
      <c r="N78" s="1159">
        <f>((G78/C78)*M78)</f>
        <v>0</v>
      </c>
      <c r="O78" s="1041">
        <f>IF(((G78/C78)*M78)&gt;=1,3.571428,IF(((G78/C78)*M78)&lt;=0,0,((G78/C78)*M78)*3.571428))</f>
        <v>0</v>
      </c>
      <c r="P78" s="913">
        <f t="shared" si="28"/>
        <v>0</v>
      </c>
      <c r="Q78" s="1189" t="s">
        <v>95</v>
      </c>
      <c r="R78" s="24"/>
      <c r="S78" s="692" t="s">
        <v>682</v>
      </c>
    </row>
    <row r="79" spans="1:19" ht="21.6" customHeight="1" thickBot="1" x14ac:dyDescent="0.5">
      <c r="B79" s="1673" t="s">
        <v>71</v>
      </c>
      <c r="C79" s="1674"/>
      <c r="D79" s="1674"/>
      <c r="E79" s="1674"/>
      <c r="F79" s="1675"/>
      <c r="G79" s="1185"/>
      <c r="H79" s="1313"/>
      <c r="I79" s="1314"/>
      <c r="J79" s="1190"/>
      <c r="K79" s="1191"/>
      <c r="L79" s="1191"/>
      <c r="M79" s="1185"/>
      <c r="N79" s="911">
        <f>(N80+N86)/2</f>
        <v>0.27475405873845266</v>
      </c>
      <c r="O79" s="912">
        <f>(O80+O86)</f>
        <v>3.4910127057117921</v>
      </c>
      <c r="P79" s="913">
        <f>O79/10.714284</f>
        <v>0.32582790466556538</v>
      </c>
      <c r="Q79" s="1187"/>
      <c r="R79" s="23"/>
      <c r="S79" s="692"/>
    </row>
    <row r="80" spans="1:19" ht="20.45" customHeight="1" thickBot="1" x14ac:dyDescent="0.5">
      <c r="B80" s="1614" t="s">
        <v>72</v>
      </c>
      <c r="C80" s="1615"/>
      <c r="D80" s="1615"/>
      <c r="E80" s="1615"/>
      <c r="F80" s="1616"/>
      <c r="G80" s="1018"/>
      <c r="H80" s="1315"/>
      <c r="I80" s="1316"/>
      <c r="J80" s="997"/>
      <c r="K80" s="997"/>
      <c r="L80" s="997"/>
      <c r="M80" s="1018"/>
      <c r="N80" s="911">
        <f>(N81+N83)/2</f>
        <v>0.42797559651979067</v>
      </c>
      <c r="O80" s="912">
        <f>(O81+O83)</f>
        <v>3.056968057454966</v>
      </c>
      <c r="P80" s="913">
        <f>O80/7.142856</f>
        <v>0.42797559651979067</v>
      </c>
      <c r="Q80" s="1192"/>
      <c r="R80" s="17"/>
      <c r="S80" s="699"/>
    </row>
    <row r="81" spans="1:19" ht="46.9" thickBot="1" x14ac:dyDescent="0.5">
      <c r="A81" s="22"/>
      <c r="B81" s="1676" t="s">
        <v>73</v>
      </c>
      <c r="C81" s="1678">
        <f>M5</f>
        <v>3.5714285714285716</v>
      </c>
      <c r="D81" s="999" t="s">
        <v>267</v>
      </c>
      <c r="E81" s="931">
        <f>$C$81/2</f>
        <v>1.7857142857142858</v>
      </c>
      <c r="F81" s="1124" t="s">
        <v>278</v>
      </c>
      <c r="G81" s="978">
        <f>E81/1</f>
        <v>1.7857142857142858</v>
      </c>
      <c r="H81" s="695"/>
      <c r="I81" s="1291"/>
      <c r="J81" s="1088">
        <f>IF(I81=H81,(H81-50),H81-I81)</f>
        <v>-50</v>
      </c>
      <c r="K81" s="980">
        <f>IF(I81&gt;=50,0,((50-I81)*(6/10)))</f>
        <v>30</v>
      </c>
      <c r="L81" s="1193">
        <f>I81+K81</f>
        <v>30</v>
      </c>
      <c r="M81" s="989" t="str">
        <f>IF(K81=0,J81/K81,"0%")</f>
        <v>0%</v>
      </c>
      <c r="N81" s="1627">
        <f>(((G81/C81)*M81)+((G82/C81)*M82))</f>
        <v>0.29029462738301565</v>
      </c>
      <c r="O81" s="1723">
        <f>IF((((G81/C81)*M81)+((G82/C81)*M82))&gt;=1,3.57148,IF((((G81/C81)*M81)+((G82/C81)*M82))&lt;=0,0, (((G81/C81)*M81)+((G82/C81)*M82))*3.571428))</f>
        <v>1.0367663604852688</v>
      </c>
      <c r="P81" s="1630">
        <f>O81/3.571428</f>
        <v>0.29029462738301565</v>
      </c>
      <c r="Q81" s="1194" t="s">
        <v>279</v>
      </c>
      <c r="R81" s="287"/>
      <c r="S81" s="692" t="s">
        <v>682</v>
      </c>
    </row>
    <row r="82" spans="1:19" ht="39.6" customHeight="1" thickBot="1" x14ac:dyDescent="0.5">
      <c r="A82" s="22"/>
      <c r="B82" s="1677"/>
      <c r="C82" s="1575"/>
      <c r="D82" s="1024" t="s">
        <v>268</v>
      </c>
      <c r="E82" s="944">
        <f>$C$81/2</f>
        <v>1.7857142857142858</v>
      </c>
      <c r="F82" s="1025" t="s">
        <v>74</v>
      </c>
      <c r="G82" s="992">
        <f>E82/1</f>
        <v>1.7857142857142858</v>
      </c>
      <c r="H82" s="222">
        <v>13.4</v>
      </c>
      <c r="I82" s="280">
        <v>12.7</v>
      </c>
      <c r="J82" s="1195">
        <f>IF(I82=H82,(H82-30),H82-I82)</f>
        <v>0.70000000000000107</v>
      </c>
      <c r="K82" s="994">
        <f>IF(I82&gt;=30,0,((30-I82)*(6/10)))</f>
        <v>10.38</v>
      </c>
      <c r="L82" s="1196">
        <f t="shared" ref="L82" si="31">K82+I82</f>
        <v>23.08</v>
      </c>
      <c r="M82" s="950">
        <f>IF(I82&gt;=30,(1+(H82-30)/30),(H82/L82))</f>
        <v>0.58058925476603129</v>
      </c>
      <c r="N82" s="1629"/>
      <c r="O82" s="1760"/>
      <c r="P82" s="1631"/>
      <c r="Q82" s="1197" t="s">
        <v>282</v>
      </c>
      <c r="R82" s="288" t="s">
        <v>432</v>
      </c>
      <c r="S82" s="704" t="s">
        <v>433</v>
      </c>
    </row>
    <row r="83" spans="1:19" ht="60" customHeight="1" thickBot="1" x14ac:dyDescent="0.5">
      <c r="A83" s="22"/>
      <c r="B83" s="1660" t="s">
        <v>142</v>
      </c>
      <c r="C83" s="1662">
        <f>M5</f>
        <v>3.5714285714285716</v>
      </c>
      <c r="D83" s="1198" t="s">
        <v>145</v>
      </c>
      <c r="E83" s="931">
        <f>$C$81/3</f>
        <v>1.1904761904761905</v>
      </c>
      <c r="F83" s="999" t="s">
        <v>143</v>
      </c>
      <c r="G83" s="931">
        <f>E83/1</f>
        <v>1.1904761904761905</v>
      </c>
      <c r="H83" s="705"/>
      <c r="I83" s="1317"/>
      <c r="J83" s="1199">
        <f>I83-H83</f>
        <v>0</v>
      </c>
      <c r="K83" s="1077">
        <f>(0.2*I83)*(6/10)</f>
        <v>0</v>
      </c>
      <c r="L83" s="1200">
        <f>I83-K83</f>
        <v>0</v>
      </c>
      <c r="M83" s="935" t="str">
        <f>IF(K83&lt;&gt;0,J83/K83,"0%")</f>
        <v>0%</v>
      </c>
      <c r="N83" s="1665">
        <f>(((G83/C83)*M83)+((G84/C83)*M84)+((G85/C83)*M85))</f>
        <v>0.56565656565656575</v>
      </c>
      <c r="O83" s="1632">
        <f>IF((((G83/C83)*M83)+((G84/C83)*M84)+((G85/C83)*M85))&gt;=1,3.571428,IF((((G83/C83)*M83)+((G84/C83)*M84)+((G85/C83)*M85))&lt;=0,0,(((G83/C83)*M83)+((G84/C83)*M84)+((G85/C83)*M85))*3.571428))</f>
        <v>2.0202016969696972</v>
      </c>
      <c r="P83" s="1630">
        <f>O83/3.571428</f>
        <v>0.56565656565656575</v>
      </c>
      <c r="Q83" s="1201" t="s">
        <v>184</v>
      </c>
      <c r="R83" s="289"/>
      <c r="S83" s="692" t="s">
        <v>688</v>
      </c>
    </row>
    <row r="84" spans="1:19" ht="45" customHeight="1" thickBot="1" x14ac:dyDescent="0.5">
      <c r="A84" s="22"/>
      <c r="B84" s="1660"/>
      <c r="C84" s="1663"/>
      <c r="D84" s="1202" t="s">
        <v>146</v>
      </c>
      <c r="E84" s="1005">
        <f t="shared" ref="E84:E85" si="32">$C$81/3</f>
        <v>1.1904761904761905</v>
      </c>
      <c r="F84" s="1128" t="s">
        <v>283</v>
      </c>
      <c r="G84" s="1005">
        <f>E84/1</f>
        <v>1.1904761904761905</v>
      </c>
      <c r="H84" s="271">
        <v>2.4</v>
      </c>
      <c r="I84" s="272">
        <v>4</v>
      </c>
      <c r="J84" s="1203">
        <f>I84-H84</f>
        <v>1.6</v>
      </c>
      <c r="K84" s="1077">
        <f>(0.5*I84)*(6/10)</f>
        <v>1.2</v>
      </c>
      <c r="L84" s="1204">
        <f>I84-K84</f>
        <v>2.8</v>
      </c>
      <c r="M84" s="971">
        <f>IF(H84&lt;=0,100%, IF(K84&lt;&gt;0,J84/K84,"0%"))</f>
        <v>1.3333333333333335</v>
      </c>
      <c r="N84" s="1666"/>
      <c r="O84" s="1758"/>
      <c r="P84" s="1635"/>
      <c r="Q84" s="1205" t="s">
        <v>185</v>
      </c>
      <c r="R84" s="290" t="s">
        <v>434</v>
      </c>
      <c r="S84" s="700" t="s">
        <v>435</v>
      </c>
    </row>
    <row r="85" spans="1:19" ht="38.450000000000003" customHeight="1" thickBot="1" x14ac:dyDescent="0.5">
      <c r="A85" s="22"/>
      <c r="B85" s="1661"/>
      <c r="C85" s="1664"/>
      <c r="D85" s="1206" t="s">
        <v>147</v>
      </c>
      <c r="E85" s="944">
        <f t="shared" si="32"/>
        <v>1.1904761904761905</v>
      </c>
      <c r="F85" s="1025" t="s">
        <v>144</v>
      </c>
      <c r="G85" s="944">
        <f>E85/1</f>
        <v>1.1904761904761905</v>
      </c>
      <c r="H85" s="222">
        <v>57</v>
      </c>
      <c r="I85" s="280">
        <v>45</v>
      </c>
      <c r="J85" s="1207">
        <f>H85-I85</f>
        <v>12</v>
      </c>
      <c r="K85" s="1208">
        <f>(100-I85)*(6/10)</f>
        <v>33</v>
      </c>
      <c r="L85" s="1209">
        <f>I85+K85</f>
        <v>78</v>
      </c>
      <c r="M85" s="971">
        <f>IF(H85&gt;=100,167%, IF(K85&lt;&gt;0,J85/K85,"0%"))</f>
        <v>0.36363636363636365</v>
      </c>
      <c r="N85" s="1667"/>
      <c r="O85" s="1759"/>
      <c r="P85" s="1631"/>
      <c r="Q85" s="1210" t="s">
        <v>284</v>
      </c>
      <c r="R85" s="290" t="s">
        <v>434</v>
      </c>
      <c r="S85" s="700" t="s">
        <v>435</v>
      </c>
    </row>
    <row r="86" spans="1:19" ht="20.45" customHeight="1" thickBot="1" x14ac:dyDescent="0.5">
      <c r="B86" s="1648" t="s">
        <v>75</v>
      </c>
      <c r="C86" s="1649"/>
      <c r="D86" s="1649"/>
      <c r="E86" s="1649"/>
      <c r="F86" s="1650"/>
      <c r="G86" s="1162"/>
      <c r="H86" s="1318"/>
      <c r="I86" s="1319"/>
      <c r="J86" s="1211"/>
      <c r="K86" s="1212"/>
      <c r="L86" s="1212"/>
      <c r="M86" s="1018"/>
      <c r="N86" s="911">
        <f>N87</f>
        <v>0.12153252095711461</v>
      </c>
      <c r="O86" s="912">
        <f>O87</f>
        <v>0.43404464825682593</v>
      </c>
      <c r="P86" s="913">
        <f>O86/3.571428</f>
        <v>0.12153252095711461</v>
      </c>
      <c r="Q86" s="1085"/>
      <c r="R86" s="18"/>
      <c r="S86" s="693"/>
    </row>
    <row r="87" spans="1:19" ht="27.6" customHeight="1" x14ac:dyDescent="0.45">
      <c r="A87" s="1651">
        <v>24</v>
      </c>
      <c r="B87" s="1652" t="s">
        <v>76</v>
      </c>
      <c r="C87" s="1654">
        <f>M5</f>
        <v>3.5714285714285716</v>
      </c>
      <c r="D87" s="1073" t="s">
        <v>159</v>
      </c>
      <c r="E87" s="1074">
        <f>($C$87/3)</f>
        <v>1.1904761904761905</v>
      </c>
      <c r="F87" s="1213" t="s">
        <v>285</v>
      </c>
      <c r="G87" s="1214">
        <f>E87/1</f>
        <v>1.1904761904761905</v>
      </c>
      <c r="H87" s="1290">
        <v>26.4</v>
      </c>
      <c r="I87" s="1291">
        <v>24.7</v>
      </c>
      <c r="J87" s="1215">
        <f>I87-H87</f>
        <v>-1.6999999999999993</v>
      </c>
      <c r="K87" s="1216">
        <f>(0.25*I87)*(6/10)</f>
        <v>3.7049999999999996</v>
      </c>
      <c r="L87" s="1217">
        <f>I87-K87</f>
        <v>20.995000000000001</v>
      </c>
      <c r="M87" s="935">
        <f>IF(K87&lt;&gt;0,J87/K87,"0%")</f>
        <v>-0.45883940620782709</v>
      </c>
      <c r="N87" s="1657">
        <f>(((G87/C87)*M87)+((G88/C87)*M88)+((G89/C87)*M89)+((G90/C87)*M90)+((G91/C87)*M91))</f>
        <v>0.12153252095711461</v>
      </c>
      <c r="O87" s="1632">
        <f>IF((((G87/C87)*M87)+((G88/C87)*M88)+((G89/C87)*M89)+((G90/C87)*M90)+((G91/C87)*M91))&gt;=1,3.571428,IF((((G87/C87)*M87)+((G88/C87)*M88)+((G89/C87)*M89)+((G90/C87)*M90)+((G91/C87)*M91))&lt;=0,0,((((G87/C87)*M87)+((G88/C87)*M88)+((G89/C87)*M89)+((G90/C87)*M90)+((G91/C87)*M91))*3.571428)))</f>
        <v>0.43404464825682593</v>
      </c>
      <c r="P87" s="1630">
        <f>O87/3.571428</f>
        <v>0.12153252095711461</v>
      </c>
      <c r="Q87" s="1218" t="s">
        <v>186</v>
      </c>
      <c r="R87" s="176" t="s">
        <v>402</v>
      </c>
      <c r="S87" s="706" t="s">
        <v>403</v>
      </c>
    </row>
    <row r="88" spans="1:19" ht="25.8" customHeight="1" x14ac:dyDescent="0.45">
      <c r="A88" s="1651"/>
      <c r="B88" s="1652"/>
      <c r="C88" s="1655"/>
      <c r="D88" s="1668" t="s">
        <v>160</v>
      </c>
      <c r="E88" s="1669">
        <f>C87/3</f>
        <v>1.1904761904761905</v>
      </c>
      <c r="F88" s="1006" t="s">
        <v>77</v>
      </c>
      <c r="G88" s="1219">
        <f>$E$88/3</f>
        <v>0.3968253968253968</v>
      </c>
      <c r="H88" s="221">
        <v>30</v>
      </c>
      <c r="I88" s="279">
        <v>21.8</v>
      </c>
      <c r="J88" s="1220">
        <f>I88-H88</f>
        <v>-8.1999999999999993</v>
      </c>
      <c r="K88" s="1221">
        <f>I88*(6/10)</f>
        <v>13.08</v>
      </c>
      <c r="L88" s="1222">
        <f>I88-K88</f>
        <v>8.7200000000000006</v>
      </c>
      <c r="M88" s="989">
        <f>IF(K88&lt;&gt;0,J88/K88,"0%")</f>
        <v>-0.62691131498470942</v>
      </c>
      <c r="N88" s="1658"/>
      <c r="O88" s="1758"/>
      <c r="P88" s="1635"/>
      <c r="Q88" s="1223" t="s">
        <v>187</v>
      </c>
      <c r="R88" s="176" t="s">
        <v>436</v>
      </c>
      <c r="S88" s="706"/>
    </row>
    <row r="89" spans="1:19" ht="59.65" customHeight="1" thickBot="1" x14ac:dyDescent="0.5">
      <c r="A89" s="1651"/>
      <c r="B89" s="1652"/>
      <c r="C89" s="1655"/>
      <c r="D89" s="1668"/>
      <c r="E89" s="1669"/>
      <c r="F89" s="1006" t="s">
        <v>78</v>
      </c>
      <c r="G89" s="1219">
        <f>$E$88/3</f>
        <v>0.3968253968253968</v>
      </c>
      <c r="H89" s="221">
        <v>0.4</v>
      </c>
      <c r="I89" s="279">
        <v>1.5</v>
      </c>
      <c r="J89" s="1220">
        <f>I89-H89</f>
        <v>1.1000000000000001</v>
      </c>
      <c r="K89" s="1221">
        <f>I89*(6/10)</f>
        <v>0.89999999999999991</v>
      </c>
      <c r="L89" s="1222">
        <f>I89-K89</f>
        <v>0.60000000000000009</v>
      </c>
      <c r="M89" s="989">
        <f>IF(K89&lt;&gt;0,J89/K89,"0%")</f>
        <v>1.2222222222222225</v>
      </c>
      <c r="N89" s="1658"/>
      <c r="O89" s="1758"/>
      <c r="P89" s="1635"/>
      <c r="Q89" s="1223" t="s">
        <v>188</v>
      </c>
      <c r="R89" s="293" t="s">
        <v>436</v>
      </c>
      <c r="S89" s="697" t="s">
        <v>437</v>
      </c>
    </row>
    <row r="90" spans="1:19" ht="26.45" customHeight="1" thickBot="1" x14ac:dyDescent="0.5">
      <c r="A90" s="1651"/>
      <c r="B90" s="1652"/>
      <c r="C90" s="1655"/>
      <c r="D90" s="1668"/>
      <c r="E90" s="1669"/>
      <c r="F90" s="1006" t="s">
        <v>79</v>
      </c>
      <c r="G90" s="1219">
        <f>$E$88/3</f>
        <v>0.3968253968253968</v>
      </c>
      <c r="H90" s="271"/>
      <c r="I90" s="279"/>
      <c r="J90" s="1220">
        <f>I90-H90</f>
        <v>0</v>
      </c>
      <c r="K90" s="1224">
        <f>(I90)*(6/10)</f>
        <v>0</v>
      </c>
      <c r="L90" s="1225">
        <f>I90-K90</f>
        <v>0</v>
      </c>
      <c r="M90" s="935" t="str">
        <f>IF(K90&lt;&gt;0,J90/K90,"0%")</f>
        <v>0%</v>
      </c>
      <c r="N90" s="1658"/>
      <c r="O90" s="1758"/>
      <c r="P90" s="1635"/>
      <c r="Q90" s="1226" t="s">
        <v>189</v>
      </c>
      <c r="R90" s="293"/>
      <c r="S90" s="692" t="s">
        <v>682</v>
      </c>
    </row>
    <row r="91" spans="1:19" ht="40.799999999999997" customHeight="1" thickBot="1" x14ac:dyDescent="0.5">
      <c r="A91" s="1651"/>
      <c r="B91" s="1653"/>
      <c r="C91" s="1656"/>
      <c r="D91" s="991" t="s">
        <v>161</v>
      </c>
      <c r="E91" s="944">
        <f>$C$87/3</f>
        <v>1.1904761904761905</v>
      </c>
      <c r="F91" s="1227" t="s">
        <v>80</v>
      </c>
      <c r="G91" s="1228">
        <f>E91/1</f>
        <v>1.1904761904761905</v>
      </c>
      <c r="H91" s="222">
        <v>50</v>
      </c>
      <c r="I91" s="280">
        <v>50</v>
      </c>
      <c r="J91" s="1229">
        <f>H91-I91</f>
        <v>0</v>
      </c>
      <c r="K91" s="1208">
        <f>(100-I91)*(6/10)</f>
        <v>30</v>
      </c>
      <c r="L91" s="1230">
        <f>I91+K91</f>
        <v>80</v>
      </c>
      <c r="M91" s="950">
        <f>IF(I91&gt;=60,(1+(H91-60)/60),(H91/L91))</f>
        <v>0.625</v>
      </c>
      <c r="N91" s="1659"/>
      <c r="O91" s="1759"/>
      <c r="P91" s="1631"/>
      <c r="Q91" s="1231" t="s">
        <v>95</v>
      </c>
      <c r="R91" s="179"/>
      <c r="S91" s="700" t="s">
        <v>544</v>
      </c>
    </row>
    <row r="92" spans="1:19" ht="14.65" thickBot="1" x14ac:dyDescent="0.5">
      <c r="B92" s="1586" t="s">
        <v>81</v>
      </c>
      <c r="C92" s="1587"/>
      <c r="D92" s="1587"/>
      <c r="E92" s="1587"/>
      <c r="F92" s="1588"/>
      <c r="G92" s="11"/>
      <c r="H92" s="142"/>
      <c r="I92" s="143"/>
      <c r="J92" s="225"/>
      <c r="K92" s="11"/>
      <c r="L92" s="11"/>
      <c r="M92" s="223"/>
      <c r="N92" s="911">
        <f>(N93+N97)/2</f>
        <v>0.46786115764005209</v>
      </c>
      <c r="O92" s="912">
        <f>(O93+O97)</f>
        <v>5.2636906310485756</v>
      </c>
      <c r="P92" s="913">
        <f>O92/14.285712</f>
        <v>0.36845840312674477</v>
      </c>
      <c r="Q92" s="1099"/>
      <c r="R92" s="20"/>
      <c r="S92" s="692"/>
    </row>
    <row r="93" spans="1:19" ht="20.45" customHeight="1" thickBot="1" x14ac:dyDescent="0.5">
      <c r="B93" s="1614" t="s">
        <v>82</v>
      </c>
      <c r="C93" s="1615"/>
      <c r="D93" s="1615"/>
      <c r="E93" s="1615"/>
      <c r="F93" s="1616"/>
      <c r="G93" s="996"/>
      <c r="H93" s="1315"/>
      <c r="I93" s="1316"/>
      <c r="J93" s="1017"/>
      <c r="K93" s="1017"/>
      <c r="L93" s="1017"/>
      <c r="M93" s="1018"/>
      <c r="N93" s="911">
        <f>N94</f>
        <v>0.66666666666666663</v>
      </c>
      <c r="O93" s="912">
        <f>O94</f>
        <v>2.3809519999999997</v>
      </c>
      <c r="P93" s="913">
        <f>O93/3.571428</f>
        <v>0.66666666666666663</v>
      </c>
      <c r="Q93" s="1086"/>
      <c r="R93" s="17"/>
      <c r="S93" s="693"/>
    </row>
    <row r="94" spans="1:19" ht="34.799999999999997" customHeight="1" thickBot="1" x14ac:dyDescent="0.5">
      <c r="A94" s="1617">
        <v>25</v>
      </c>
      <c r="B94" s="1618" t="s">
        <v>83</v>
      </c>
      <c r="C94" s="1621">
        <f>M5</f>
        <v>3.5714285714285716</v>
      </c>
      <c r="D94" s="1624" t="s">
        <v>214</v>
      </c>
      <c r="E94" s="1087">
        <f>$C$94/3</f>
        <v>1.1904761904761905</v>
      </c>
      <c r="F94" s="999" t="s">
        <v>269</v>
      </c>
      <c r="G94" s="1232">
        <f>E94/1</f>
        <v>1.1904761904761905</v>
      </c>
      <c r="H94" s="1290">
        <v>100</v>
      </c>
      <c r="I94" s="1291">
        <v>100</v>
      </c>
      <c r="J94" s="1233">
        <f>H94-I94</f>
        <v>0</v>
      </c>
      <c r="K94" s="1234">
        <f>(100-I94)*(6/10)</f>
        <v>0</v>
      </c>
      <c r="L94" s="1235">
        <f>I94+K94</f>
        <v>100</v>
      </c>
      <c r="M94" s="935" t="str">
        <f>IF(K94&lt;&gt;0,J94/K94,"100%")</f>
        <v>100%</v>
      </c>
      <c r="N94" s="1627">
        <f>(((G94/C94)*M94)+((G95/C94)*M95)+((G96/C94)*M96))</f>
        <v>0.66666666666666663</v>
      </c>
      <c r="O94" s="1632">
        <f>IF((((G94/C94)*M94)+((G95/C94)*M95)+((G96/C94)*M96))&gt;=1,3.571428,IF((((G94/C94)*M94)+((G95/C94)*M95)+((G96/C94)*M96))&lt;=0,0,(((G94/C94)*M94)+((G95/C94)*M95)+((G96/C94)*M96))*3.571428))</f>
        <v>2.3809519999999997</v>
      </c>
      <c r="P94" s="1630">
        <f>O94/3.571428</f>
        <v>0.66666666666666663</v>
      </c>
      <c r="Q94" s="1236" t="s">
        <v>190</v>
      </c>
      <c r="R94" s="60"/>
      <c r="S94" s="696" t="s">
        <v>438</v>
      </c>
    </row>
    <row r="95" spans="1:19" ht="39.6" customHeight="1" thickBot="1" x14ac:dyDescent="0.5">
      <c r="A95" s="1617"/>
      <c r="B95" s="1619"/>
      <c r="C95" s="1622"/>
      <c r="D95" s="1625"/>
      <c r="E95" s="1237">
        <f t="shared" ref="E95:E96" si="33">$C$94/3</f>
        <v>1.1904761904761905</v>
      </c>
      <c r="F95" s="1128" t="s">
        <v>270</v>
      </c>
      <c r="G95" s="1219">
        <f>E95/1</f>
        <v>1.1904761904761905</v>
      </c>
      <c r="H95" s="271"/>
      <c r="I95" s="279"/>
      <c r="J95" s="1220">
        <f>IF(AND(I95&gt;1,(H95-I95=0)),(H95-1),(H95-I95))</f>
        <v>0</v>
      </c>
      <c r="K95" s="1066">
        <f>IF(AND(I95&gt;=1,H95&gt;=1),"0",((1-I95)*(6/10)))</f>
        <v>0.6</v>
      </c>
      <c r="L95" s="1238">
        <f t="shared" ref="L95:L96" si="34">I95+K95</f>
        <v>0.6</v>
      </c>
      <c r="M95" s="989">
        <f>IF(I95&gt;=1,(1+(H95-1)/1),(J95/K95))</f>
        <v>0</v>
      </c>
      <c r="N95" s="1628"/>
      <c r="O95" s="1758"/>
      <c r="P95" s="1635"/>
      <c r="Q95" s="1239" t="s">
        <v>191</v>
      </c>
      <c r="R95" s="62"/>
      <c r="S95" s="692" t="s">
        <v>682</v>
      </c>
    </row>
    <row r="96" spans="1:19" ht="41.45" customHeight="1" thickBot="1" x14ac:dyDescent="0.5">
      <c r="A96" s="1617"/>
      <c r="B96" s="1620"/>
      <c r="C96" s="1623"/>
      <c r="D96" s="1626"/>
      <c r="E96" s="1090">
        <f t="shared" si="33"/>
        <v>1.1904761904761905</v>
      </c>
      <c r="F96" s="1024" t="s">
        <v>84</v>
      </c>
      <c r="G96" s="1228">
        <f>E96/1</f>
        <v>1.1904761904761905</v>
      </c>
      <c r="H96" s="222">
        <v>100</v>
      </c>
      <c r="I96" s="280">
        <v>100</v>
      </c>
      <c r="J96" s="1229">
        <f>H96-I96</f>
        <v>0</v>
      </c>
      <c r="K96" s="1208">
        <f>(100-I96)*(6/10)</f>
        <v>0</v>
      </c>
      <c r="L96" s="1230">
        <f t="shared" si="34"/>
        <v>100</v>
      </c>
      <c r="M96" s="950" t="str">
        <f>IF(K96&lt;&gt;0,J96/K96,"100%")</f>
        <v>100%</v>
      </c>
      <c r="N96" s="1629"/>
      <c r="O96" s="1759"/>
      <c r="P96" s="1631"/>
      <c r="Q96" s="1240" t="s">
        <v>95</v>
      </c>
      <c r="R96" s="57"/>
      <c r="S96" s="704" t="s">
        <v>439</v>
      </c>
    </row>
    <row r="97" spans="1:19" ht="18" customHeight="1" thickBot="1" x14ac:dyDescent="0.5">
      <c r="B97" s="1636" t="s">
        <v>85</v>
      </c>
      <c r="C97" s="1637"/>
      <c r="D97" s="1637"/>
      <c r="E97" s="1637"/>
      <c r="F97" s="1638"/>
      <c r="G97" s="1241"/>
      <c r="H97" s="1320"/>
      <c r="I97" s="1321"/>
      <c r="J97" s="1241"/>
      <c r="K97" s="1242"/>
      <c r="L97" s="1242"/>
      <c r="M97" s="1243"/>
      <c r="N97" s="1244">
        <f>(N98+N99+N100)/3</f>
        <v>0.26905564861343756</v>
      </c>
      <c r="O97" s="1245">
        <f>(O98+O99+O100)</f>
        <v>2.8827386310485763</v>
      </c>
      <c r="P97" s="913">
        <f>O97/10.714284</f>
        <v>0.26905564861343756</v>
      </c>
      <c r="Q97" s="1246"/>
      <c r="R97" s="25"/>
      <c r="S97" s="707"/>
    </row>
    <row r="98" spans="1:19" ht="29.45" customHeight="1" thickBot="1" x14ac:dyDescent="0.5">
      <c r="A98" s="22">
        <v>26</v>
      </c>
      <c r="B98" s="1032" t="s">
        <v>86</v>
      </c>
      <c r="C98" s="1033">
        <f>$M$5</f>
        <v>3.5714285714285716</v>
      </c>
      <c r="D98" s="1032" t="s">
        <v>215</v>
      </c>
      <c r="E98" s="1033">
        <f>C98/1</f>
        <v>3.5714285714285716</v>
      </c>
      <c r="F98" s="1163" t="s">
        <v>291</v>
      </c>
      <c r="G98" s="1033">
        <f>E98/1</f>
        <v>3.5714285714285716</v>
      </c>
      <c r="H98" s="213"/>
      <c r="I98" s="1297"/>
      <c r="J98" s="1248">
        <f>IF(I98=H98,(H98-10),H98-I98)</f>
        <v>-10</v>
      </c>
      <c r="K98" s="1051">
        <f>IF(I98&gt;=10,0,((10-I98)*(6/10)))</f>
        <v>6</v>
      </c>
      <c r="L98" s="1158">
        <f>I98+K98</f>
        <v>6</v>
      </c>
      <c r="M98" s="935" t="str">
        <f>IF(H98=0,"0%",J98/K98)</f>
        <v>0%</v>
      </c>
      <c r="N98" s="1159">
        <f>((G98/C98)*M98)</f>
        <v>0</v>
      </c>
      <c r="O98" s="1041">
        <f>IF(((G98/C98)*M98)&gt;=1,3.571428,IF(((G98/C98)*M98)&lt;=0,0,((G98/C98)*M98)*3.571428))</f>
        <v>0</v>
      </c>
      <c r="P98" s="913">
        <f>O98/3.571428</f>
        <v>0</v>
      </c>
      <c r="Q98" s="1249" t="s">
        <v>95</v>
      </c>
      <c r="R98" s="180"/>
      <c r="S98" s="692" t="s">
        <v>682</v>
      </c>
    </row>
    <row r="99" spans="1:19" ht="35.25" thickBot="1" x14ac:dyDescent="0.5">
      <c r="A99" s="22">
        <v>27</v>
      </c>
      <c r="B99" s="1032" t="s">
        <v>87</v>
      </c>
      <c r="C99" s="1033">
        <f>$M$5</f>
        <v>3.5714285714285716</v>
      </c>
      <c r="D99" s="1032" t="s">
        <v>216</v>
      </c>
      <c r="E99" s="1033">
        <f>C99/1</f>
        <v>3.5714285714285716</v>
      </c>
      <c r="F99" s="1163" t="s">
        <v>271</v>
      </c>
      <c r="G99" s="1033">
        <f>E99/1</f>
        <v>3.5714285714285716</v>
      </c>
      <c r="H99" s="1296">
        <v>15.7</v>
      </c>
      <c r="I99" s="1293">
        <v>15.3</v>
      </c>
      <c r="J99" s="1248">
        <f>IF(I99=H99,(H99-75),H99-I99)</f>
        <v>0.39999999999999858</v>
      </c>
      <c r="K99" s="1051">
        <f>IF(I99&gt;=75,0,((75-I99)*(6/10)))</f>
        <v>35.82</v>
      </c>
      <c r="L99" s="1182">
        <f>I99+K99</f>
        <v>51.120000000000005</v>
      </c>
      <c r="M99" s="1250">
        <f>IF(I99&gt;=75,(1+(H99-75)/75),(J99/K99))</f>
        <v>1.1166945840312635E-2</v>
      </c>
      <c r="N99" s="1159">
        <f>((G99/C99)*M99)</f>
        <v>1.1166945840312635E-2</v>
      </c>
      <c r="O99" s="1041">
        <f>IF(((G99/C99)*M99)&gt;=1,3.571428,IF(((G99/C99)*M99)&lt;=0,0,((G99/C99)*M99)*3.571428))</f>
        <v>3.988194304857607E-2</v>
      </c>
      <c r="P99" s="913">
        <f>O99/3.571428</f>
        <v>1.1166945840312633E-2</v>
      </c>
      <c r="Q99" s="1249" t="s">
        <v>192</v>
      </c>
      <c r="R99" s="296" t="s">
        <v>440</v>
      </c>
      <c r="S99" s="697" t="s">
        <v>427</v>
      </c>
    </row>
    <row r="100" spans="1:19" ht="30.75" thickBot="1" x14ac:dyDescent="0.5">
      <c r="A100" s="1617">
        <v>28</v>
      </c>
      <c r="B100" s="1639" t="s">
        <v>88</v>
      </c>
      <c r="C100" s="1641">
        <f>M5</f>
        <v>3.5714285714285716</v>
      </c>
      <c r="D100" s="1639" t="s">
        <v>217</v>
      </c>
      <c r="E100" s="1641">
        <f>C100/1</f>
        <v>3.5714285714285716</v>
      </c>
      <c r="F100" s="1124" t="s">
        <v>89</v>
      </c>
      <c r="G100" s="931">
        <f>$E$100/2</f>
        <v>1.7857142857142858</v>
      </c>
      <c r="H100" s="1290">
        <v>10.199999999999999</v>
      </c>
      <c r="I100" s="1291">
        <v>10.199999999999999</v>
      </c>
      <c r="J100" s="1252">
        <f>IF(I100=H100,(25-H100),I100-H100)</f>
        <v>14.8</v>
      </c>
      <c r="K100" s="1105">
        <f>IF(I100&lt;=25,0,((0.25*I100)*(6/10)))</f>
        <v>0</v>
      </c>
      <c r="L100" s="1253">
        <f>I100-K100</f>
        <v>10.199999999999999</v>
      </c>
      <c r="M100" s="935">
        <f>IF(I100&lt;=25,(1+(25-H100)/25),(J100/K100))</f>
        <v>1.5920000000000001</v>
      </c>
      <c r="N100" s="1644">
        <f>((G100/$C$100)*M100)+((G101/$C$100)*M101)</f>
        <v>0.79600000000000004</v>
      </c>
      <c r="O100" s="1723">
        <f>IF((((G100/C100)*M100)+((G101/C100)*M101))&gt;=1,3.57148,IF((((G100/C100)*M100)+((G101/C100)*M101))&lt;=0,0, (((G100/C100)*M100)+((G101/C100)*M101))*3.571428))</f>
        <v>2.8428566880000004</v>
      </c>
      <c r="P100" s="1630">
        <f>O100/3.571428</f>
        <v>0.79600000000000004</v>
      </c>
      <c r="Q100" s="1254" t="s">
        <v>193</v>
      </c>
      <c r="R100" s="297" t="s">
        <v>441</v>
      </c>
      <c r="S100" s="697" t="s">
        <v>427</v>
      </c>
    </row>
    <row r="101" spans="1:19" ht="38.450000000000003" customHeight="1" thickBot="1" x14ac:dyDescent="0.5">
      <c r="A101" s="1617"/>
      <c r="B101" s="1640"/>
      <c r="C101" s="1642"/>
      <c r="D101" s="1640"/>
      <c r="E101" s="1643"/>
      <c r="F101" s="1024" t="s">
        <v>90</v>
      </c>
      <c r="G101" s="944">
        <f>$E$100/2</f>
        <v>1.7857142857142858</v>
      </c>
      <c r="H101" s="213"/>
      <c r="I101" s="1297"/>
      <c r="J101" s="1255">
        <f>IF(I101=H101,(H101-25),H101-I101)</f>
        <v>-25</v>
      </c>
      <c r="K101" s="994">
        <f>IF(I101&gt;=25,0,((25-I101)*(6/10)))</f>
        <v>15</v>
      </c>
      <c r="L101" s="1256">
        <f t="shared" ref="L101" si="35">K101+I101</f>
        <v>15</v>
      </c>
      <c r="M101" s="935" t="str">
        <f>IF(H101=0,"0%",J101/K101)</f>
        <v>0%</v>
      </c>
      <c r="N101" s="1645"/>
      <c r="O101" s="1760"/>
      <c r="P101" s="1631"/>
      <c r="Q101" s="1257" t="s">
        <v>95</v>
      </c>
      <c r="R101" s="181"/>
      <c r="S101" s="692" t="s">
        <v>682</v>
      </c>
    </row>
    <row r="102" spans="1:19" ht="34.25" customHeight="1" thickBot="1" x14ac:dyDescent="0.5">
      <c r="B102" s="1258" t="s">
        <v>194</v>
      </c>
      <c r="C102" s="1259">
        <f>C11+C13+C15+C19+C24+C33+C34+C35+C36+C38+C41+C44+C48+C51+C53+C61+C68+C71+C73+C75+C78+C81+C83+C87+C94+C98+C99+C100</f>
        <v>99.999999999999972</v>
      </c>
      <c r="D102" s="1260"/>
      <c r="E102" s="1259">
        <f>E11+E12+E13+E14+E15+E19+E20+E21+E22+E24+E25+E28+E31+E33+E34+E35+E36+E38+E39+E41+E42+E44+E45+E48+E49++E51+E53+E54+E55+E56+E57+E61+E62+E63+E64+E68+E71+E73+E75+E78+E81++E82+E83+E84+E85+E87+E88+E91+E94+E95+E96+E98+E99+E100</f>
        <v>100.00714285714285</v>
      </c>
      <c r="F102" s="1261"/>
      <c r="G102" s="1259">
        <f>G11+G12+G13+G14+G15+G16+G17+G19+G20+G21+G22+G24+G25+G26+G27+G28+G29+G30+G31+G33+G34+G35+G36+G38+G39+G41+G42+G44+G45+G48+G49+G51+G53+G54+G55+G56+G57+G58+G61+G62+G63+G64+G65+G66+G68+G71+G73+G75+G78+G81+G82+G83+G84+G85+G87+G88+G89+G90+G91+G94+G95+G96+G98+G99+G100+G101</f>
        <v>100.00714285714285</v>
      </c>
      <c r="H102" s="1262"/>
      <c r="I102" s="1263"/>
      <c r="J102" s="1262"/>
      <c r="K102" s="1264"/>
      <c r="L102" s="1261"/>
      <c r="M102" s="1265"/>
      <c r="N102" s="1266"/>
      <c r="O102" s="1267"/>
      <c r="P102" s="1267"/>
      <c r="Q102" s="1268"/>
      <c r="R102" s="26"/>
      <c r="S102" s="27"/>
    </row>
    <row r="104" spans="1:19" ht="15.75" x14ac:dyDescent="0.5">
      <c r="B104" s="28"/>
    </row>
    <row r="107" spans="1:19" ht="15.75" x14ac:dyDescent="0.5">
      <c r="B107" s="28"/>
    </row>
    <row r="108" spans="1:19" x14ac:dyDescent="0.45">
      <c r="B108" s="29"/>
    </row>
    <row r="109" spans="1:19" x14ac:dyDescent="0.45">
      <c r="B109" s="29"/>
    </row>
    <row r="111" spans="1:19" x14ac:dyDescent="0.45">
      <c r="E111"/>
      <c r="F111" s="1269" t="s">
        <v>196</v>
      </c>
    </row>
    <row r="112" spans="1:19" x14ac:dyDescent="0.45">
      <c r="E112" s="1270">
        <v>1</v>
      </c>
      <c r="F112" s="1270" t="s">
        <v>197</v>
      </c>
    </row>
    <row r="113" spans="5:6" x14ac:dyDescent="0.45">
      <c r="E113" s="1270">
        <v>2</v>
      </c>
      <c r="F113" s="1270" t="s">
        <v>227</v>
      </c>
    </row>
    <row r="114" spans="5:6" x14ac:dyDescent="0.45">
      <c r="E114" s="1270">
        <v>3</v>
      </c>
      <c r="F114" s="1270" t="s">
        <v>228</v>
      </c>
    </row>
    <row r="115" spans="5:6" x14ac:dyDescent="0.45">
      <c r="E115" s="1270">
        <v>4</v>
      </c>
      <c r="F115" s="1270" t="s">
        <v>229</v>
      </c>
    </row>
    <row r="116" spans="5:6" x14ac:dyDescent="0.45">
      <c r="E116" s="1270">
        <v>5</v>
      </c>
      <c r="F116" s="1270" t="s">
        <v>198</v>
      </c>
    </row>
    <row r="117" spans="5:6" x14ac:dyDescent="0.45">
      <c r="E117" s="1270">
        <v>6</v>
      </c>
      <c r="F117" s="1270" t="s">
        <v>230</v>
      </c>
    </row>
    <row r="118" spans="5:6" x14ac:dyDescent="0.45">
      <c r="E118" s="1270">
        <v>7</v>
      </c>
      <c r="F118" s="1270" t="s">
        <v>231</v>
      </c>
    </row>
    <row r="119" spans="5:6" x14ac:dyDescent="0.45">
      <c r="E119" s="1270">
        <v>8</v>
      </c>
      <c r="F119" s="1270" t="s">
        <v>199</v>
      </c>
    </row>
    <row r="120" spans="5:6" x14ac:dyDescent="0.45">
      <c r="E120" s="1270">
        <v>9</v>
      </c>
      <c r="F120" s="1270" t="s">
        <v>200</v>
      </c>
    </row>
    <row r="121" spans="5:6" x14ac:dyDescent="0.45">
      <c r="E121" s="1270">
        <v>10</v>
      </c>
      <c r="F121" s="1270" t="s">
        <v>201</v>
      </c>
    </row>
    <row r="122" spans="5:6" x14ac:dyDescent="0.45">
      <c r="E122" s="1270">
        <v>11</v>
      </c>
      <c r="F122" s="1270" t="s">
        <v>232</v>
      </c>
    </row>
    <row r="123" spans="5:6" x14ac:dyDescent="0.45">
      <c r="E123" s="1270">
        <v>12</v>
      </c>
      <c r="F123" s="1270" t="s">
        <v>202</v>
      </c>
    </row>
    <row r="124" spans="5:6" x14ac:dyDescent="0.45">
      <c r="E124" s="1270">
        <f t="shared" ref="E124:E145" si="36">E123+1</f>
        <v>13</v>
      </c>
      <c r="F124" s="1270" t="s">
        <v>203</v>
      </c>
    </row>
    <row r="125" spans="5:6" x14ac:dyDescent="0.45">
      <c r="E125" s="1270">
        <v>14</v>
      </c>
      <c r="F125" s="1270" t="s">
        <v>233</v>
      </c>
    </row>
    <row r="126" spans="5:6" x14ac:dyDescent="0.45">
      <c r="E126" s="1270">
        <v>15</v>
      </c>
      <c r="F126" s="1270" t="s">
        <v>234</v>
      </c>
    </row>
    <row r="127" spans="5:6" x14ac:dyDescent="0.45">
      <c r="E127" s="1270">
        <v>16</v>
      </c>
      <c r="F127" s="1270" t="s">
        <v>213</v>
      </c>
    </row>
    <row r="128" spans="5:6" x14ac:dyDescent="0.45">
      <c r="E128" s="1270">
        <v>17</v>
      </c>
      <c r="F128" s="1270" t="s">
        <v>235</v>
      </c>
    </row>
    <row r="129" spans="5:6" x14ac:dyDescent="0.45">
      <c r="E129" s="1270">
        <v>18</v>
      </c>
      <c r="F129" s="1270" t="s">
        <v>263</v>
      </c>
    </row>
    <row r="130" spans="5:6" x14ac:dyDescent="0.45">
      <c r="E130" s="1270">
        <v>19</v>
      </c>
      <c r="F130" s="1270" t="s">
        <v>204</v>
      </c>
    </row>
    <row r="131" spans="5:6" x14ac:dyDescent="0.45">
      <c r="E131" s="1270">
        <v>20</v>
      </c>
      <c r="F131" s="1270" t="s">
        <v>236</v>
      </c>
    </row>
    <row r="132" spans="5:6" x14ac:dyDescent="0.45">
      <c r="E132" s="1270">
        <v>21</v>
      </c>
      <c r="F132" s="1270" t="s">
        <v>237</v>
      </c>
    </row>
    <row r="133" spans="5:6" x14ac:dyDescent="0.45">
      <c r="E133" s="1270">
        <v>22</v>
      </c>
      <c r="F133" s="1270" t="s">
        <v>238</v>
      </c>
    </row>
    <row r="134" spans="5:6" x14ac:dyDescent="0.45">
      <c r="E134" s="1270">
        <v>23</v>
      </c>
      <c r="F134" s="1270" t="s">
        <v>205</v>
      </c>
    </row>
    <row r="135" spans="5:6" x14ac:dyDescent="0.45">
      <c r="E135" s="1270">
        <v>24</v>
      </c>
      <c r="F135" s="1270" t="s">
        <v>239</v>
      </c>
    </row>
    <row r="136" spans="5:6" x14ac:dyDescent="0.45">
      <c r="E136" s="1270">
        <v>25</v>
      </c>
      <c r="F136" s="1270" t="s">
        <v>240</v>
      </c>
    </row>
    <row r="137" spans="5:6" x14ac:dyDescent="0.45">
      <c r="E137" s="1270">
        <v>26</v>
      </c>
      <c r="F137" s="1270" t="s">
        <v>241</v>
      </c>
    </row>
    <row r="138" spans="5:6" x14ac:dyDescent="0.45">
      <c r="E138" s="1270">
        <v>27</v>
      </c>
      <c r="F138" s="1270" t="s">
        <v>206</v>
      </c>
    </row>
    <row r="139" spans="5:6" x14ac:dyDescent="0.45">
      <c r="E139" s="1270">
        <v>28</v>
      </c>
      <c r="F139" s="1270" t="s">
        <v>242</v>
      </c>
    </row>
    <row r="140" spans="5:6" x14ac:dyDescent="0.45">
      <c r="E140" s="1270">
        <v>29</v>
      </c>
      <c r="F140" s="1270" t="s">
        <v>243</v>
      </c>
    </row>
    <row r="141" spans="5:6" x14ac:dyDescent="0.45">
      <c r="E141" s="1270">
        <v>30</v>
      </c>
      <c r="F141" s="1270" t="s">
        <v>244</v>
      </c>
    </row>
    <row r="142" spans="5:6" x14ac:dyDescent="0.45">
      <c r="E142" s="1270">
        <v>31</v>
      </c>
      <c r="F142" s="1270" t="s">
        <v>245</v>
      </c>
    </row>
    <row r="143" spans="5:6" x14ac:dyDescent="0.45">
      <c r="E143" s="1270">
        <v>32</v>
      </c>
      <c r="F143" s="1270" t="s">
        <v>246</v>
      </c>
    </row>
    <row r="144" spans="5:6" x14ac:dyDescent="0.45">
      <c r="E144" s="1270">
        <v>33</v>
      </c>
      <c r="F144" s="1270" t="s">
        <v>207</v>
      </c>
    </row>
    <row r="145" spans="5:6" x14ac:dyDescent="0.45">
      <c r="E145" s="1270">
        <f t="shared" si="36"/>
        <v>34</v>
      </c>
      <c r="F145" s="1270" t="s">
        <v>208</v>
      </c>
    </row>
    <row r="146" spans="5:6" x14ac:dyDescent="0.45">
      <c r="E146" s="1270">
        <v>35</v>
      </c>
      <c r="F146" s="1270" t="s">
        <v>247</v>
      </c>
    </row>
    <row r="147" spans="5:6" x14ac:dyDescent="0.45">
      <c r="E147" s="1270">
        <v>36</v>
      </c>
      <c r="F147" s="1270" t="s">
        <v>248</v>
      </c>
    </row>
    <row r="148" spans="5:6" x14ac:dyDescent="0.45">
      <c r="E148" s="1270">
        <v>36</v>
      </c>
      <c r="F148" s="1270" t="s">
        <v>249</v>
      </c>
    </row>
    <row r="149" spans="5:6" x14ac:dyDescent="0.45">
      <c r="E149" s="1270">
        <v>38</v>
      </c>
      <c r="F149" s="1270" t="s">
        <v>250</v>
      </c>
    </row>
    <row r="150" spans="5:6" x14ac:dyDescent="0.45">
      <c r="E150" s="1270">
        <v>39</v>
      </c>
      <c r="F150" s="1270" t="s">
        <v>251</v>
      </c>
    </row>
    <row r="151" spans="5:6" x14ac:dyDescent="0.45">
      <c r="E151" s="1270">
        <v>40</v>
      </c>
      <c r="F151" s="1270" t="s">
        <v>209</v>
      </c>
    </row>
    <row r="152" spans="5:6" x14ac:dyDescent="0.45">
      <c r="E152" s="1270">
        <v>41</v>
      </c>
      <c r="F152" s="1270" t="s">
        <v>264</v>
      </c>
    </row>
    <row r="153" spans="5:6" x14ac:dyDescent="0.45">
      <c r="E153" s="1270">
        <v>42</v>
      </c>
      <c r="F153" s="1270" t="s">
        <v>252</v>
      </c>
    </row>
    <row r="154" spans="5:6" x14ac:dyDescent="0.45">
      <c r="E154" s="1270">
        <v>43</v>
      </c>
      <c r="F154" s="1270" t="s">
        <v>253</v>
      </c>
    </row>
    <row r="155" spans="5:6" x14ac:dyDescent="0.45">
      <c r="E155" s="1270">
        <v>44</v>
      </c>
      <c r="F155" s="1270" t="s">
        <v>254</v>
      </c>
    </row>
    <row r="156" spans="5:6" x14ac:dyDescent="0.45">
      <c r="E156" s="1270">
        <v>45</v>
      </c>
      <c r="F156" s="1270" t="s">
        <v>210</v>
      </c>
    </row>
    <row r="157" spans="5:6" x14ac:dyDescent="0.45">
      <c r="E157" s="1270">
        <v>46</v>
      </c>
      <c r="F157" s="1270" t="s">
        <v>255</v>
      </c>
    </row>
    <row r="158" spans="5:6" x14ac:dyDescent="0.45">
      <c r="E158" s="1270">
        <v>47</v>
      </c>
      <c r="F158" s="1270" t="s">
        <v>211</v>
      </c>
    </row>
    <row r="159" spans="5:6" x14ac:dyDescent="0.45">
      <c r="E159" s="1270">
        <v>48</v>
      </c>
      <c r="F159" s="1270" t="s">
        <v>256</v>
      </c>
    </row>
    <row r="160" spans="5:6" x14ac:dyDescent="0.45">
      <c r="E160" s="1270">
        <v>49</v>
      </c>
      <c r="F160" s="1270" t="s">
        <v>257</v>
      </c>
    </row>
    <row r="161" spans="5:6" x14ac:dyDescent="0.45">
      <c r="E161" s="1270">
        <v>50</v>
      </c>
      <c r="F161" s="1270" t="s">
        <v>260</v>
      </c>
    </row>
    <row r="162" spans="5:6" x14ac:dyDescent="0.45">
      <c r="E162" s="1270">
        <v>51</v>
      </c>
      <c r="F162" s="1270" t="s">
        <v>258</v>
      </c>
    </row>
    <row r="163" spans="5:6" x14ac:dyDescent="0.45">
      <c r="E163" s="1270">
        <v>52</v>
      </c>
      <c r="F163" s="1270" t="s">
        <v>212</v>
      </c>
    </row>
    <row r="164" spans="5:6" x14ac:dyDescent="0.45">
      <c r="E164" s="1270">
        <v>53</v>
      </c>
      <c r="F164" s="1270" t="s">
        <v>259</v>
      </c>
    </row>
    <row r="165" spans="5:6" x14ac:dyDescent="0.45">
      <c r="E165" s="1270">
        <v>54</v>
      </c>
      <c r="F165" s="1270" t="s">
        <v>261</v>
      </c>
    </row>
    <row r="166" spans="5:6" x14ac:dyDescent="0.45">
      <c r="E166" s="1270">
        <v>55</v>
      </c>
      <c r="F166" s="1270" t="s">
        <v>262</v>
      </c>
    </row>
    <row r="167" spans="5:6" x14ac:dyDescent="0.45">
      <c r="E167"/>
      <c r="F167"/>
    </row>
    <row r="168" spans="5:6" x14ac:dyDescent="0.45">
      <c r="E168"/>
      <c r="F168"/>
    </row>
  </sheetData>
  <sheetProtection algorithmName="SHA-512" hashValue="syD9ONZnux8rOGsJTCVD6zIMx7umiM4uwpBCmsYe6ezekqMgIjfalt9MQI6ssn1cghtGiQir+K/LAagdIZuX4g==" saltValue="0W2qKIuLIc6n/vN27NGJYw==" spinCount="100000" sheet="1" objects="1" scenarios="1"/>
  <mergeCells count="140">
    <mergeCell ref="K4:M4"/>
    <mergeCell ref="B5:K5"/>
    <mergeCell ref="B6:F6"/>
    <mergeCell ref="B7:F7"/>
    <mergeCell ref="B9:F9"/>
    <mergeCell ref="B10:F10"/>
    <mergeCell ref="A13:A14"/>
    <mergeCell ref="B13:B14"/>
    <mergeCell ref="C13:C14"/>
    <mergeCell ref="N13:N14"/>
    <mergeCell ref="O13:O14"/>
    <mergeCell ref="P13:P14"/>
    <mergeCell ref="A11:A12"/>
    <mergeCell ref="B11:B12"/>
    <mergeCell ref="C11:C12"/>
    <mergeCell ref="N11:N12"/>
    <mergeCell ref="O11:O12"/>
    <mergeCell ref="P11:P1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B37:F37"/>
    <mergeCell ref="A38:A39"/>
    <mergeCell ref="B38:B39"/>
    <mergeCell ref="C38:C39"/>
    <mergeCell ref="N38:N39"/>
    <mergeCell ref="O38:O39"/>
    <mergeCell ref="P24:P31"/>
    <mergeCell ref="D25:D27"/>
    <mergeCell ref="E25:E27"/>
    <mergeCell ref="D28:D30"/>
    <mergeCell ref="E28:E30"/>
    <mergeCell ref="B32:F32"/>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77:F77"/>
    <mergeCell ref="B79:F79"/>
    <mergeCell ref="B80:F80"/>
    <mergeCell ref="B81:B82"/>
    <mergeCell ref="C81:C82"/>
    <mergeCell ref="N81:N82"/>
    <mergeCell ref="B67:F67"/>
    <mergeCell ref="B69:F69"/>
    <mergeCell ref="B70:F70"/>
    <mergeCell ref="B72:F72"/>
    <mergeCell ref="B74:F74"/>
    <mergeCell ref="B76:F76"/>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69 O10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80 O59">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37A18CA5-4886-40AD-AA04-46EAABEC628F}">
      <formula1>$F$112:$F$166</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6A817-4155-42CB-A4AE-78D55FFF0A4D}">
  <dimension ref="A1:AA168"/>
  <sheetViews>
    <sheetView topLeftCell="C1" zoomScale="60" zoomScaleNormal="60" workbookViewId="0">
      <selection activeCell="I12" sqref="I12"/>
    </sheetView>
  </sheetViews>
  <sheetFormatPr defaultColWidth="8.86328125" defaultRowHeight="14.25" x14ac:dyDescent="0.45"/>
  <cols>
    <col min="1" max="1" width="0" style="5" hidden="1" customWidth="1"/>
    <col min="2" max="2" width="18.6640625" style="5" customWidth="1"/>
    <col min="3" max="3" width="7.86328125" style="5" customWidth="1"/>
    <col min="4" max="4" width="47.46484375" style="5" customWidth="1"/>
    <col min="5" max="5" width="9.53125" style="5" customWidth="1"/>
    <col min="6" max="6" width="36.19921875" style="5" customWidth="1"/>
    <col min="7" max="7" width="10" style="5" customWidth="1"/>
    <col min="8" max="8" width="11.796875" style="5" customWidth="1"/>
    <col min="9" max="9" width="10.33203125" style="5" customWidth="1"/>
    <col min="10" max="10" width="12.19921875" style="5" customWidth="1"/>
    <col min="11" max="11" width="12.6640625" style="5" customWidth="1"/>
    <col min="12" max="12" width="16.06640625" style="5" customWidth="1"/>
    <col min="13" max="13" width="12.19921875" style="5" customWidth="1"/>
    <col min="14" max="16" width="15.33203125" style="5" customWidth="1"/>
    <col min="17" max="17" width="42.796875" customWidth="1"/>
    <col min="18" max="19" width="36.19921875" style="5" customWidth="1"/>
    <col min="20" max="20" width="8.86328125" style="5"/>
    <col min="22" max="26" width="0" hidden="1" customWidth="1"/>
    <col min="28" max="30" width="28.46484375" style="5" customWidth="1"/>
    <col min="31" max="16384" width="8.86328125" style="5"/>
  </cols>
  <sheetData>
    <row r="1" spans="1:27" s="1" customFormat="1" ht="6.6" customHeight="1" x14ac:dyDescent="0.45">
      <c r="B1" s="2"/>
      <c r="C1" s="3"/>
      <c r="D1" s="3"/>
      <c r="E1" s="3"/>
      <c r="F1" s="3"/>
      <c r="G1" s="3"/>
      <c r="H1" s="3"/>
      <c r="I1" s="3"/>
      <c r="J1" s="3"/>
      <c r="K1" s="3"/>
      <c r="L1" s="3"/>
      <c r="M1" s="3"/>
      <c r="N1" s="3"/>
      <c r="O1" s="3"/>
      <c r="P1" s="3"/>
      <c r="Q1" s="871"/>
      <c r="R1" s="3"/>
      <c r="S1" s="4"/>
      <c r="U1" s="872"/>
      <c r="V1" s="872"/>
      <c r="W1" s="872"/>
      <c r="X1" s="872"/>
      <c r="Y1" s="872"/>
      <c r="Z1" s="872"/>
      <c r="AA1" s="872"/>
    </row>
    <row r="2" spans="1:27" ht="30" x14ac:dyDescent="1.1000000000000001">
      <c r="B2" s="873"/>
      <c r="C2" s="874"/>
      <c r="D2" s="875" t="s">
        <v>286</v>
      </c>
      <c r="E2" s="874"/>
      <c r="F2" s="876"/>
      <c r="G2" s="876"/>
      <c r="H2" s="876"/>
      <c r="I2" s="876"/>
      <c r="J2" s="876"/>
      <c r="K2" s="876"/>
      <c r="L2" s="876"/>
      <c r="M2" s="876"/>
      <c r="N2" s="876"/>
      <c r="O2" s="876"/>
      <c r="P2" s="876"/>
      <c r="Q2" s="874"/>
      <c r="R2" s="876"/>
      <c r="S2" s="6"/>
    </row>
    <row r="3" spans="1:27" ht="14.65" thickBot="1" x14ac:dyDescent="0.5">
      <c r="B3" s="877"/>
      <c r="C3" s="878"/>
      <c r="D3" s="878"/>
      <c r="E3" s="878"/>
      <c r="F3" s="879"/>
      <c r="G3" s="879"/>
      <c r="H3" s="879"/>
      <c r="I3" s="879"/>
      <c r="J3" s="879"/>
      <c r="K3" s="879"/>
      <c r="L3" s="879"/>
      <c r="M3" s="879"/>
      <c r="N3" s="879"/>
      <c r="O3" s="879"/>
      <c r="P3" s="879"/>
      <c r="Q3" s="878"/>
      <c r="R3" s="879"/>
      <c r="S3" s="7"/>
    </row>
    <row r="4" spans="1:27" ht="26.45" customHeight="1" thickBot="1" x14ac:dyDescent="0.5">
      <c r="B4" s="877"/>
      <c r="C4" s="878"/>
      <c r="D4" s="880" t="s">
        <v>195</v>
      </c>
      <c r="E4" s="878"/>
      <c r="F4" s="8" t="s">
        <v>239</v>
      </c>
      <c r="G4" s="879"/>
      <c r="H4" s="879"/>
      <c r="I4" s="879"/>
      <c r="J4" s="879"/>
      <c r="K4" s="1737" t="s">
        <v>723</v>
      </c>
      <c r="L4" s="1738"/>
      <c r="M4" s="1739"/>
      <c r="N4" s="881">
        <f>(N9+N46+N59+N69+N76+N79+N92)/7</f>
        <v>0.6398166705296654</v>
      </c>
      <c r="O4" s="882">
        <f>(O9+O46+O59+O69+O76+O79+O92)</f>
        <v>42.698216276544017</v>
      </c>
      <c r="P4" s="881">
        <f>O4/100</f>
        <v>0.42698216276544015</v>
      </c>
      <c r="Q4" s="878"/>
      <c r="R4" s="879"/>
      <c r="S4" s="7"/>
    </row>
    <row r="5" spans="1:27" ht="18.399999999999999" thickBot="1" x14ac:dyDescent="0.6">
      <c r="B5" s="1740"/>
      <c r="C5" s="1741"/>
      <c r="D5" s="1741"/>
      <c r="E5" s="1741"/>
      <c r="F5" s="1741"/>
      <c r="G5" s="1741"/>
      <c r="H5" s="1741"/>
      <c r="I5" s="1741"/>
      <c r="J5" s="1741"/>
      <c r="K5" s="1741"/>
      <c r="L5" s="68"/>
      <c r="M5" s="883">
        <f>100/28</f>
        <v>3.5714285714285716</v>
      </c>
      <c r="N5" s="9"/>
      <c r="O5" s="647"/>
      <c r="P5" s="647"/>
      <c r="Q5" s="884"/>
      <c r="R5" s="9"/>
      <c r="S5" s="10"/>
    </row>
    <row r="6" spans="1:27" ht="33.6" customHeight="1" thickBot="1" x14ac:dyDescent="0.5">
      <c r="B6" s="1742"/>
      <c r="C6" s="1743"/>
      <c r="D6" s="1743"/>
      <c r="E6" s="1743"/>
      <c r="F6" s="1744"/>
      <c r="G6" s="885"/>
      <c r="H6" s="885"/>
      <c r="I6" s="885"/>
      <c r="J6" s="885"/>
      <c r="K6" s="885"/>
      <c r="L6" s="885"/>
      <c r="M6" s="885"/>
      <c r="N6" s="886"/>
      <c r="O6" s="887"/>
      <c r="P6" s="887"/>
      <c r="Q6" s="886"/>
      <c r="R6" s="12"/>
      <c r="S6" s="13"/>
    </row>
    <row r="7" spans="1:27" ht="55.8" customHeight="1" thickBot="1" x14ac:dyDescent="0.5">
      <c r="B7" s="1745"/>
      <c r="C7" s="1746"/>
      <c r="D7" s="1746"/>
      <c r="E7" s="1746"/>
      <c r="F7" s="1747"/>
      <c r="G7" s="888"/>
      <c r="H7" s="889" t="s">
        <v>218</v>
      </c>
      <c r="I7" s="890" t="s">
        <v>219</v>
      </c>
      <c r="J7" s="891" t="s">
        <v>91</v>
      </c>
      <c r="K7" s="892" t="s">
        <v>107</v>
      </c>
      <c r="L7" s="892" t="s">
        <v>104</v>
      </c>
      <c r="M7" s="892" t="s">
        <v>105</v>
      </c>
      <c r="N7" s="890" t="s">
        <v>106</v>
      </c>
      <c r="O7" s="890" t="s">
        <v>646</v>
      </c>
      <c r="P7" s="893" t="s">
        <v>647</v>
      </c>
      <c r="Q7" s="894" t="s">
        <v>93</v>
      </c>
      <c r="R7" s="895" t="s">
        <v>110</v>
      </c>
      <c r="S7" s="896" t="s">
        <v>103</v>
      </c>
    </row>
    <row r="8" spans="1:27" ht="25.25" customHeight="1" thickBot="1" x14ac:dyDescent="0.5">
      <c r="B8" s="897" t="s">
        <v>2</v>
      </c>
      <c r="C8" s="897" t="s">
        <v>92</v>
      </c>
      <c r="D8" s="897" t="s">
        <v>3</v>
      </c>
      <c r="E8" s="897" t="s">
        <v>94</v>
      </c>
      <c r="F8" s="897" t="s">
        <v>102</v>
      </c>
      <c r="G8" s="897" t="s">
        <v>96</v>
      </c>
      <c r="H8" s="898"/>
      <c r="I8" s="899"/>
      <c r="J8" s="898"/>
      <c r="K8" s="900"/>
      <c r="L8" s="900"/>
      <c r="M8" s="897"/>
      <c r="N8" s="901"/>
      <c r="O8" s="902"/>
      <c r="P8" s="903"/>
      <c r="Q8" s="899"/>
      <c r="R8" s="901"/>
      <c r="S8" s="901"/>
      <c r="V8" s="904" t="s">
        <v>151</v>
      </c>
      <c r="W8" s="905"/>
      <c r="X8" s="905"/>
      <c r="Y8" s="905"/>
      <c r="Z8" s="906"/>
    </row>
    <row r="9" spans="1:27" s="207" customFormat="1" ht="25.25" customHeight="1" thickBot="1" x14ac:dyDescent="0.5">
      <c r="B9" s="1748" t="s">
        <v>0</v>
      </c>
      <c r="C9" s="1749"/>
      <c r="D9" s="1749"/>
      <c r="E9" s="1749"/>
      <c r="F9" s="1750"/>
      <c r="G9" s="907"/>
      <c r="H9" s="908"/>
      <c r="I9" s="909"/>
      <c r="J9" s="910"/>
      <c r="K9" s="910"/>
      <c r="L9" s="910"/>
      <c r="M9" s="907"/>
      <c r="N9" s="911">
        <f>(N10+N18+N23+N32+N37+N40+N43)/7</f>
        <v>2.1089415856613551</v>
      </c>
      <c r="O9" s="912">
        <f>(O10+O18+O23+O32+O37+O40+O43)</f>
        <v>21.164118076075116</v>
      </c>
      <c r="P9" s="913">
        <f>O9/42.857136</f>
        <v>0.49382950078780619</v>
      </c>
      <c r="Q9" s="910"/>
      <c r="R9" s="914"/>
      <c r="S9" s="914"/>
      <c r="U9" s="915"/>
      <c r="V9" s="916"/>
      <c r="W9" s="917"/>
      <c r="X9" s="917"/>
      <c r="Y9" s="917"/>
      <c r="Z9" s="918"/>
      <c r="AA9" s="915"/>
    </row>
    <row r="10" spans="1:27" s="109" customFormat="1" ht="25.25" customHeight="1" thickBot="1" x14ac:dyDescent="0.5">
      <c r="B10" s="1751" t="s">
        <v>1</v>
      </c>
      <c r="C10" s="1752"/>
      <c r="D10" s="1752"/>
      <c r="E10" s="1752"/>
      <c r="F10" s="1753"/>
      <c r="G10" s="919"/>
      <c r="H10" s="920"/>
      <c r="I10" s="921"/>
      <c r="J10" s="922"/>
      <c r="K10" s="922"/>
      <c r="L10" s="922"/>
      <c r="M10" s="919"/>
      <c r="N10" s="911">
        <f>(N11+N13+N15)/3</f>
        <v>1.2492599615369355</v>
      </c>
      <c r="O10" s="912">
        <f>(O11+O13+O15)</f>
        <v>5.4205919429677873</v>
      </c>
      <c r="P10" s="913">
        <f>O10/10.714284</f>
        <v>0.50592199562451279</v>
      </c>
      <c r="Q10" s="922"/>
      <c r="R10" s="923"/>
      <c r="S10" s="923"/>
      <c r="U10" s="924"/>
      <c r="V10" s="925"/>
      <c r="W10" s="926"/>
      <c r="X10" s="926"/>
      <c r="Y10" s="926"/>
      <c r="Z10" s="927"/>
      <c r="AA10" s="924"/>
    </row>
    <row r="11" spans="1:27" ht="27.6" customHeight="1" x14ac:dyDescent="0.45">
      <c r="A11" s="1617">
        <v>1</v>
      </c>
      <c r="B11" s="1733" t="s">
        <v>4</v>
      </c>
      <c r="C11" s="1735">
        <f>M5</f>
        <v>3.5714285714285716</v>
      </c>
      <c r="D11" s="928" t="s">
        <v>111</v>
      </c>
      <c r="E11" s="929">
        <f>$C$11/2</f>
        <v>1.7857142857142858</v>
      </c>
      <c r="F11" s="930" t="s">
        <v>5</v>
      </c>
      <c r="G11" s="931">
        <f>E11/1</f>
        <v>1.7857142857142858</v>
      </c>
      <c r="H11" s="302">
        <v>881</v>
      </c>
      <c r="I11" s="303">
        <v>803</v>
      </c>
      <c r="J11" s="932">
        <f>(H11-I11)</f>
        <v>78</v>
      </c>
      <c r="K11" s="933">
        <f>(0.3*I11)*6/10</f>
        <v>144.54</v>
      </c>
      <c r="L11" s="934">
        <f>I11+K11</f>
        <v>947.54</v>
      </c>
      <c r="M11" s="935">
        <f>IF(K11&lt;&gt;0,J11/K11,"0%")</f>
        <v>0.53964300539643006</v>
      </c>
      <c r="N11" s="1731">
        <f>(((G11/C11)*M11)+((G12/C11)*M12))</f>
        <v>-0.69509077800353991</v>
      </c>
      <c r="O11" s="1646">
        <f>IF((((G11/C11)*M11)+((G12/C11)*M12))&gt;=1,3.57148,IF((((G11/C11)*M11)+((G12/C11)*M12))&lt;=0,0, (((G11/C11)*M11)+((G12/C11)*M12))*3.571428))</f>
        <v>0</v>
      </c>
      <c r="P11" s="1630">
        <f>O11/3.571428</f>
        <v>0</v>
      </c>
      <c r="Q11" s="936" t="s">
        <v>97</v>
      </c>
      <c r="R11" s="154" t="s">
        <v>442</v>
      </c>
      <c r="S11" s="155"/>
      <c r="V11" s="937" t="s">
        <v>109</v>
      </c>
      <c r="W11" s="938" t="e">
        <f>#REF!</f>
        <v>#REF!</v>
      </c>
      <c r="X11" s="939"/>
      <c r="Y11" s="939"/>
      <c r="Z11" s="940"/>
    </row>
    <row r="12" spans="1:27" ht="51.75" customHeight="1" thickBot="1" x14ac:dyDescent="0.5">
      <c r="A12" s="1617"/>
      <c r="B12" s="1734"/>
      <c r="C12" s="1736"/>
      <c r="D12" s="941" t="s">
        <v>112</v>
      </c>
      <c r="E12" s="942">
        <f>$C$11/2</f>
        <v>1.7857142857142858</v>
      </c>
      <c r="F12" s="943" t="s">
        <v>281</v>
      </c>
      <c r="G12" s="944">
        <f>E12/1</f>
        <v>1.7857142857142858</v>
      </c>
      <c r="H12" s="1322">
        <v>4.9000000000000004</v>
      </c>
      <c r="I12" s="1323">
        <v>3.8</v>
      </c>
      <c r="J12" s="947">
        <f>I12-H12</f>
        <v>-1.1000000000000005</v>
      </c>
      <c r="K12" s="948">
        <f>(0.25*I12)*(6/10)</f>
        <v>0.56999999999999995</v>
      </c>
      <c r="L12" s="949">
        <f>I12-K12</f>
        <v>3.23</v>
      </c>
      <c r="M12" s="950">
        <f>IF(K12&lt;&gt;0,J12/K12,"0%")</f>
        <v>-1.9298245614035099</v>
      </c>
      <c r="N12" s="1732"/>
      <c r="O12" s="1647"/>
      <c r="P12" s="1631"/>
      <c r="Q12" s="951" t="s">
        <v>98</v>
      </c>
      <c r="R12" s="108" t="s">
        <v>443</v>
      </c>
      <c r="S12" s="284" t="s">
        <v>444</v>
      </c>
      <c r="V12" s="952">
        <v>0.02</v>
      </c>
      <c r="W12" s="953" t="e">
        <f>(W11-(W11*V12))</f>
        <v>#REF!</v>
      </c>
      <c r="X12" s="953" t="e">
        <f>W11-(V12*W11)</f>
        <v>#REF!</v>
      </c>
      <c r="Y12" s="939"/>
      <c r="Z12" s="940"/>
    </row>
    <row r="13" spans="1:27" ht="32.450000000000003" customHeight="1" x14ac:dyDescent="0.45">
      <c r="A13" s="1617">
        <v>2</v>
      </c>
      <c r="B13" s="1754" t="s">
        <v>6</v>
      </c>
      <c r="C13" s="1756">
        <f>M5</f>
        <v>3.5714285714285716</v>
      </c>
      <c r="D13" s="954" t="s">
        <v>273</v>
      </c>
      <c r="E13" s="955">
        <f>$C$13/2</f>
        <v>1.7857142857142858</v>
      </c>
      <c r="F13" s="956" t="s">
        <v>7</v>
      </c>
      <c r="G13" s="957">
        <f>E13/1</f>
        <v>1.7857142857142858</v>
      </c>
      <c r="H13" s="304">
        <v>16</v>
      </c>
      <c r="I13" s="305">
        <v>18</v>
      </c>
      <c r="J13" s="959">
        <f>IF(I13=H13,(5-H13),I13-H13)</f>
        <v>2</v>
      </c>
      <c r="K13" s="960">
        <f>IF(I13&lt;=5,0,((I13-5)*(6/10)))</f>
        <v>7.8</v>
      </c>
      <c r="L13" s="961">
        <f>I13-K13</f>
        <v>10.199999999999999</v>
      </c>
      <c r="M13" s="962">
        <f>IF(I13&lt;=5,(1+(5-H13)/5),(J13/K13))</f>
        <v>0.25641025641025644</v>
      </c>
      <c r="N13" s="1731">
        <f>(((G13/C13)*M13)+((G14/C13)*M14))</f>
        <v>0.51776598687353836</v>
      </c>
      <c r="O13" s="1646">
        <f>IF((((G13/C13)*M13)+((G14/C13)*M14))&gt;=1,3.57148,IF((((G13/C13)*M13)+((G14/C13)*M14))&lt;=0,0, (((G13/C13)*M13)+((G14/C13)*M14))*3.571428))</f>
        <v>1.8491639429677873</v>
      </c>
      <c r="P13" s="1630">
        <f>O13/3.571428</f>
        <v>0.51776598687353836</v>
      </c>
      <c r="Q13" s="963" t="s">
        <v>99</v>
      </c>
      <c r="R13" s="230" t="s">
        <v>445</v>
      </c>
      <c r="S13" s="708"/>
      <c r="V13" s="952">
        <v>0.02</v>
      </c>
      <c r="W13" s="953" t="e">
        <f>(#REF!-(#REF!*V13))</f>
        <v>#REF!</v>
      </c>
      <c r="X13" s="953" t="e">
        <f>(W11-(V12*W11))-((W11-(V12*W11))*0.02)-(((W11-(V12*W11))-((W11-(V12*W11))*0.02))*0.02)-(((W11-(V12*W11))-((W11-(V12*W11))*0.02)-(((W11-(V12*W11))-((W11-(V12*W11))*0.02))*0.02))*0.02)</f>
        <v>#REF!</v>
      </c>
      <c r="Y13" s="964" t="e">
        <f>(W11-W14)/W11</f>
        <v>#REF!</v>
      </c>
      <c r="Z13" s="940"/>
    </row>
    <row r="14" spans="1:27" ht="33" customHeight="1" thickBot="1" x14ac:dyDescent="0.5">
      <c r="A14" s="1617"/>
      <c r="B14" s="1755"/>
      <c r="C14" s="1757"/>
      <c r="D14" s="941" t="s">
        <v>274</v>
      </c>
      <c r="E14" s="965">
        <f>$C$13/2</f>
        <v>1.7857142857142858</v>
      </c>
      <c r="F14" s="966" t="s">
        <v>8</v>
      </c>
      <c r="G14" s="967">
        <f>E14/1</f>
        <v>1.7857142857142858</v>
      </c>
      <c r="H14" s="306">
        <v>82.1</v>
      </c>
      <c r="I14" s="307">
        <v>67.8</v>
      </c>
      <c r="J14" s="968">
        <f>H14-I14</f>
        <v>14.299999999999997</v>
      </c>
      <c r="K14" s="969">
        <f>(0.95*(100-I14))*6/10</f>
        <v>18.353999999999999</v>
      </c>
      <c r="L14" s="970">
        <f>K14+I14</f>
        <v>86.153999999999996</v>
      </c>
      <c r="M14" s="971">
        <f>IF(K14&lt;&gt;0,J14/K14,"1%")</f>
        <v>0.77912171733682023</v>
      </c>
      <c r="N14" s="1732"/>
      <c r="O14" s="1647"/>
      <c r="P14" s="1631"/>
      <c r="Q14" s="972" t="s">
        <v>100</v>
      </c>
      <c r="R14" s="156" t="s">
        <v>446</v>
      </c>
      <c r="S14" s="709"/>
      <c r="V14" s="973">
        <v>0.02</v>
      </c>
      <c r="W14" s="974" t="e">
        <f>(#REF!-(#REF!*V14))</f>
        <v>#REF!</v>
      </c>
      <c r="X14" s="974" t="e">
        <f>(W11-(V12*W11))-((W11-(V12*W11))*0.02)-(((W11-(V12*W11))-((W11-(V12*W11))*0.02))*0.02)-(((W11-(V12*W11))-((W11-(V12*W11))*0.02)-(((W11-(V12*W11))-((W11-(V12*W11))*0.02))*0.02))*0.02)-(((W11-(V12*W11))-((W11-(V12*W11))*0.02)-(((W11-(V12*W11))-((W11-(V12*W11))*0.02))*0.02)-(((W11-(V12*W11))-((W11-(V12*W11))*0.02)-(((W11-(V12*W11))-((W11-(V12*W12))*0.02))*0.02))*0.02))*0.02)-(((W11-(V12*W11))-((W11-(V12*W11))*0.02)-(((W11-(V12*W11))-((W11-(V12*W11))*0.02))*0.02)-(((W11-(V12*W11))-((W11-(V12*W11))*0.02)-(((W11-(V12*W11))-((W11-(V12*W11))*0.02))*0.02))*0.02)-(((W11-(V12*W11))-((W11-(V12*W11))*0.02)-(((W11-(V12*W11))-((W11-(V12*W11))*0.02))*0.02)-(((W11-(V12*W11))-((W11-(V12*W11))*0.02)-(((W11-(V12*W11))-((W11-(V12*W11))*0.02))*0.02))*0.02))*0.02))*0.02)</f>
        <v>#REF!</v>
      </c>
      <c r="Y14" s="975" t="e">
        <f>W11-X14</f>
        <v>#REF!</v>
      </c>
      <c r="Z14" s="976"/>
    </row>
    <row r="15" spans="1:27" ht="22.25" customHeight="1" x14ac:dyDescent="0.45">
      <c r="A15" s="1651">
        <v>3</v>
      </c>
      <c r="B15" s="1727" t="s">
        <v>9</v>
      </c>
      <c r="C15" s="1729">
        <f>M5</f>
        <v>3.5714285714285716</v>
      </c>
      <c r="D15" s="1727" t="s">
        <v>113</v>
      </c>
      <c r="E15" s="1729">
        <f>$C$15/1</f>
        <v>3.5714285714285716</v>
      </c>
      <c r="F15" s="977" t="s">
        <v>221</v>
      </c>
      <c r="G15" s="978">
        <f>$E$15/3</f>
        <v>1.1904761904761905</v>
      </c>
      <c r="H15" s="308">
        <v>33.5</v>
      </c>
      <c r="I15" s="309">
        <v>26.2</v>
      </c>
      <c r="J15" s="979">
        <f>H15-I15</f>
        <v>7.3000000000000007</v>
      </c>
      <c r="K15" s="980">
        <f>(0.5*I15)*6/10</f>
        <v>7.8599999999999994</v>
      </c>
      <c r="L15" s="934">
        <f>I15+K15</f>
        <v>34.06</v>
      </c>
      <c r="M15" s="935">
        <f>IF(K15&lt;&gt;0,J15/K15,"0%")</f>
        <v>0.92875318066157775</v>
      </c>
      <c r="N15" s="1702">
        <f>(((G15/C15)*M15)+((G16/C15)*M16)+((G17/C15)*M17))</f>
        <v>3.9251046757408079</v>
      </c>
      <c r="O15" s="1632">
        <f>IF((((G15/C15)*M15)+((G16/C15)*M16)+((G17/C15)*M17))&gt;=1,3.571428,IF((((G15/C15)*M15)+((G16/C15)*M16)+((G17/C15)*M17))&lt;=0,0,(((G15/C15)*M15)+((G16/C15)*M16)+((G17/C15)*M17))*3.571428))</f>
        <v>3.571428</v>
      </c>
      <c r="P15" s="1630">
        <f>O15/3.571428</f>
        <v>1</v>
      </c>
      <c r="Q15" s="981" t="s">
        <v>101</v>
      </c>
      <c r="R15" s="710" t="s">
        <v>447</v>
      </c>
      <c r="S15" s="711"/>
    </row>
    <row r="16" spans="1:27" x14ac:dyDescent="0.45">
      <c r="A16" s="1651"/>
      <c r="B16" s="1727"/>
      <c r="C16" s="1729"/>
      <c r="D16" s="1727"/>
      <c r="E16" s="1729"/>
      <c r="F16" s="982" t="s">
        <v>220</v>
      </c>
      <c r="G16" s="983">
        <f t="shared" ref="G16:G17" si="0">$E$15/3</f>
        <v>1.1904761904761905</v>
      </c>
      <c r="H16" s="233">
        <v>20</v>
      </c>
      <c r="I16" s="234">
        <v>17.5</v>
      </c>
      <c r="J16" s="986">
        <f>H16-I16</f>
        <v>2.5</v>
      </c>
      <c r="K16" s="987">
        <f>(0.5*I16)*6/10</f>
        <v>5.25</v>
      </c>
      <c r="L16" s="988">
        <f t="shared" ref="L16:L17" si="1">I16+K16</f>
        <v>22.75</v>
      </c>
      <c r="M16" s="989">
        <f>IF(K16&lt;&gt;0,J16/K16,"0%")</f>
        <v>0.47619047619047616</v>
      </c>
      <c r="N16" s="1657"/>
      <c r="O16" s="1633"/>
      <c r="P16" s="1635"/>
      <c r="Q16" s="990" t="s">
        <v>95</v>
      </c>
      <c r="R16" s="235"/>
      <c r="S16" s="383"/>
    </row>
    <row r="17" spans="1:19" ht="25.25" customHeight="1" thickBot="1" x14ac:dyDescent="0.5">
      <c r="A17" s="1651"/>
      <c r="B17" s="1728"/>
      <c r="C17" s="1730"/>
      <c r="D17" s="1728"/>
      <c r="E17" s="1730"/>
      <c r="F17" s="991" t="s">
        <v>10</v>
      </c>
      <c r="G17" s="992">
        <f t="shared" si="0"/>
        <v>1.1904761904761905</v>
      </c>
      <c r="H17" s="111">
        <v>37</v>
      </c>
      <c r="I17" s="112">
        <v>9</v>
      </c>
      <c r="J17" s="993">
        <f>H17-I17</f>
        <v>28</v>
      </c>
      <c r="K17" s="994">
        <f>(0.5*I17)*6/10</f>
        <v>2.7</v>
      </c>
      <c r="L17" s="949">
        <f t="shared" si="1"/>
        <v>11.7</v>
      </c>
      <c r="M17" s="950">
        <f>IF(K17&lt;&gt;0,J17/K17,"0%")</f>
        <v>10.37037037037037</v>
      </c>
      <c r="N17" s="1703"/>
      <c r="O17" s="1634"/>
      <c r="P17" s="1635"/>
      <c r="Q17" s="995" t="s">
        <v>162</v>
      </c>
      <c r="R17" s="712" t="s">
        <v>448</v>
      </c>
      <c r="S17" s="713"/>
    </row>
    <row r="18" spans="1:19" ht="21.4" thickBot="1" x14ac:dyDescent="0.7">
      <c r="A18" s="14"/>
      <c r="B18" s="1670" t="s">
        <v>11</v>
      </c>
      <c r="C18" s="1671"/>
      <c r="D18" s="1671"/>
      <c r="E18" s="1671"/>
      <c r="F18" s="1672"/>
      <c r="G18" s="996"/>
      <c r="H18" s="1274"/>
      <c r="I18" s="1274"/>
      <c r="J18" s="997"/>
      <c r="K18" s="997"/>
      <c r="L18" s="997"/>
      <c r="M18" s="998"/>
      <c r="N18" s="911">
        <f>N19</f>
        <v>0.3835443579238958</v>
      </c>
      <c r="O18" s="912">
        <f>O19</f>
        <v>1.3698010591314234</v>
      </c>
      <c r="P18" s="913">
        <f>O18/3.571428</f>
        <v>0.3835443579238958</v>
      </c>
      <c r="Q18" s="997"/>
      <c r="R18" s="371"/>
      <c r="S18" s="714"/>
    </row>
    <row r="19" spans="1:19" ht="34.25" customHeight="1" thickBot="1" x14ac:dyDescent="0.5">
      <c r="A19" s="1617">
        <v>4</v>
      </c>
      <c r="B19" s="1618" t="s">
        <v>12</v>
      </c>
      <c r="C19" s="1678">
        <f>M5</f>
        <v>3.5714285714285716</v>
      </c>
      <c r="D19" s="999" t="s">
        <v>114</v>
      </c>
      <c r="E19" s="931">
        <f>$C$19/4</f>
        <v>0.8928571428571429</v>
      </c>
      <c r="F19" s="1000" t="s">
        <v>222</v>
      </c>
      <c r="G19" s="978">
        <f>E19/1</f>
        <v>0.8928571428571429</v>
      </c>
      <c r="H19" s="101">
        <v>19.7</v>
      </c>
      <c r="I19" s="106">
        <v>17.899999999999999</v>
      </c>
      <c r="J19" s="1001">
        <f>H19-I19</f>
        <v>1.8000000000000007</v>
      </c>
      <c r="K19" s="980">
        <f>(2*I19)*6/10</f>
        <v>21.479999999999997</v>
      </c>
      <c r="L19" s="1002">
        <f t="shared" ref="L19:L22" si="2">K19+I19</f>
        <v>39.379999999999995</v>
      </c>
      <c r="M19" s="935">
        <f>IF(K19&lt;&gt;0,J19/K19,"0%")</f>
        <v>8.3798882681564296E-2</v>
      </c>
      <c r="N19" s="1721">
        <f>(((G19/C19)*M19)+((G20/C19)*M20)+((G21/C19)*M21)+((G22/C19)*M22))</f>
        <v>0.3835443579238958</v>
      </c>
      <c r="O19" s="1723">
        <f>IF((((G19/C19)*M19)+((G20/C19)*M20)+((G21/C19)*M21)+((G22/C19)*M22))&gt;=1,3.571428,IF((((G19/C19)*M19)+((G20/C19)*M20)+((G21/C19)*M21)+((G22/C19)*M22))&lt;=0,0,((((G19/C19)*M19)+((G20/C19)*M20)+((G21/C19)*M21)+((G22/C19)*M22))*3.571428)))</f>
        <v>1.3698010591314234</v>
      </c>
      <c r="P19" s="1630">
        <f>O19/3.571428</f>
        <v>0.3835443579238958</v>
      </c>
      <c r="Q19" s="1003" t="s">
        <v>163</v>
      </c>
      <c r="R19" s="157" t="s">
        <v>449</v>
      </c>
      <c r="S19" s="155" t="s">
        <v>450</v>
      </c>
    </row>
    <row r="20" spans="1:19" ht="39" customHeight="1" x14ac:dyDescent="0.45">
      <c r="A20" s="1617"/>
      <c r="B20" s="1619"/>
      <c r="C20" s="1685"/>
      <c r="D20" s="1004" t="s">
        <v>152</v>
      </c>
      <c r="E20" s="1005">
        <f>($C$19/4)</f>
        <v>0.8928571428571429</v>
      </c>
      <c r="F20" s="1006" t="s">
        <v>265</v>
      </c>
      <c r="G20" s="983">
        <f>E20/1</f>
        <v>0.8928571428571429</v>
      </c>
      <c r="H20" s="113">
        <v>90</v>
      </c>
      <c r="I20" s="107">
        <v>82.1</v>
      </c>
      <c r="J20" s="1007">
        <f t="shared" ref="J20:J24" si="3">H20-I20</f>
        <v>7.9000000000000057</v>
      </c>
      <c r="K20" s="987">
        <f>(100-I20)*(6/10)</f>
        <v>10.740000000000004</v>
      </c>
      <c r="L20" s="1008">
        <f t="shared" si="2"/>
        <v>92.84</v>
      </c>
      <c r="M20" s="935">
        <f>IF(K20&lt;&gt;0,J20/K20,"0%")</f>
        <v>0.73556797020484199</v>
      </c>
      <c r="N20" s="1722"/>
      <c r="O20" s="1633"/>
      <c r="P20" s="1635"/>
      <c r="Q20" s="1009" t="s">
        <v>164</v>
      </c>
      <c r="R20" s="158" t="s">
        <v>449</v>
      </c>
      <c r="S20" s="495" t="s">
        <v>451</v>
      </c>
    </row>
    <row r="21" spans="1:19" ht="56.45" customHeight="1" x14ac:dyDescent="0.45">
      <c r="A21" s="1617"/>
      <c r="B21" s="1619"/>
      <c r="C21" s="1685"/>
      <c r="D21" s="1004" t="s">
        <v>153</v>
      </c>
      <c r="E21" s="1005">
        <f t="shared" ref="E21:E22" si="4">($C$19/4)</f>
        <v>0.8928571428571429</v>
      </c>
      <c r="F21" s="1006" t="s">
        <v>155</v>
      </c>
      <c r="G21" s="983">
        <f>E21/1</f>
        <v>0.8928571428571429</v>
      </c>
      <c r="H21" s="310">
        <v>34.01</v>
      </c>
      <c r="I21" s="311">
        <v>30.2</v>
      </c>
      <c r="J21" s="1007">
        <f t="shared" si="3"/>
        <v>3.8099999999999987</v>
      </c>
      <c r="K21" s="987">
        <f>(0.3*I21)*6/10</f>
        <v>5.4359999999999991</v>
      </c>
      <c r="L21" s="1008">
        <f t="shared" si="2"/>
        <v>35.635999999999996</v>
      </c>
      <c r="M21" s="989">
        <f>IF(K21&lt;&gt;0,J21/K21,"0%")</f>
        <v>0.70088300220750543</v>
      </c>
      <c r="N21" s="1722"/>
      <c r="O21" s="1633"/>
      <c r="P21" s="1635"/>
      <c r="Q21" s="1009" t="s">
        <v>165</v>
      </c>
      <c r="R21" s="374" t="s">
        <v>452</v>
      </c>
      <c r="S21" s="495" t="s">
        <v>539</v>
      </c>
    </row>
    <row r="22" spans="1:19" ht="36.6" customHeight="1" thickBot="1" x14ac:dyDescent="0.5">
      <c r="A22" s="1617"/>
      <c r="B22" s="1724"/>
      <c r="C22" s="1725"/>
      <c r="D22" s="966" t="s">
        <v>154</v>
      </c>
      <c r="E22" s="1010">
        <f t="shared" si="4"/>
        <v>0.8928571428571429</v>
      </c>
      <c r="F22" s="1011" t="s">
        <v>156</v>
      </c>
      <c r="G22" s="1012">
        <f>E22/1</f>
        <v>0.8928571428571429</v>
      </c>
      <c r="H22" s="312">
        <v>28.8</v>
      </c>
      <c r="I22" s="114">
        <v>28.2</v>
      </c>
      <c r="J22" s="1013">
        <f t="shared" si="3"/>
        <v>0.60000000000000142</v>
      </c>
      <c r="K22" s="994">
        <f>(100-I22)*(6/10)</f>
        <v>43.08</v>
      </c>
      <c r="L22" s="1014">
        <f t="shared" si="2"/>
        <v>71.28</v>
      </c>
      <c r="M22" s="950">
        <f>IF(K22&lt;&gt;0,J22/K22,"100%")</f>
        <v>1.3927576601671343E-2</v>
      </c>
      <c r="N22" s="1726"/>
      <c r="O22" s="1634"/>
      <c r="P22" s="1631"/>
      <c r="Q22" s="1015" t="s">
        <v>95</v>
      </c>
      <c r="R22" s="211" t="s">
        <v>449</v>
      </c>
      <c r="S22" s="495"/>
    </row>
    <row r="23" spans="1:19" ht="20.45" customHeight="1" thickBot="1" x14ac:dyDescent="0.5">
      <c r="B23" s="1614" t="s">
        <v>13</v>
      </c>
      <c r="C23" s="1615"/>
      <c r="D23" s="1615"/>
      <c r="E23" s="1615"/>
      <c r="F23" s="1616"/>
      <c r="G23" s="996"/>
      <c r="H23" s="1274"/>
      <c r="I23" s="1274"/>
      <c r="J23" s="1016"/>
      <c r="K23" s="1017"/>
      <c r="L23" s="1017"/>
      <c r="M23" s="1018"/>
      <c r="N23" s="911">
        <f>N24</f>
        <v>2.5998739866467186</v>
      </c>
      <c r="O23" s="912">
        <f>O24</f>
        <v>3.571428</v>
      </c>
      <c r="P23" s="913">
        <f>O23/3.571428</f>
        <v>1</v>
      </c>
      <c r="Q23" s="997"/>
      <c r="R23" s="375"/>
      <c r="S23" s="715"/>
    </row>
    <row r="24" spans="1:19" ht="36" customHeight="1" thickBot="1" x14ac:dyDescent="0.5">
      <c r="A24" s="1617">
        <v>5</v>
      </c>
      <c r="B24" s="1618" t="s">
        <v>14</v>
      </c>
      <c r="C24" s="1678">
        <f>M5</f>
        <v>3.5714285714285716</v>
      </c>
      <c r="D24" s="999" t="s">
        <v>115</v>
      </c>
      <c r="E24" s="931">
        <f>$C$24/4</f>
        <v>0.8928571428571429</v>
      </c>
      <c r="F24" s="999" t="s">
        <v>280</v>
      </c>
      <c r="G24" s="931">
        <f>E24/1</f>
        <v>0.8928571428571429</v>
      </c>
      <c r="H24" s="308">
        <v>12</v>
      </c>
      <c r="I24" s="106">
        <v>4.5999999999999996</v>
      </c>
      <c r="J24" s="1020">
        <f t="shared" si="3"/>
        <v>7.4</v>
      </c>
      <c r="K24" s="980">
        <f>(0.3*I24)*6/10</f>
        <v>0.82799999999999996</v>
      </c>
      <c r="L24" s="1002">
        <f>K24+I24</f>
        <v>5.4279999999999999</v>
      </c>
      <c r="M24" s="935">
        <f t="shared" ref="M24:M31" si="5">IF(K24&lt;&gt;0,J24/K24,"0%")</f>
        <v>8.9371980676328509</v>
      </c>
      <c r="N24" s="1721">
        <f>(((G24/C24)*M24)+((G25/C24)*M25)+ ((G26/C24)*M26)+((G27/C24)*M27)+((G28/C24)*M28)+((G29/C24)*M29)+((G30/C24)*M30)+((G31/C24)*M31))</f>
        <v>2.5998739866467186</v>
      </c>
      <c r="O24" s="1723">
        <f>IF((((G24/C24)*M24)+((G25/C24)*M25)+ ((G26/C24)*M26)+((G27/C24)*M27)+((G28/C24)*M28)+((G29/C24)*M29)+((G30/C24)*M30)+((G31/C24)*M31))&gt;=1,3.571428,IF((((G24/C24)*M24)+((G25/C24)*M25)+ ((G26/C24)*M26)+((G27/C24)*M27)+((G28/C24)*M28)+((G29/C24)*M29)+((G30/C24)*M30)+((G31/C24)*M31))&lt;=0,0,((((G24/C24)*M24)+((G25/C24)*M25)+ ((G26/C24)*M26)+((G27/C24)*M27)+((G28/C24)*M28)+((G29/C24)*M29)+((G30/C24)*M30)+((G31/C24)*M31))*3.571428)))</f>
        <v>3.571428</v>
      </c>
      <c r="P24" s="1630">
        <f>O24/3.571428</f>
        <v>1</v>
      </c>
      <c r="Q24" s="1021" t="s">
        <v>166</v>
      </c>
      <c r="R24" s="217" t="s">
        <v>453</v>
      </c>
      <c r="S24" s="155"/>
    </row>
    <row r="25" spans="1:19" ht="19.8" customHeight="1" thickBot="1" x14ac:dyDescent="0.5">
      <c r="A25" s="1617"/>
      <c r="B25" s="1619"/>
      <c r="C25" s="1685"/>
      <c r="D25" s="1625" t="s">
        <v>158</v>
      </c>
      <c r="E25" s="1688">
        <v>0.9</v>
      </c>
      <c r="F25" s="1004" t="s">
        <v>15</v>
      </c>
      <c r="G25" s="1005">
        <f>$E$25/3</f>
        <v>0.3</v>
      </c>
      <c r="H25" s="113">
        <v>720</v>
      </c>
      <c r="I25" s="107">
        <v>724</v>
      </c>
      <c r="J25" s="1022">
        <f t="shared" ref="J25:J30" si="6">I25-H25</f>
        <v>4</v>
      </c>
      <c r="K25" s="987">
        <f>(0.5*I25)*6/10</f>
        <v>217.2</v>
      </c>
      <c r="L25" s="1008">
        <f t="shared" ref="L25:L30" si="7">I25-K25</f>
        <v>506.8</v>
      </c>
      <c r="M25" s="989">
        <f t="shared" si="5"/>
        <v>1.841620626151013E-2</v>
      </c>
      <c r="N25" s="1722"/>
      <c r="O25" s="1633"/>
      <c r="P25" s="1635"/>
      <c r="Q25" s="1023" t="s">
        <v>167</v>
      </c>
      <c r="R25" s="212" t="s">
        <v>445</v>
      </c>
      <c r="S25" s="155"/>
    </row>
    <row r="26" spans="1:19" ht="19.8" customHeight="1" x14ac:dyDescent="0.45">
      <c r="A26" s="1617"/>
      <c r="B26" s="1619"/>
      <c r="C26" s="1685"/>
      <c r="D26" s="1713"/>
      <c r="E26" s="1714"/>
      <c r="F26" s="1004" t="s">
        <v>16</v>
      </c>
      <c r="G26" s="1005">
        <f t="shared" ref="G26:G27" si="8">$E$25/3</f>
        <v>0.3</v>
      </c>
      <c r="H26" s="113">
        <v>32</v>
      </c>
      <c r="I26" s="107">
        <v>33</v>
      </c>
      <c r="J26" s="1022">
        <f t="shared" si="6"/>
        <v>1</v>
      </c>
      <c r="K26" s="987">
        <f>(0.8*I26)*6/10</f>
        <v>15.84</v>
      </c>
      <c r="L26" s="1008">
        <f t="shared" si="7"/>
        <v>17.16</v>
      </c>
      <c r="M26" s="989">
        <f t="shared" si="5"/>
        <v>6.3131313131313135E-2</v>
      </c>
      <c r="N26" s="1722"/>
      <c r="O26" s="1633"/>
      <c r="P26" s="1635"/>
      <c r="Q26" s="1023" t="s">
        <v>168</v>
      </c>
      <c r="R26" s="240" t="s">
        <v>453</v>
      </c>
      <c r="S26" s="155"/>
    </row>
    <row r="27" spans="1:19" ht="19.8" customHeight="1" x14ac:dyDescent="0.45">
      <c r="A27" s="1617"/>
      <c r="B27" s="1619"/>
      <c r="C27" s="1685"/>
      <c r="D27" s="1713"/>
      <c r="E27" s="1714"/>
      <c r="F27" s="1004" t="s">
        <v>17</v>
      </c>
      <c r="G27" s="1005">
        <f t="shared" si="8"/>
        <v>0.3</v>
      </c>
      <c r="H27" s="113">
        <v>111</v>
      </c>
      <c r="I27" s="107">
        <v>123</v>
      </c>
      <c r="J27" s="1022">
        <f t="shared" si="6"/>
        <v>12</v>
      </c>
      <c r="K27" s="987">
        <f>(0.5*I27)*(6/10)</f>
        <v>36.9</v>
      </c>
      <c r="L27" s="1008">
        <f t="shared" si="7"/>
        <v>86.1</v>
      </c>
      <c r="M27" s="989">
        <f t="shared" si="5"/>
        <v>0.32520325203252032</v>
      </c>
      <c r="N27" s="1722"/>
      <c r="O27" s="1633"/>
      <c r="P27" s="1635"/>
      <c r="Q27" s="1023" t="s">
        <v>169</v>
      </c>
      <c r="R27" s="240"/>
      <c r="S27" s="495"/>
    </row>
    <row r="28" spans="1:19" ht="30.6" customHeight="1" x14ac:dyDescent="0.45">
      <c r="A28" s="22"/>
      <c r="B28" s="1619"/>
      <c r="C28" s="1685"/>
      <c r="D28" s="1625" t="s">
        <v>116</v>
      </c>
      <c r="E28" s="1688">
        <f t="shared" ref="E28:E31" si="9">$C$24/4</f>
        <v>0.8928571428571429</v>
      </c>
      <c r="F28" s="1004" t="s">
        <v>148</v>
      </c>
      <c r="G28" s="1005">
        <f>$E$28/3</f>
        <v>0.29761904761904762</v>
      </c>
      <c r="H28" s="113">
        <v>0.32</v>
      </c>
      <c r="I28" s="107">
        <v>0.82</v>
      </c>
      <c r="J28" s="1022">
        <f t="shared" si="6"/>
        <v>0.49999999999999994</v>
      </c>
      <c r="K28" s="987">
        <f>(0.5*I28)*(6/10)</f>
        <v>0.24599999999999997</v>
      </c>
      <c r="L28" s="1008">
        <f t="shared" si="7"/>
        <v>0.57399999999999995</v>
      </c>
      <c r="M28" s="989">
        <f t="shared" si="5"/>
        <v>2.0325203252032522</v>
      </c>
      <c r="N28" s="1658"/>
      <c r="O28" s="1633"/>
      <c r="P28" s="1635"/>
      <c r="Q28" s="1023" t="s">
        <v>170</v>
      </c>
      <c r="R28" s="212" t="s">
        <v>454</v>
      </c>
      <c r="S28" s="495"/>
    </row>
    <row r="29" spans="1:19" ht="20.45" customHeight="1" thickBot="1" x14ac:dyDescent="0.5">
      <c r="A29" s="22"/>
      <c r="B29" s="1619"/>
      <c r="C29" s="1685"/>
      <c r="D29" s="1713"/>
      <c r="E29" s="1714"/>
      <c r="F29" s="1004" t="s">
        <v>149</v>
      </c>
      <c r="G29" s="1005">
        <f t="shared" ref="G29:G30" si="10">$E$28/3</f>
        <v>0.29761904761904762</v>
      </c>
      <c r="H29" s="470"/>
      <c r="I29" s="496">
        <v>604</v>
      </c>
      <c r="J29" s="1022">
        <f t="shared" si="6"/>
        <v>604</v>
      </c>
      <c r="K29" s="987">
        <f>(0.5*I29)*(6/10)</f>
        <v>181.2</v>
      </c>
      <c r="L29" s="1008">
        <f t="shared" si="7"/>
        <v>422.8</v>
      </c>
      <c r="M29" s="989" t="str">
        <f>IF(H29=0,"0%",J29/K29)</f>
        <v>0%</v>
      </c>
      <c r="N29" s="1658"/>
      <c r="O29" s="1633"/>
      <c r="P29" s="1635"/>
      <c r="Q29" s="1023" t="s">
        <v>171</v>
      </c>
      <c r="R29" s="212" t="s">
        <v>455</v>
      </c>
      <c r="S29" s="282" t="s">
        <v>689</v>
      </c>
    </row>
    <row r="30" spans="1:19" ht="20.45" customHeight="1" x14ac:dyDescent="0.45">
      <c r="A30" s="22"/>
      <c r="B30" s="1718"/>
      <c r="C30" s="1714"/>
      <c r="D30" s="1713"/>
      <c r="E30" s="1714"/>
      <c r="F30" s="1004" t="s">
        <v>150</v>
      </c>
      <c r="G30" s="1005">
        <f t="shared" si="10"/>
        <v>0.29761904761904762</v>
      </c>
      <c r="H30" s="113">
        <v>97.6</v>
      </c>
      <c r="I30" s="107">
        <v>109</v>
      </c>
      <c r="J30" s="1022">
        <f t="shared" si="6"/>
        <v>11.400000000000006</v>
      </c>
      <c r="K30" s="987">
        <f>(0.5*I30)*(6/10)</f>
        <v>32.699999999999996</v>
      </c>
      <c r="L30" s="1008">
        <f t="shared" si="7"/>
        <v>76.300000000000011</v>
      </c>
      <c r="M30" s="989">
        <f t="shared" si="5"/>
        <v>0.34862385321100942</v>
      </c>
      <c r="N30" s="1658"/>
      <c r="O30" s="1633"/>
      <c r="P30" s="1635"/>
      <c r="Q30" s="1023" t="s">
        <v>172</v>
      </c>
      <c r="R30" s="212"/>
      <c r="S30" s="495" t="s">
        <v>456</v>
      </c>
    </row>
    <row r="31" spans="1:19" ht="34.9" customHeight="1" thickBot="1" x14ac:dyDescent="0.5">
      <c r="A31" s="22"/>
      <c r="B31" s="1719"/>
      <c r="C31" s="1720"/>
      <c r="D31" s="1024" t="s">
        <v>117</v>
      </c>
      <c r="E31" s="944">
        <f t="shared" si="9"/>
        <v>0.8928571428571429</v>
      </c>
      <c r="F31" s="1025" t="s">
        <v>223</v>
      </c>
      <c r="G31" s="944">
        <f>E31/1</f>
        <v>0.8928571428571429</v>
      </c>
      <c r="H31" s="115">
        <v>68</v>
      </c>
      <c r="I31" s="114">
        <v>53</v>
      </c>
      <c r="J31" s="1026">
        <f t="shared" ref="J31" si="11">H31-I31</f>
        <v>15</v>
      </c>
      <c r="K31" s="994">
        <f>(100-I31)*(6/10)</f>
        <v>28.2</v>
      </c>
      <c r="L31" s="1014">
        <f>K31+I31</f>
        <v>81.2</v>
      </c>
      <c r="M31" s="971">
        <f t="shared" si="5"/>
        <v>0.53191489361702127</v>
      </c>
      <c r="N31" s="1659"/>
      <c r="O31" s="1634"/>
      <c r="P31" s="1631"/>
      <c r="Q31" s="1027" t="s">
        <v>95</v>
      </c>
      <c r="R31" s="241" t="s">
        <v>457</v>
      </c>
      <c r="S31" s="1324" t="s">
        <v>458</v>
      </c>
    </row>
    <row r="32" spans="1:19" ht="20.45" customHeight="1" thickBot="1" x14ac:dyDescent="0.5">
      <c r="B32" s="1715" t="s">
        <v>18</v>
      </c>
      <c r="C32" s="1716"/>
      <c r="D32" s="1716"/>
      <c r="E32" s="1716"/>
      <c r="F32" s="1717"/>
      <c r="G32" s="996"/>
      <c r="H32" s="242"/>
      <c r="I32" s="243"/>
      <c r="J32" s="1028"/>
      <c r="K32" s="1029"/>
      <c r="L32" s="1030"/>
      <c r="M32" s="1031"/>
      <c r="N32" s="911">
        <f>(N33+N34+N35+N36)/4</f>
        <v>6.2084600305985855</v>
      </c>
      <c r="O32" s="912">
        <f>(O33+O34+O35+O36)</f>
        <v>5.866321493975903</v>
      </c>
      <c r="P32" s="913">
        <f>O32/14.285712</f>
        <v>0.41064257028112444</v>
      </c>
      <c r="Q32" s="997"/>
      <c r="R32" s="372"/>
      <c r="S32" s="714"/>
    </row>
    <row r="33" spans="1:19" ht="33.6" customHeight="1" thickBot="1" x14ac:dyDescent="0.5">
      <c r="A33" s="22">
        <v>6</v>
      </c>
      <c r="B33" s="1032" t="s">
        <v>19</v>
      </c>
      <c r="C33" s="1033">
        <f>$M$5</f>
        <v>3.5714285714285716</v>
      </c>
      <c r="D33" s="1034" t="s">
        <v>287</v>
      </c>
      <c r="E33" s="1035">
        <f>C33/1</f>
        <v>3.5714285714285716</v>
      </c>
      <c r="F33" s="1032" t="s">
        <v>288</v>
      </c>
      <c r="G33" s="1033">
        <f>E33/1</f>
        <v>3.5714285714285716</v>
      </c>
      <c r="H33" s="116">
        <v>6.2</v>
      </c>
      <c r="I33" s="244">
        <v>3.9</v>
      </c>
      <c r="J33" s="1036">
        <f>IF(H33&lt;7,(H33-7),(H33-I33))</f>
        <v>-0.79999999999999982</v>
      </c>
      <c r="K33" s="1037">
        <f>IF((7-H33&gt;=0),(7-H33),0)</f>
        <v>0.79999999999999982</v>
      </c>
      <c r="L33" s="1038">
        <f>IF((I33&lt;7),7,I33)</f>
        <v>7</v>
      </c>
      <c r="M33" s="1039">
        <f>IF(K33&lt;&gt;0,J33/7,(1+((H33-I33)/I33)))</f>
        <v>-0.11428571428571425</v>
      </c>
      <c r="N33" s="1040">
        <f>((G33/C33)*M33)</f>
        <v>-0.11428571428571425</v>
      </c>
      <c r="O33" s="1041">
        <f>IF(((G33/C33)*M33)&gt;=1,3.571428,IF(((G33/C33)*M33)&lt;=0,0,((G33/C33)*M33)*3.571428))</f>
        <v>0</v>
      </c>
      <c r="P33" s="913">
        <f>O33/3.571428</f>
        <v>0</v>
      </c>
      <c r="Q33" s="1042" t="s">
        <v>97</v>
      </c>
      <c r="R33" s="215" t="s">
        <v>459</v>
      </c>
      <c r="S33" s="1325"/>
    </row>
    <row r="34" spans="1:19" ht="51" customHeight="1" thickBot="1" x14ac:dyDescent="0.5">
      <c r="A34" s="22">
        <v>7</v>
      </c>
      <c r="B34" s="1032" t="s">
        <v>20</v>
      </c>
      <c r="C34" s="1033">
        <f t="shared" ref="C34:C36" si="12">$M$5</f>
        <v>3.5714285714285716</v>
      </c>
      <c r="D34" s="1032" t="s">
        <v>118</v>
      </c>
      <c r="E34" s="1035">
        <f t="shared" ref="E34:E36" si="13">C34/1</f>
        <v>3.5714285714285716</v>
      </c>
      <c r="F34" s="1032" t="s">
        <v>21</v>
      </c>
      <c r="G34" s="1033">
        <f>E34/1</f>
        <v>3.5714285714285716</v>
      </c>
      <c r="H34" s="314">
        <v>9.9</v>
      </c>
      <c r="I34" s="315">
        <v>8.3000000000000007</v>
      </c>
      <c r="J34" s="1044">
        <f>H34-I34</f>
        <v>1.5999999999999996</v>
      </c>
      <c r="K34" s="1045">
        <f>(0.5*I34)*(6/10)</f>
        <v>2.4900000000000002</v>
      </c>
      <c r="L34" s="1046">
        <f>K34+I34</f>
        <v>10.790000000000001</v>
      </c>
      <c r="M34" s="1039">
        <f>IF(K34&lt;&gt;0,J34/K34,"0%")</f>
        <v>0.64257028112449777</v>
      </c>
      <c r="N34" s="1040">
        <f>((G34/C34)*M34)</f>
        <v>0.64257028112449777</v>
      </c>
      <c r="O34" s="1041">
        <f>IF(((G34/C34)*M34)&gt;=1,3.571428,IF(((G34/C34)*M34)&lt;=0,0,((G34/C34)*M34)*3.571428))</f>
        <v>2.2948934939759029</v>
      </c>
      <c r="P34" s="913">
        <f t="shared" ref="P34:P36" si="14">O34/3.571428</f>
        <v>0.64257028112449777</v>
      </c>
      <c r="Q34" s="1042" t="s">
        <v>173</v>
      </c>
      <c r="R34" s="245" t="s">
        <v>460</v>
      </c>
      <c r="S34" s="391" t="s">
        <v>461</v>
      </c>
    </row>
    <row r="35" spans="1:19" ht="40.799999999999997" customHeight="1" thickBot="1" x14ac:dyDescent="0.5">
      <c r="A35" s="22">
        <v>8</v>
      </c>
      <c r="B35" s="1032" t="s">
        <v>22</v>
      </c>
      <c r="C35" s="1033">
        <f t="shared" si="12"/>
        <v>3.5714285714285716</v>
      </c>
      <c r="D35" s="1032" t="s">
        <v>119</v>
      </c>
      <c r="E35" s="1035">
        <f t="shared" si="13"/>
        <v>3.5714285714285716</v>
      </c>
      <c r="F35" s="1032" t="s">
        <v>23</v>
      </c>
      <c r="G35" s="1033">
        <f>E35/1</f>
        <v>3.5714285714285716</v>
      </c>
      <c r="H35" s="472"/>
      <c r="I35" s="264"/>
      <c r="J35" s="1047">
        <f>H35-I35</f>
        <v>0</v>
      </c>
      <c r="K35" s="1048">
        <f>IF((I35&gt;=1),0,((1-I35)*0.6))</f>
        <v>0.6</v>
      </c>
      <c r="L35" s="1038">
        <f>I35+K35</f>
        <v>0.6</v>
      </c>
      <c r="M35" s="1039">
        <f>IF(K35&lt;&gt;0,J35/K35,"0%")</f>
        <v>0</v>
      </c>
      <c r="N35" s="1040">
        <f>((G35/C35)*M35)</f>
        <v>0</v>
      </c>
      <c r="O35" s="1041">
        <f>IF(((G35/C35)*M35)&gt;=1,3.571428,IF(((G35/C35)*M35)&lt;=0,0,((G35/C35)*M35)*3.571428))</f>
        <v>0</v>
      </c>
      <c r="P35" s="913">
        <f t="shared" si="14"/>
        <v>0</v>
      </c>
      <c r="Q35" s="1042" t="s">
        <v>174</v>
      </c>
      <c r="R35" s="161"/>
      <c r="S35" s="193" t="s">
        <v>615</v>
      </c>
    </row>
    <row r="36" spans="1:19" ht="32.450000000000003" customHeight="1" thickBot="1" x14ac:dyDescent="0.5">
      <c r="A36" s="22">
        <v>9</v>
      </c>
      <c r="B36" s="1032" t="s">
        <v>24</v>
      </c>
      <c r="C36" s="1033">
        <f t="shared" si="12"/>
        <v>3.5714285714285716</v>
      </c>
      <c r="D36" s="1032" t="s">
        <v>275</v>
      </c>
      <c r="E36" s="1035">
        <f t="shared" si="13"/>
        <v>3.5714285714285716</v>
      </c>
      <c r="F36" s="1049" t="s">
        <v>25</v>
      </c>
      <c r="G36" s="1033">
        <f>E36/1</f>
        <v>3.5714285714285716</v>
      </c>
      <c r="H36" s="675">
        <v>18.7</v>
      </c>
      <c r="I36" s="662">
        <v>1.2</v>
      </c>
      <c r="J36" s="1050">
        <f>H36-I36</f>
        <v>17.5</v>
      </c>
      <c r="K36" s="1051">
        <f>(1*I36)*(6/10)</f>
        <v>0.72</v>
      </c>
      <c r="L36" s="1052">
        <f>I36+K36</f>
        <v>1.92</v>
      </c>
      <c r="M36" s="1039">
        <f>IF(K36&lt;&gt;0,J36/K36,"0%")</f>
        <v>24.305555555555557</v>
      </c>
      <c r="N36" s="1040">
        <f>((G36/C36)*M36)</f>
        <v>24.305555555555557</v>
      </c>
      <c r="O36" s="1041">
        <f>IF(((G36/C36)*M36)&gt;=1,3.571428,IF(((G36/C36)*M36)&lt;=0,0,((G36/C36)*M36)*3.571428))</f>
        <v>3.571428</v>
      </c>
      <c r="P36" s="913">
        <f t="shared" si="14"/>
        <v>1</v>
      </c>
      <c r="Q36" s="1053" t="s">
        <v>175</v>
      </c>
      <c r="R36" s="296" t="s">
        <v>462</v>
      </c>
      <c r="S36" s="716" t="s">
        <v>690</v>
      </c>
    </row>
    <row r="37" spans="1:19" ht="30.6" customHeight="1" thickBot="1" x14ac:dyDescent="0.5">
      <c r="B37" s="1710" t="s">
        <v>26</v>
      </c>
      <c r="C37" s="1711"/>
      <c r="D37" s="1711"/>
      <c r="E37" s="1711"/>
      <c r="F37" s="1712"/>
      <c r="G37" s="1054"/>
      <c r="H37" s="1277"/>
      <c r="I37" s="1277"/>
      <c r="J37" s="1055"/>
      <c r="K37" s="1056"/>
      <c r="L37" s="1056"/>
      <c r="M37" s="1057"/>
      <c r="N37" s="911">
        <f>N38</f>
        <v>0</v>
      </c>
      <c r="O37" s="912">
        <f>O38</f>
        <v>0</v>
      </c>
      <c r="P37" s="913">
        <f>O37/3.571428</f>
        <v>0</v>
      </c>
      <c r="Q37" s="1058"/>
      <c r="R37" s="371"/>
      <c r="S37" s="372"/>
    </row>
    <row r="38" spans="1:19" ht="25.8" customHeight="1" thickBot="1" x14ac:dyDescent="0.5">
      <c r="A38" s="1617">
        <v>10</v>
      </c>
      <c r="B38" s="1618" t="s">
        <v>27</v>
      </c>
      <c r="C38" s="1678">
        <f>M5</f>
        <v>3.5714285714285716</v>
      </c>
      <c r="D38" s="977" t="s">
        <v>120</v>
      </c>
      <c r="E38" s="931">
        <f>$C$38/2</f>
        <v>1.7857142857142858</v>
      </c>
      <c r="F38" s="1059" t="s">
        <v>224</v>
      </c>
      <c r="G38" s="931">
        <f>E38/1</f>
        <v>1.7857142857142858</v>
      </c>
      <c r="H38" s="507"/>
      <c r="I38" s="508"/>
      <c r="J38" s="1060">
        <f>H38-I38</f>
        <v>0</v>
      </c>
      <c r="K38" s="1061">
        <f>(1*I38)*(6/10)</f>
        <v>0</v>
      </c>
      <c r="L38" s="1062">
        <f>I38+K38</f>
        <v>0</v>
      </c>
      <c r="M38" s="935" t="str">
        <f>IF(K38&lt;&gt;0,J38/K38,"0%")</f>
        <v>0%</v>
      </c>
      <c r="N38" s="1702">
        <f>(((G38/C38)*M38)+((G39/C38)*M39))</f>
        <v>0</v>
      </c>
      <c r="O38" s="1646">
        <f>IF((((G38/C38)*M38)+((G39/C38)*M39))&gt;=1,3.57148,IF((((G38/C38)*M38)+((G39/C38)*M39))&lt;=0,0, (((G38/C38)*M38)+((G39/C38)*M39))*3.571428))</f>
        <v>0</v>
      </c>
      <c r="P38" s="1630">
        <f>O38/3.571428</f>
        <v>0</v>
      </c>
      <c r="Q38" s="1063" t="s">
        <v>176</v>
      </c>
      <c r="R38" s="376"/>
      <c r="S38" s="193" t="s">
        <v>615</v>
      </c>
    </row>
    <row r="39" spans="1:19" ht="35.25" thickBot="1" x14ac:dyDescent="0.5">
      <c r="A39" s="1617"/>
      <c r="B39" s="1619"/>
      <c r="C39" s="1685"/>
      <c r="D39" s="982" t="s">
        <v>157</v>
      </c>
      <c r="E39" s="944">
        <f>$C$38/2</f>
        <v>1.7857142857142858</v>
      </c>
      <c r="F39" s="1064" t="s">
        <v>225</v>
      </c>
      <c r="G39" s="1005">
        <f>E39/1</f>
        <v>1.7857142857142858</v>
      </c>
      <c r="H39" s="470"/>
      <c r="I39" s="501"/>
      <c r="J39" s="1065">
        <f>H39-I39</f>
        <v>0</v>
      </c>
      <c r="K39" s="1066">
        <f>IF(AND(I39&gt;=10,H39&gt;=I39),0,((10-H39)*(6/10)))</f>
        <v>6</v>
      </c>
      <c r="L39" s="1067">
        <f>I39+K39</f>
        <v>6</v>
      </c>
      <c r="M39" s="950">
        <f>IF(K39&lt;&gt;0,J39/K39,"0%")</f>
        <v>0</v>
      </c>
      <c r="N39" s="1657"/>
      <c r="O39" s="1647"/>
      <c r="P39" s="1631"/>
      <c r="Q39" s="1068" t="s">
        <v>95</v>
      </c>
      <c r="R39" s="377"/>
      <c r="S39" s="193" t="s">
        <v>615</v>
      </c>
    </row>
    <row r="40" spans="1:19" ht="20.45" customHeight="1" thickBot="1" x14ac:dyDescent="0.5">
      <c r="B40" s="1679" t="s">
        <v>28</v>
      </c>
      <c r="C40" s="1680"/>
      <c r="D40" s="1680"/>
      <c r="E40" s="1704"/>
      <c r="F40" s="1681"/>
      <c r="G40" s="1054"/>
      <c r="H40" s="247"/>
      <c r="I40" s="247"/>
      <c r="J40" s="1069"/>
      <c r="K40" s="1070"/>
      <c r="L40" s="1070"/>
      <c r="M40" s="1071"/>
      <c r="N40" s="911">
        <f>N41</f>
        <v>3.9393939393939394</v>
      </c>
      <c r="O40" s="912">
        <f>O41</f>
        <v>3.5714800000000002</v>
      </c>
      <c r="P40" s="913">
        <f>O40/3.571428</f>
        <v>1.0000145600023296</v>
      </c>
      <c r="Q40" s="1072"/>
      <c r="R40" s="378"/>
      <c r="S40" s="375"/>
    </row>
    <row r="41" spans="1:19" ht="35.25" thickBot="1" x14ac:dyDescent="0.5">
      <c r="A41" s="1617">
        <v>11</v>
      </c>
      <c r="B41" s="1705" t="s">
        <v>29</v>
      </c>
      <c r="C41" s="1707">
        <f>M5</f>
        <v>3.5714285714285716</v>
      </c>
      <c r="D41" s="1073" t="s">
        <v>121</v>
      </c>
      <c r="E41" s="1074">
        <f>$C$41/2</f>
        <v>1.7857142857142858</v>
      </c>
      <c r="F41" s="956" t="s">
        <v>30</v>
      </c>
      <c r="G41" s="1075">
        <f>E41/1</f>
        <v>1.7857142857142858</v>
      </c>
      <c r="H41" s="319">
        <v>3</v>
      </c>
      <c r="I41" s="320">
        <v>-2.2000000000000002</v>
      </c>
      <c r="J41" s="1076">
        <f>H41-I41</f>
        <v>5.2</v>
      </c>
      <c r="K41" s="1077">
        <f>(0.5*I41)*(6/10)*-1</f>
        <v>0.66</v>
      </c>
      <c r="L41" s="1078">
        <f>I41+K41</f>
        <v>-1.54</v>
      </c>
      <c r="M41" s="935">
        <f>IF(K41&lt;&gt;0,J41/K41,"0%")</f>
        <v>7.8787878787878789</v>
      </c>
      <c r="N41" s="1709">
        <f>(((G41/C41)*M41)+(G42/C41)*M42)</f>
        <v>3.9393939393939394</v>
      </c>
      <c r="O41" s="1646">
        <f>IF((((G41/C41)*M41)+((G42/C41)*M42))&gt;=1,3.57148,IF((((G41/C41)*M41)+((G42/C41)*M42))&lt;=0,0, (((G41/C41)*M41)+((G42/C41)*M42))*3.571428))</f>
        <v>3.5714800000000002</v>
      </c>
      <c r="P41" s="1630">
        <f>O41/3.571428</f>
        <v>1.0000145600023296</v>
      </c>
      <c r="Q41" s="1079" t="s">
        <v>177</v>
      </c>
      <c r="R41" s="605" t="s">
        <v>463</v>
      </c>
      <c r="S41" s="258" t="s">
        <v>461</v>
      </c>
    </row>
    <row r="42" spans="1:19" ht="23.65" thickBot="1" x14ac:dyDescent="0.5">
      <c r="A42" s="1617"/>
      <c r="B42" s="1706"/>
      <c r="C42" s="1708"/>
      <c r="D42" s="1080" t="s">
        <v>122</v>
      </c>
      <c r="E42" s="1010">
        <f>$C$41/2</f>
        <v>1.7857142857142858</v>
      </c>
      <c r="F42" s="966" t="s">
        <v>31</v>
      </c>
      <c r="G42" s="1081">
        <f>E42/1</f>
        <v>1.7857142857142858</v>
      </c>
      <c r="H42" s="505"/>
      <c r="I42" s="506"/>
      <c r="J42" s="1082">
        <f>H42-I42</f>
        <v>0</v>
      </c>
      <c r="K42" s="969">
        <f>(0.5*I42)*(6/10)</f>
        <v>0</v>
      </c>
      <c r="L42" s="1083">
        <f>I42+K42</f>
        <v>0</v>
      </c>
      <c r="M42" s="950" t="str">
        <f>IF(K42&lt;&gt;0,J42/K42,"0%")</f>
        <v>0%</v>
      </c>
      <c r="N42" s="1709"/>
      <c r="O42" s="1647"/>
      <c r="P42" s="1631"/>
      <c r="Q42" s="1079" t="s">
        <v>95</v>
      </c>
      <c r="R42" s="688"/>
      <c r="S42" s="193" t="s">
        <v>615</v>
      </c>
    </row>
    <row r="43" spans="1:19" ht="30.6" customHeight="1" thickBot="1" x14ac:dyDescent="0.5">
      <c r="B43" s="1670" t="s">
        <v>32</v>
      </c>
      <c r="C43" s="1671"/>
      <c r="D43" s="1671"/>
      <c r="E43" s="1671"/>
      <c r="F43" s="1672"/>
      <c r="G43" s="996"/>
      <c r="H43" s="248"/>
      <c r="I43" s="248"/>
      <c r="J43" s="1084"/>
      <c r="K43" s="1085"/>
      <c r="L43" s="1085"/>
      <c r="M43" s="996"/>
      <c r="N43" s="911">
        <f>N44</f>
        <v>0.38205882352941178</v>
      </c>
      <c r="O43" s="912">
        <f>O44</f>
        <v>1.36449558</v>
      </c>
      <c r="P43" s="913">
        <f>O43/3.571428</f>
        <v>0.38205882352941178</v>
      </c>
      <c r="Q43" s="1086"/>
      <c r="R43" s="375"/>
      <c r="S43" s="375"/>
    </row>
    <row r="44" spans="1:19" ht="37.799999999999997" customHeight="1" thickBot="1" x14ac:dyDescent="0.5">
      <c r="A44" s="1617">
        <v>12</v>
      </c>
      <c r="B44" s="1624" t="s">
        <v>33</v>
      </c>
      <c r="C44" s="1678">
        <f>M5</f>
        <v>3.5714285714285716</v>
      </c>
      <c r="D44" s="999" t="s">
        <v>123</v>
      </c>
      <c r="E44" s="1087">
        <f>C44/2</f>
        <v>1.7857142857142858</v>
      </c>
      <c r="F44" s="999" t="s">
        <v>34</v>
      </c>
      <c r="G44" s="931">
        <f>$E$44/1</f>
        <v>1.7857142857142858</v>
      </c>
      <c r="H44" s="477"/>
      <c r="I44" s="491"/>
      <c r="J44" s="1088">
        <f>IF(I44=H44,(H44-30),H44-I44)</f>
        <v>-30</v>
      </c>
      <c r="K44" s="980">
        <f>IF(I44&gt;=30,0,((30-I44)*(6/10)))</f>
        <v>18</v>
      </c>
      <c r="L44" s="1089">
        <f>I44+K44</f>
        <v>18</v>
      </c>
      <c r="M44" s="989" t="str">
        <f>IF(H44=0,"0%",J44/K44)</f>
        <v>0%</v>
      </c>
      <c r="N44" s="1702">
        <f>(((G44/C44)*M44)+((G45/C44)*M45))</f>
        <v>0.38205882352941178</v>
      </c>
      <c r="O44" s="1646">
        <f>IF((((G44/C44)*M44)+((G45/C44)*M45))&gt;=1,3.57148,IF((((G44/C44)*M44)+((G45/C44)*M45))&lt;=0,0, (((G44/C44)*M44)+((G45/C44)*M45))*3.571428))</f>
        <v>1.36449558</v>
      </c>
      <c r="P44" s="1630">
        <f>O44/3.571428</f>
        <v>0.38205882352941178</v>
      </c>
      <c r="Q44" s="981" t="s">
        <v>178</v>
      </c>
      <c r="R44" s="689"/>
      <c r="S44" s="193" t="s">
        <v>615</v>
      </c>
    </row>
    <row r="45" spans="1:19" ht="35.25" thickBot="1" x14ac:dyDescent="0.5">
      <c r="A45" s="1617"/>
      <c r="B45" s="1626"/>
      <c r="C45" s="1686"/>
      <c r="D45" s="1024" t="s">
        <v>124</v>
      </c>
      <c r="E45" s="1090">
        <f>(C44/2)</f>
        <v>1.7857142857142858</v>
      </c>
      <c r="F45" s="1024" t="s">
        <v>35</v>
      </c>
      <c r="G45" s="944">
        <f>$E$45/1</f>
        <v>1.7857142857142858</v>
      </c>
      <c r="H45" s="99">
        <v>12.99</v>
      </c>
      <c r="I45" s="100">
        <v>12.99</v>
      </c>
      <c r="J45" s="1091">
        <f>IF(I45=H45,(H45-17),H45-I45)</f>
        <v>-4.01</v>
      </c>
      <c r="K45" s="1092">
        <f>IF(I45&gt;=17,0,((17-I45)*(6/10)))</f>
        <v>2.4059999999999997</v>
      </c>
      <c r="L45" s="1093">
        <f>I45+K45</f>
        <v>15.396000000000001</v>
      </c>
      <c r="M45" s="962">
        <f>IF(I45&gt;=17,(1+(H45-17)/17),(H45/17))</f>
        <v>0.76411764705882357</v>
      </c>
      <c r="N45" s="1703"/>
      <c r="O45" s="1647"/>
      <c r="P45" s="1631"/>
      <c r="Q45" s="995" t="s">
        <v>179</v>
      </c>
      <c r="R45" s="690" t="s">
        <v>464</v>
      </c>
      <c r="S45" s="469" t="s">
        <v>465</v>
      </c>
    </row>
    <row r="46" spans="1:19" ht="30.6" customHeight="1" thickBot="1" x14ac:dyDescent="0.5">
      <c r="B46" s="1694" t="s">
        <v>36</v>
      </c>
      <c r="C46" s="1695"/>
      <c r="D46" s="1695"/>
      <c r="E46" s="1695"/>
      <c r="F46" s="1696"/>
      <c r="G46" s="1095"/>
      <c r="H46" s="138"/>
      <c r="I46" s="139"/>
      <c r="J46" s="1096"/>
      <c r="K46" s="1097"/>
      <c r="L46" s="1097"/>
      <c r="M46" s="1098"/>
      <c r="N46" s="911">
        <f>(N47+N50+N52)/3</f>
        <v>0.7412186379928315</v>
      </c>
      <c r="O46" s="912">
        <f>(O47+O50+O52)</f>
        <v>5.5606749935483872</v>
      </c>
      <c r="P46" s="913">
        <f>O46/10.714284</f>
        <v>0.5189964157706094</v>
      </c>
      <c r="Q46" s="1099"/>
      <c r="R46" s="380"/>
      <c r="S46" s="380"/>
    </row>
    <row r="47" spans="1:19" ht="20.45" customHeight="1" thickBot="1" x14ac:dyDescent="0.5">
      <c r="B47" s="1614" t="s">
        <v>37</v>
      </c>
      <c r="C47" s="1615"/>
      <c r="D47" s="1615"/>
      <c r="E47" s="1615"/>
      <c r="F47" s="1616"/>
      <c r="G47" s="1100"/>
      <c r="H47" s="247"/>
      <c r="I47" s="247"/>
      <c r="J47" s="1101"/>
      <c r="K47" s="1102"/>
      <c r="L47" s="1102"/>
      <c r="M47" s="996"/>
      <c r="N47" s="911">
        <f>N48</f>
        <v>0</v>
      </c>
      <c r="O47" s="912">
        <f>O48</f>
        <v>0</v>
      </c>
      <c r="P47" s="913">
        <f>O47/3.571428</f>
        <v>0</v>
      </c>
      <c r="Q47" s="1086"/>
      <c r="R47" s="375"/>
      <c r="S47" s="375"/>
    </row>
    <row r="48" spans="1:19" ht="37.799999999999997" customHeight="1" thickBot="1" x14ac:dyDescent="0.5">
      <c r="A48" s="1617">
        <v>13</v>
      </c>
      <c r="B48" s="1624" t="s">
        <v>38</v>
      </c>
      <c r="C48" s="1678">
        <f>M5</f>
        <v>3.5714285714285716</v>
      </c>
      <c r="D48" s="999" t="s">
        <v>125</v>
      </c>
      <c r="E48" s="931">
        <f>$C$48/2</f>
        <v>1.7857142857142858</v>
      </c>
      <c r="F48" s="1103" t="s">
        <v>289</v>
      </c>
      <c r="G48" s="931">
        <f>E48/1</f>
        <v>1.7857142857142858</v>
      </c>
      <c r="H48" s="477"/>
      <c r="I48" s="497"/>
      <c r="J48" s="1104">
        <f>H48-I48</f>
        <v>0</v>
      </c>
      <c r="K48" s="1105">
        <f>(0.5*I48)* (6/10)</f>
        <v>0</v>
      </c>
      <c r="L48" s="1106">
        <f>I48-K48</f>
        <v>0</v>
      </c>
      <c r="M48" s="962" t="str">
        <f>IF(K48&lt;&gt;0,J48/K48,"0%")</f>
        <v>0%</v>
      </c>
      <c r="N48" s="1700">
        <f>(((G48/C48)*M48)+((G49/C48)*M49))</f>
        <v>0</v>
      </c>
      <c r="O48" s="1646">
        <f>IF((((G48/C48)*M48)+((G49/C48)*M49))&gt;=1,3.57148,IF((((G48/C48)*M48)+((G49/C48)*M49))&lt;=0,0, (((G48/C48)*M48)+((G49/C48)*M49))*3.571428))</f>
        <v>0</v>
      </c>
      <c r="P48" s="1630">
        <f>O48/3.571428</f>
        <v>0</v>
      </c>
      <c r="Q48" s="1021" t="s">
        <v>95</v>
      </c>
      <c r="R48" s="376" t="s">
        <v>466</v>
      </c>
      <c r="S48" s="522" t="s">
        <v>691</v>
      </c>
    </row>
    <row r="49" spans="1:19" ht="30.6" customHeight="1" thickBot="1" x14ac:dyDescent="0.5">
      <c r="A49" s="1617"/>
      <c r="B49" s="1626"/>
      <c r="C49" s="1686"/>
      <c r="D49" s="1024" t="s">
        <v>126</v>
      </c>
      <c r="E49" s="944">
        <f>$C$48/2</f>
        <v>1.7857142857142858</v>
      </c>
      <c r="F49" s="1024" t="s">
        <v>290</v>
      </c>
      <c r="G49" s="944">
        <f>E49/1</f>
        <v>1.7857142857142858</v>
      </c>
      <c r="H49" s="498"/>
      <c r="I49" s="499"/>
      <c r="J49" s="1026">
        <f>H49-I49</f>
        <v>0</v>
      </c>
      <c r="K49" s="1107">
        <f>(2*I49)*(6/10)</f>
        <v>0</v>
      </c>
      <c r="L49" s="1108">
        <f>I49+K49</f>
        <v>0</v>
      </c>
      <c r="M49" s="950" t="str">
        <f>IF(K49&lt;&gt;0,J49/K49,"0%")</f>
        <v>0%</v>
      </c>
      <c r="N49" s="1701"/>
      <c r="O49" s="1647"/>
      <c r="P49" s="1631"/>
      <c r="Q49" s="1027" t="s">
        <v>95</v>
      </c>
      <c r="R49" s="284" t="s">
        <v>467</v>
      </c>
      <c r="S49" s="193" t="s">
        <v>615</v>
      </c>
    </row>
    <row r="50" spans="1:19" ht="15" customHeight="1" thickBot="1" x14ac:dyDescent="0.5">
      <c r="B50" s="1670" t="s">
        <v>39</v>
      </c>
      <c r="C50" s="1671"/>
      <c r="D50" s="1671"/>
      <c r="E50" s="1671"/>
      <c r="F50" s="1672"/>
      <c r="G50" s="1109"/>
      <c r="H50" s="250"/>
      <c r="I50" s="250"/>
      <c r="J50" s="1110"/>
      <c r="K50" s="1110"/>
      <c r="L50" s="1110"/>
      <c r="M50" s="1111"/>
      <c r="N50" s="911">
        <f>N51</f>
        <v>1.6666666666666667</v>
      </c>
      <c r="O50" s="912">
        <f>O51</f>
        <v>3.571428</v>
      </c>
      <c r="P50" s="913">
        <f>O50/3.571428</f>
        <v>1</v>
      </c>
      <c r="Q50" s="1112"/>
      <c r="R50" s="381"/>
      <c r="S50" s="381"/>
    </row>
    <row r="51" spans="1:19" ht="30.6" customHeight="1" thickBot="1" x14ac:dyDescent="0.5">
      <c r="A51" s="21">
        <v>14</v>
      </c>
      <c r="B51" s="1113" t="s">
        <v>226</v>
      </c>
      <c r="C51" s="1114">
        <f>M5</f>
        <v>3.5714285714285716</v>
      </c>
      <c r="D51" s="1115" t="s">
        <v>272</v>
      </c>
      <c r="E51" s="1116">
        <f>C51</f>
        <v>3.5714285714285716</v>
      </c>
      <c r="F51" s="1117" t="s">
        <v>266</v>
      </c>
      <c r="G51" s="1118">
        <f>E51/1</f>
        <v>3.5714285714285716</v>
      </c>
      <c r="H51" s="572">
        <v>100</v>
      </c>
      <c r="I51" s="573">
        <v>0</v>
      </c>
      <c r="J51" s="1119">
        <f>H51-I51</f>
        <v>100</v>
      </c>
      <c r="K51" s="1120">
        <f>(100-I51)*(6/10)</f>
        <v>60</v>
      </c>
      <c r="L51" s="1121">
        <f>I51+K51</f>
        <v>60</v>
      </c>
      <c r="M51" s="971">
        <f>IF(K51&lt;&gt;0,J51/K51,"100%")</f>
        <v>1.6666666666666667</v>
      </c>
      <c r="N51" s="1040">
        <f>((G51/C51)*M51)</f>
        <v>1.6666666666666667</v>
      </c>
      <c r="O51" s="1041">
        <f>IF(((G51/C51)*M51)&gt;=1,3.571428,IF(((G51/C51)*M51)&lt;=0,0,((G51/C51)*M51)*3.571428))</f>
        <v>3.571428</v>
      </c>
      <c r="P51" s="913">
        <f>O51/3.571428</f>
        <v>1</v>
      </c>
      <c r="Q51" s="1122" t="s">
        <v>95</v>
      </c>
      <c r="R51" s="464" t="s">
        <v>466</v>
      </c>
      <c r="S51" s="464" t="s">
        <v>468</v>
      </c>
    </row>
    <row r="52" spans="1:19" ht="20.45" customHeight="1" thickBot="1" x14ac:dyDescent="0.5">
      <c r="B52" s="1670" t="s">
        <v>40</v>
      </c>
      <c r="C52" s="1671"/>
      <c r="D52" s="1671"/>
      <c r="E52" s="1671"/>
      <c r="F52" s="1672"/>
      <c r="G52" s="1100"/>
      <c r="H52" s="247"/>
      <c r="I52" s="247"/>
      <c r="J52" s="1101"/>
      <c r="K52" s="1102"/>
      <c r="L52" s="1102"/>
      <c r="M52" s="1018"/>
      <c r="N52" s="911">
        <f>N53</f>
        <v>0.55698924731182797</v>
      </c>
      <c r="O52" s="912">
        <f>O53</f>
        <v>1.9892469935483872</v>
      </c>
      <c r="P52" s="913">
        <f>O52/3.571428</f>
        <v>0.55698924731182797</v>
      </c>
      <c r="Q52" s="1123"/>
      <c r="R52" s="381"/>
      <c r="S52" s="381"/>
    </row>
    <row r="53" spans="1:19" ht="43.8" customHeight="1" thickBot="1" x14ac:dyDescent="0.5">
      <c r="A53" s="1617">
        <v>15</v>
      </c>
      <c r="B53" s="1618" t="s">
        <v>108</v>
      </c>
      <c r="C53" s="1678">
        <f>M5</f>
        <v>3.5714285714285716</v>
      </c>
      <c r="D53" s="1124" t="s">
        <v>127</v>
      </c>
      <c r="E53" s="1125">
        <f>$C$53/5</f>
        <v>0.7142857142857143</v>
      </c>
      <c r="F53" s="1126" t="s">
        <v>41</v>
      </c>
      <c r="G53" s="978">
        <f>E53/1</f>
        <v>0.7142857142857143</v>
      </c>
      <c r="H53" s="251">
        <v>0</v>
      </c>
      <c r="I53" s="252">
        <v>0</v>
      </c>
      <c r="J53" s="1001">
        <f>H53-I53</f>
        <v>0</v>
      </c>
      <c r="K53" s="1105">
        <f>(100-I53)*(6/10)</f>
        <v>60</v>
      </c>
      <c r="L53" s="1062">
        <f t="shared" ref="L53:L58" si="15">I53+K53</f>
        <v>60</v>
      </c>
      <c r="M53" s="935">
        <f t="shared" ref="M53:M55" si="16">IF(K53&lt;&gt;0,J53/K53,"0%")</f>
        <v>0</v>
      </c>
      <c r="N53" s="1697">
        <f>(((G53/C53)*M53)+((G54/C53)*M54)+((G55/C53)*M55)+((G56/C53)*M56)+((G57/C53)*M57)+((G58/C53)*M58))</f>
        <v>0.55698924731182797</v>
      </c>
      <c r="O53" s="1687">
        <f>IF((((G53/C53)*M53)+((G54/C53)*M54)+((G55/C53)*M55)+((G56/C53)*M56)+((G57/C53)*M57)+((G58/C53)*M58))&gt;=1,3.571428,IF((((G53/C53)*M53)+((G54/C53)*M54)+((G55/C53)*M55)+((G56/C53)*M56)+((G57/C53)*M57)+((G58/C53)*M58))&lt;=0,0,((((G53/C53)*M53)+((G54/C53)*M54)+((G55/C53)*M55)+((G56/C53)*M56)+((G57/C53)*M57)+((G58/C53)*M58))*3.571428)))</f>
        <v>1.9892469935483872</v>
      </c>
      <c r="P53" s="1630">
        <f>O53/3.571428</f>
        <v>0.55698924731182797</v>
      </c>
      <c r="Q53" s="1127" t="s">
        <v>95</v>
      </c>
      <c r="R53" s="382"/>
      <c r="S53" s="218" t="s">
        <v>692</v>
      </c>
    </row>
    <row r="54" spans="1:19" ht="35.450000000000003" customHeight="1" thickBot="1" x14ac:dyDescent="0.5">
      <c r="A54" s="1617"/>
      <c r="B54" s="1619"/>
      <c r="C54" s="1685"/>
      <c r="D54" s="1128" t="s">
        <v>128</v>
      </c>
      <c r="E54" s="1129">
        <f t="shared" ref="E54:E57" si="17">$C$53/5</f>
        <v>0.7142857142857143</v>
      </c>
      <c r="F54" s="1130" t="s">
        <v>42</v>
      </c>
      <c r="G54" s="983">
        <f>E54/1</f>
        <v>0.7142857142857143</v>
      </c>
      <c r="H54" s="113">
        <v>0</v>
      </c>
      <c r="I54" s="107">
        <v>0</v>
      </c>
      <c r="J54" s="1007">
        <f>H54-I54</f>
        <v>0</v>
      </c>
      <c r="K54" s="1066">
        <f>(100-I54)*(6/6)</f>
        <v>100</v>
      </c>
      <c r="L54" s="1067">
        <f>I54+K54</f>
        <v>100</v>
      </c>
      <c r="M54" s="989">
        <f t="shared" si="16"/>
        <v>0</v>
      </c>
      <c r="N54" s="1698"/>
      <c r="O54" s="1633"/>
      <c r="P54" s="1635"/>
      <c r="Q54" s="1131" t="s">
        <v>95</v>
      </c>
      <c r="R54" s="383"/>
      <c r="S54" s="218" t="s">
        <v>692</v>
      </c>
    </row>
    <row r="55" spans="1:19" ht="34.25" customHeight="1" x14ac:dyDescent="0.45">
      <c r="A55" s="1617"/>
      <c r="B55" s="1619"/>
      <c r="C55" s="1685"/>
      <c r="D55" s="1128" t="s">
        <v>129</v>
      </c>
      <c r="E55" s="1129">
        <f t="shared" si="17"/>
        <v>0.7142857142857143</v>
      </c>
      <c r="F55" s="1130" t="s">
        <v>43</v>
      </c>
      <c r="G55" s="983">
        <f>E55/1</f>
        <v>0.7142857142857143</v>
      </c>
      <c r="H55" s="113">
        <v>0</v>
      </c>
      <c r="I55" s="107">
        <v>0</v>
      </c>
      <c r="J55" s="1007">
        <f>H55-I55</f>
        <v>0</v>
      </c>
      <c r="K55" s="1066">
        <f>(100-I55)*(6/10)</f>
        <v>60</v>
      </c>
      <c r="L55" s="1067">
        <f t="shared" si="15"/>
        <v>60</v>
      </c>
      <c r="M55" s="989">
        <f t="shared" si="16"/>
        <v>0</v>
      </c>
      <c r="N55" s="1698"/>
      <c r="O55" s="1633"/>
      <c r="P55" s="1635"/>
      <c r="Q55" s="1131" t="s">
        <v>95</v>
      </c>
      <c r="R55" s="383"/>
      <c r="S55" s="218" t="s">
        <v>692</v>
      </c>
    </row>
    <row r="56" spans="1:19" ht="37.25" customHeight="1" thickBot="1" x14ac:dyDescent="0.5">
      <c r="A56" s="1617"/>
      <c r="B56" s="1619"/>
      <c r="C56" s="1685"/>
      <c r="D56" s="1128" t="s">
        <v>130</v>
      </c>
      <c r="E56" s="1129">
        <f t="shared" si="17"/>
        <v>0.7142857142857143</v>
      </c>
      <c r="F56" s="1130" t="s">
        <v>44</v>
      </c>
      <c r="G56" s="983">
        <f>E56/1</f>
        <v>0.7142857142857143</v>
      </c>
      <c r="H56" s="113">
        <v>272</v>
      </c>
      <c r="I56" s="107">
        <v>124</v>
      </c>
      <c r="J56" s="1007">
        <f>H56-I56</f>
        <v>148</v>
      </c>
      <c r="K56" s="1132">
        <f>(0.5*I56)*(6/7)</f>
        <v>53.142857142857139</v>
      </c>
      <c r="L56" s="1067">
        <f t="shared" si="15"/>
        <v>177.14285714285714</v>
      </c>
      <c r="M56" s="989">
        <f>IF(K56&lt;&gt;0,J56/K56,"0%")</f>
        <v>2.78494623655914</v>
      </c>
      <c r="N56" s="1698"/>
      <c r="O56" s="1633"/>
      <c r="P56" s="1635"/>
      <c r="Q56" s="1131" t="s">
        <v>101</v>
      </c>
      <c r="R56" s="383" t="s">
        <v>469</v>
      </c>
      <c r="S56" s="383"/>
    </row>
    <row r="57" spans="1:19" ht="22.8" customHeight="1" thickBot="1" x14ac:dyDescent="0.5">
      <c r="A57" s="1617"/>
      <c r="B57" s="1619"/>
      <c r="C57" s="1685"/>
      <c r="D57" s="1690" t="s">
        <v>131</v>
      </c>
      <c r="E57" s="1692">
        <f t="shared" si="17"/>
        <v>0.7142857142857143</v>
      </c>
      <c r="F57" s="1130" t="s">
        <v>45</v>
      </c>
      <c r="G57" s="983">
        <f>$E$57/2</f>
        <v>0.35714285714285715</v>
      </c>
      <c r="H57" s="473"/>
      <c r="I57" s="496"/>
      <c r="J57" s="1007">
        <f t="shared" ref="J57:J58" si="18">H57-I57</f>
        <v>0</v>
      </c>
      <c r="K57" s="1133">
        <f>(1*I57)*(6/10)</f>
        <v>0</v>
      </c>
      <c r="L57" s="1067">
        <f t="shared" si="15"/>
        <v>0</v>
      </c>
      <c r="M57" s="989" t="str">
        <f>IF(K57&lt;&gt;0,J57/K57,"0%")</f>
        <v>0%</v>
      </c>
      <c r="N57" s="1698"/>
      <c r="O57" s="1633"/>
      <c r="P57" s="1635"/>
      <c r="Q57" s="1131" t="s">
        <v>180</v>
      </c>
      <c r="R57" s="383"/>
      <c r="S57" s="193" t="s">
        <v>615</v>
      </c>
    </row>
    <row r="58" spans="1:19" ht="15" customHeight="1" thickBot="1" x14ac:dyDescent="0.5">
      <c r="A58" s="1617"/>
      <c r="B58" s="1620"/>
      <c r="C58" s="1686"/>
      <c r="D58" s="1691"/>
      <c r="E58" s="1693"/>
      <c r="F58" s="943" t="s">
        <v>46</v>
      </c>
      <c r="G58" s="992">
        <f>$E$57/2</f>
        <v>0.35714285714285715</v>
      </c>
      <c r="H58" s="500"/>
      <c r="I58" s="492"/>
      <c r="J58" s="1013">
        <f t="shared" si="18"/>
        <v>0</v>
      </c>
      <c r="K58" s="1107">
        <f>(1*I58)*(6/10)</f>
        <v>0</v>
      </c>
      <c r="L58" s="1134">
        <f t="shared" si="15"/>
        <v>0</v>
      </c>
      <c r="M58" s="950" t="str">
        <f>IF(K58&lt;&gt;0,J58/K58,"0%")</f>
        <v>0%</v>
      </c>
      <c r="N58" s="1699"/>
      <c r="O58" s="1634"/>
      <c r="P58" s="1631"/>
      <c r="Q58" s="1135" t="s">
        <v>95</v>
      </c>
      <c r="R58" s="384"/>
      <c r="S58" s="193" t="s">
        <v>615</v>
      </c>
    </row>
    <row r="59" spans="1:19" ht="23.45" customHeight="1" thickBot="1" x14ac:dyDescent="0.5">
      <c r="B59" s="1694" t="s">
        <v>47</v>
      </c>
      <c r="C59" s="1695"/>
      <c r="D59" s="1695"/>
      <c r="E59" s="1695"/>
      <c r="F59" s="1696"/>
      <c r="G59" s="1136"/>
      <c r="H59" s="254"/>
      <c r="I59" s="254"/>
      <c r="J59" s="1137"/>
      <c r="K59" s="1137"/>
      <c r="L59" s="1137"/>
      <c r="M59" s="1098"/>
      <c r="N59" s="911">
        <f>(N60+N67)/2</f>
        <v>8.3333333333333329E-2</v>
      </c>
      <c r="O59" s="912">
        <f>(O60+O67)</f>
        <v>0.59523799999999993</v>
      </c>
      <c r="P59" s="913">
        <f>O59/7.142856</f>
        <v>8.3333333333333329E-2</v>
      </c>
      <c r="Q59" s="1138"/>
      <c r="R59" s="385"/>
      <c r="S59" s="386"/>
    </row>
    <row r="60" spans="1:19" ht="22.25" customHeight="1" thickBot="1" x14ac:dyDescent="0.5">
      <c r="B60" s="1670" t="s">
        <v>48</v>
      </c>
      <c r="C60" s="1671"/>
      <c r="D60" s="1671"/>
      <c r="E60" s="1671"/>
      <c r="F60" s="1672"/>
      <c r="G60" s="996"/>
      <c r="H60" s="248"/>
      <c r="I60" s="248"/>
      <c r="J60" s="1016"/>
      <c r="K60" s="1017"/>
      <c r="L60" s="1017"/>
      <c r="M60" s="996"/>
      <c r="N60" s="911">
        <f>N61</f>
        <v>0.16666666666666666</v>
      </c>
      <c r="O60" s="912">
        <f>O61</f>
        <v>0.59523799999999993</v>
      </c>
      <c r="P60" s="913">
        <f>O60/3.571428</f>
        <v>0.16666666666666666</v>
      </c>
      <c r="Q60" s="997"/>
      <c r="R60" s="375"/>
      <c r="S60" s="375"/>
    </row>
    <row r="61" spans="1:19" ht="39" customHeight="1" thickBot="1" x14ac:dyDescent="0.5">
      <c r="A61" s="1617">
        <v>16</v>
      </c>
      <c r="B61" s="1618" t="s">
        <v>49</v>
      </c>
      <c r="C61" s="1678">
        <f>M5</f>
        <v>3.5714285714285716</v>
      </c>
      <c r="D61" s="999" t="s">
        <v>133</v>
      </c>
      <c r="E61" s="931">
        <f>$C$61/4</f>
        <v>0.8928571428571429</v>
      </c>
      <c r="F61" s="999" t="s">
        <v>50</v>
      </c>
      <c r="G61" s="978">
        <f>E61/1</f>
        <v>0.8928571428571429</v>
      </c>
      <c r="H61" s="489"/>
      <c r="I61" s="231"/>
      <c r="J61" s="1088">
        <f>IF(I61=H61,(H61-70),H61-I61)</f>
        <v>-70</v>
      </c>
      <c r="K61" s="980">
        <f>IF(I61&gt;=70,0,((70-I61)*(6/10)))</f>
        <v>42</v>
      </c>
      <c r="L61" s="1140">
        <f t="shared" ref="L61:L66" si="19">I61+K61</f>
        <v>42</v>
      </c>
      <c r="M61" s="989" t="str">
        <f>IF(H61=0,"0%",J61/K61)</f>
        <v>0%</v>
      </c>
      <c r="N61" s="1627">
        <f>(((G61/C61)*M61)+((G62/C61)*M62)+((G63/C61)*M63)+((G64/C61)*M64)+((G65/C61)*M65)+((G66/C61)*M66))</f>
        <v>0.16666666666666666</v>
      </c>
      <c r="O61" s="1687">
        <f>IF((((G61/C61)*M61)+((G62/C61)*M62)+((G63/C61)*M63)+((G64/C61)*M64)+((G65/C61)*M65)+((G66/C61)*M66))&gt;=1,3.571428,IF((((G61/C61)*M61)+((G62/C61)*M62)+((G63/C61)*M63)+((G64/C61)*M64)+((G65/C61)*M65)+((G66/C61)*M66))&lt;=0,0,((((G61/C61)*M61)+((G62/C61)*M62)+((G63/C61)*M63)+((G64/C61)*M64)+((G65/C61)*M65)+((G66/C61)*M66))*3.571428)))</f>
        <v>0.59523799999999993</v>
      </c>
      <c r="P61" s="1630">
        <f>O61/3.571428</f>
        <v>0.16666666666666666</v>
      </c>
      <c r="Q61" s="1063" t="s">
        <v>181</v>
      </c>
      <c r="R61" s="376"/>
      <c r="S61" s="193" t="s">
        <v>615</v>
      </c>
    </row>
    <row r="62" spans="1:19" ht="58.25" customHeight="1" thickBot="1" x14ac:dyDescent="0.5">
      <c r="A62" s="1617"/>
      <c r="B62" s="1619"/>
      <c r="C62" s="1685"/>
      <c r="D62" s="1004" t="s">
        <v>134</v>
      </c>
      <c r="E62" s="1005">
        <f t="shared" ref="E62:E63" si="20">$C$61/4</f>
        <v>0.8928571428571429</v>
      </c>
      <c r="F62" s="1128" t="s">
        <v>276</v>
      </c>
      <c r="G62" s="983">
        <f>$E$62/1</f>
        <v>0.8928571428571429</v>
      </c>
      <c r="H62" s="470"/>
      <c r="I62" s="496"/>
      <c r="J62" s="1141">
        <f>IF(I62=H62,(H62-70),H62-I62)</f>
        <v>-70</v>
      </c>
      <c r="K62" s="987">
        <f t="shared" ref="K62:K63" si="21">IF(I62&gt;=70,0,((70-I62)*(6/10)))</f>
        <v>42</v>
      </c>
      <c r="L62" s="1142">
        <f t="shared" si="19"/>
        <v>42</v>
      </c>
      <c r="M62" s="989" t="str">
        <f>IF(H62=0,"0%",J62/K62)</f>
        <v>0%</v>
      </c>
      <c r="N62" s="1628"/>
      <c r="O62" s="1633"/>
      <c r="P62" s="1635"/>
      <c r="Q62" s="1068" t="s">
        <v>182</v>
      </c>
      <c r="R62" s="377"/>
      <c r="S62" s="193" t="s">
        <v>615</v>
      </c>
    </row>
    <row r="63" spans="1:19" ht="26.45" customHeight="1" thickBot="1" x14ac:dyDescent="0.5">
      <c r="A63" s="1617"/>
      <c r="B63" s="1619"/>
      <c r="C63" s="1685"/>
      <c r="D63" s="1004" t="s">
        <v>135</v>
      </c>
      <c r="E63" s="1005">
        <f t="shared" si="20"/>
        <v>0.8928571428571429</v>
      </c>
      <c r="F63" s="1004" t="s">
        <v>51</v>
      </c>
      <c r="G63" s="983">
        <f>E63/1</f>
        <v>0.8928571428571429</v>
      </c>
      <c r="H63" s="481"/>
      <c r="I63" s="482"/>
      <c r="J63" s="1141">
        <f>IF(I63=H63,(H63-70),H63-I63)</f>
        <v>-70</v>
      </c>
      <c r="K63" s="987">
        <f t="shared" si="21"/>
        <v>42</v>
      </c>
      <c r="L63" s="1142">
        <f t="shared" si="19"/>
        <v>42</v>
      </c>
      <c r="M63" s="989" t="str">
        <f>IF(H63=0,"0%",J63/K63)</f>
        <v>0%</v>
      </c>
      <c r="N63" s="1628"/>
      <c r="O63" s="1633"/>
      <c r="P63" s="1635"/>
      <c r="Q63" s="1068" t="s">
        <v>95</v>
      </c>
      <c r="R63" s="377"/>
      <c r="S63" s="193" t="s">
        <v>615</v>
      </c>
    </row>
    <row r="64" spans="1:19" ht="15" customHeight="1" thickBot="1" x14ac:dyDescent="0.5">
      <c r="A64" s="1617"/>
      <c r="B64" s="1619"/>
      <c r="C64" s="1685"/>
      <c r="D64" s="1625" t="s">
        <v>136</v>
      </c>
      <c r="E64" s="1688">
        <f>$C$61/4</f>
        <v>0.8928571428571429</v>
      </c>
      <c r="F64" s="1143" t="s">
        <v>52</v>
      </c>
      <c r="G64" s="1144">
        <f>$E$64/3</f>
        <v>0.29761904761904762</v>
      </c>
      <c r="H64" s="650">
        <v>100</v>
      </c>
      <c r="I64" s="651">
        <v>100</v>
      </c>
      <c r="J64" s="1145">
        <f t="shared" ref="J64:J66" si="22">H64-I64</f>
        <v>0</v>
      </c>
      <c r="K64" s="1146">
        <f>(100-I64)*(6/10)</f>
        <v>0</v>
      </c>
      <c r="L64" s="1142">
        <f t="shared" si="19"/>
        <v>100</v>
      </c>
      <c r="M64" s="989" t="str">
        <f t="shared" ref="M64:M66" si="23">IF(K64&lt;&gt;0,J64/K64,"100%")</f>
        <v>100%</v>
      </c>
      <c r="N64" s="1628"/>
      <c r="O64" s="1633"/>
      <c r="P64" s="1635"/>
      <c r="Q64" s="1068" t="s">
        <v>95</v>
      </c>
      <c r="R64" s="387"/>
      <c r="S64" s="526" t="s">
        <v>544</v>
      </c>
    </row>
    <row r="65" spans="1:19" ht="23.65" thickBot="1" x14ac:dyDescent="0.5">
      <c r="A65" s="1617"/>
      <c r="B65" s="1619"/>
      <c r="C65" s="1685"/>
      <c r="D65" s="1625"/>
      <c r="E65" s="1688"/>
      <c r="F65" s="1143" t="s">
        <v>53</v>
      </c>
      <c r="G65" s="1144">
        <f t="shared" ref="G65:G66" si="24">$E$64/3</f>
        <v>0.29761904761904762</v>
      </c>
      <c r="H65" s="650">
        <v>100</v>
      </c>
      <c r="I65" s="651">
        <v>100</v>
      </c>
      <c r="J65" s="1145">
        <f t="shared" si="22"/>
        <v>0</v>
      </c>
      <c r="K65" s="1146">
        <f>(100-I65)*(6/10)</f>
        <v>0</v>
      </c>
      <c r="L65" s="1142">
        <f t="shared" si="19"/>
        <v>100</v>
      </c>
      <c r="M65" s="989" t="str">
        <f t="shared" si="23"/>
        <v>100%</v>
      </c>
      <c r="N65" s="1628"/>
      <c r="O65" s="1633"/>
      <c r="P65" s="1635"/>
      <c r="Q65" s="1068" t="s">
        <v>95</v>
      </c>
      <c r="R65" s="377"/>
      <c r="S65" s="526" t="s">
        <v>544</v>
      </c>
    </row>
    <row r="66" spans="1:19" ht="27.6" customHeight="1" thickBot="1" x14ac:dyDescent="0.5">
      <c r="A66" s="1617"/>
      <c r="B66" s="1620"/>
      <c r="C66" s="1686"/>
      <c r="D66" s="1626"/>
      <c r="E66" s="1689"/>
      <c r="F66" s="1147" t="s">
        <v>54</v>
      </c>
      <c r="G66" s="1148">
        <f t="shared" si="24"/>
        <v>0.29761904761904762</v>
      </c>
      <c r="H66" s="485"/>
      <c r="I66" s="486"/>
      <c r="J66" s="1149">
        <f t="shared" si="22"/>
        <v>0</v>
      </c>
      <c r="K66" s="1150">
        <f>(100-I66)*(6/10)</f>
        <v>60</v>
      </c>
      <c r="L66" s="1151">
        <f t="shared" si="19"/>
        <v>60</v>
      </c>
      <c r="M66" s="950">
        <f t="shared" si="23"/>
        <v>0</v>
      </c>
      <c r="N66" s="1629"/>
      <c r="O66" s="1634"/>
      <c r="P66" s="1631"/>
      <c r="Q66" s="1152" t="s">
        <v>95</v>
      </c>
      <c r="R66" s="379"/>
      <c r="S66" s="527" t="s">
        <v>693</v>
      </c>
    </row>
    <row r="67" spans="1:19" ht="27" customHeight="1" thickBot="1" x14ac:dyDescent="0.5">
      <c r="B67" s="1614" t="s">
        <v>55</v>
      </c>
      <c r="C67" s="1615"/>
      <c r="D67" s="1615"/>
      <c r="E67" s="1615"/>
      <c r="F67" s="1616"/>
      <c r="G67" s="1084"/>
      <c r="H67" s="248"/>
      <c r="I67" s="248"/>
      <c r="J67" s="1084"/>
      <c r="K67" s="1085"/>
      <c r="L67" s="1085"/>
      <c r="M67" s="996"/>
      <c r="N67" s="911">
        <f>N68</f>
        <v>0</v>
      </c>
      <c r="O67" s="912">
        <f>O68</f>
        <v>0</v>
      </c>
      <c r="P67" s="913">
        <f>O67/3.571428</f>
        <v>0</v>
      </c>
      <c r="Q67" s="1153"/>
      <c r="R67" s="388"/>
      <c r="S67" s="381"/>
    </row>
    <row r="68" spans="1:19" ht="58.5" thickBot="1" x14ac:dyDescent="0.5">
      <c r="A68" s="22">
        <v>17</v>
      </c>
      <c r="B68" s="1154" t="s">
        <v>56</v>
      </c>
      <c r="C68" s="1155">
        <f>M5</f>
        <v>3.5714285714285716</v>
      </c>
      <c r="D68" s="1154" t="s">
        <v>137</v>
      </c>
      <c r="E68" s="1155">
        <f>C68</f>
        <v>3.5714285714285716</v>
      </c>
      <c r="F68" s="1154" t="s">
        <v>57</v>
      </c>
      <c r="G68" s="1156">
        <f>E68/1</f>
        <v>3.5714285714285716</v>
      </c>
      <c r="H68" s="474"/>
      <c r="I68" s="264"/>
      <c r="J68" s="1157">
        <f>IF(I68=H68,(H68-70),I68-H68)</f>
        <v>-70</v>
      </c>
      <c r="K68" s="1051">
        <f t="shared" ref="K68" si="25">IF(I68&gt;=70,0,((70-I68)*(6/10)))</f>
        <v>42</v>
      </c>
      <c r="L68" s="1158">
        <f>I68-K68</f>
        <v>-42</v>
      </c>
      <c r="M68" s="989" t="str">
        <f>IF(H68=0,"0%",J68/K68)</f>
        <v>0%</v>
      </c>
      <c r="N68" s="1159">
        <f>((G68/C68)*M68)</f>
        <v>0</v>
      </c>
      <c r="O68" s="1041">
        <f>IF(((G68/C68)*M68)&gt;=1,3.571428,IF(((G68/C68)*M68)&lt;=0,0,((G68/C68)*M68)*3.571428))</f>
        <v>0</v>
      </c>
      <c r="P68" s="913">
        <f>O68/3.571428</f>
        <v>0</v>
      </c>
      <c r="Q68" s="1160" t="s">
        <v>132</v>
      </c>
      <c r="R68" s="110"/>
      <c r="S68" s="193" t="s">
        <v>615</v>
      </c>
    </row>
    <row r="69" spans="1:19" ht="22.25" customHeight="1" thickBot="1" x14ac:dyDescent="0.5">
      <c r="B69" s="1563" t="s">
        <v>58</v>
      </c>
      <c r="C69" s="1564"/>
      <c r="D69" s="1564"/>
      <c r="E69" s="1564"/>
      <c r="F69" s="1565"/>
      <c r="G69" s="223"/>
      <c r="H69" s="144"/>
      <c r="I69" s="255"/>
      <c r="J69" s="224"/>
      <c r="K69" s="92"/>
      <c r="L69" s="92"/>
      <c r="M69" s="1161"/>
      <c r="N69" s="911">
        <f>(N70+N72+N74)/3</f>
        <v>1</v>
      </c>
      <c r="O69" s="912">
        <f>(O70+O72+O74)</f>
        <v>10.714283999999999</v>
      </c>
      <c r="P69" s="913">
        <f>O69/10.714284</f>
        <v>1</v>
      </c>
      <c r="Q69" s="886"/>
      <c r="R69" s="389"/>
      <c r="S69" s="390"/>
    </row>
    <row r="70" spans="1:19" ht="20.45" customHeight="1" thickBot="1" x14ac:dyDescent="0.5">
      <c r="B70" s="1670" t="s">
        <v>59</v>
      </c>
      <c r="C70" s="1671"/>
      <c r="D70" s="1671"/>
      <c r="E70" s="1671"/>
      <c r="F70" s="1672"/>
      <c r="G70" s="996"/>
      <c r="H70" s="136"/>
      <c r="I70" s="137"/>
      <c r="J70" s="997"/>
      <c r="K70" s="997"/>
      <c r="L70" s="997"/>
      <c r="M70" s="1162"/>
      <c r="N70" s="911">
        <f>N71</f>
        <v>1</v>
      </c>
      <c r="O70" s="912">
        <f>O71</f>
        <v>3.571428</v>
      </c>
      <c r="P70" s="913">
        <f t="shared" ref="P70:P78" si="26">O70/3.571428</f>
        <v>1</v>
      </c>
      <c r="Q70" s="1123"/>
      <c r="R70" s="381"/>
      <c r="S70" s="381"/>
    </row>
    <row r="71" spans="1:19" ht="52.25" customHeight="1" thickBot="1" x14ac:dyDescent="0.5">
      <c r="A71" s="22">
        <v>18</v>
      </c>
      <c r="B71" s="1163" t="s">
        <v>60</v>
      </c>
      <c r="C71" s="1164">
        <f>M5</f>
        <v>3.5714285714285716</v>
      </c>
      <c r="D71" s="1165" t="s">
        <v>138</v>
      </c>
      <c r="E71" s="1166">
        <f>C71</f>
        <v>3.5714285714285716</v>
      </c>
      <c r="F71" s="1167" t="s">
        <v>61</v>
      </c>
      <c r="G71" s="1168">
        <f>E71/1</f>
        <v>3.5714285714285716</v>
      </c>
      <c r="H71" s="96">
        <v>0</v>
      </c>
      <c r="I71" s="246">
        <v>0</v>
      </c>
      <c r="J71" s="1169">
        <f>I71-H71</f>
        <v>0</v>
      </c>
      <c r="K71" s="1048">
        <f>(0.5*I71)*0.6</f>
        <v>0</v>
      </c>
      <c r="L71" s="1158">
        <f>I71-K71</f>
        <v>0</v>
      </c>
      <c r="M71" s="989" t="str">
        <f t="shared" ref="M71" si="27">IF(K71&lt;&gt;0,J71/K71,"100%")</f>
        <v>100%</v>
      </c>
      <c r="N71" s="1159">
        <f>((G71/C71)*M71)</f>
        <v>1</v>
      </c>
      <c r="O71" s="1041">
        <f>IF(((G71/C71)*M71)&gt;=1,3.571428,IF(((G71/C71)*M71)&lt;=0,0,((G71/C71)*M71)*3.571428))</f>
        <v>3.571428</v>
      </c>
      <c r="P71" s="913">
        <f t="shared" si="26"/>
        <v>1</v>
      </c>
      <c r="Q71" s="1170" t="s">
        <v>183</v>
      </c>
      <c r="R71" s="391"/>
      <c r="S71" s="391"/>
    </row>
    <row r="72" spans="1:19" ht="20.45" customHeight="1" thickBot="1" x14ac:dyDescent="0.5">
      <c r="B72" s="1679" t="s">
        <v>277</v>
      </c>
      <c r="C72" s="1680"/>
      <c r="D72" s="1680"/>
      <c r="E72" s="1680"/>
      <c r="F72" s="1681"/>
      <c r="G72" s="1054"/>
      <c r="H72" s="134"/>
      <c r="I72" s="247"/>
      <c r="J72" s="1055"/>
      <c r="K72" s="1056"/>
      <c r="L72" s="1056"/>
      <c r="M72" s="1057"/>
      <c r="N72" s="911">
        <f>N73</f>
        <v>1</v>
      </c>
      <c r="O72" s="912">
        <f>O73</f>
        <v>3.571428</v>
      </c>
      <c r="P72" s="913">
        <f t="shared" si="26"/>
        <v>1</v>
      </c>
      <c r="Q72" s="1171"/>
      <c r="R72" s="381"/>
      <c r="S72" s="381"/>
    </row>
    <row r="73" spans="1:19" ht="45" customHeight="1" thickBot="1" x14ac:dyDescent="0.5">
      <c r="A73" s="22">
        <v>19</v>
      </c>
      <c r="B73" s="1172" t="s">
        <v>62</v>
      </c>
      <c r="C73" s="1173">
        <f>M5</f>
        <v>3.5714285714285716</v>
      </c>
      <c r="D73" s="1174" t="s">
        <v>139</v>
      </c>
      <c r="E73" s="1173">
        <f>C73</f>
        <v>3.5714285714285716</v>
      </c>
      <c r="F73" s="1175" t="s">
        <v>63</v>
      </c>
      <c r="G73" s="1176">
        <f>E73/1</f>
        <v>3.5714285714285716</v>
      </c>
      <c r="H73" s="96">
        <v>0</v>
      </c>
      <c r="I73" s="103">
        <v>0</v>
      </c>
      <c r="J73" s="1177">
        <f>I73-H73</f>
        <v>0</v>
      </c>
      <c r="K73" s="1178">
        <f>IF(H73&gt;0,(H73),I73)</f>
        <v>0</v>
      </c>
      <c r="L73" s="1179">
        <f>I73-K73</f>
        <v>0</v>
      </c>
      <c r="M73" s="989" t="str">
        <f t="shared" ref="M73" si="28">IF(K73&lt;&gt;0,J73/K73,"100%")</f>
        <v>100%</v>
      </c>
      <c r="N73" s="1159">
        <f>((G73/C73)*M73)</f>
        <v>1</v>
      </c>
      <c r="O73" s="1041">
        <f>IF(((G73/C73)*M73)&gt;=1,3.571428,IF(((G73/C73)*M73)&lt;=0,0,((G73/C73)*M73)*3.571428))</f>
        <v>3.571428</v>
      </c>
      <c r="P73" s="913">
        <f t="shared" si="26"/>
        <v>1</v>
      </c>
      <c r="Q73" s="1180" t="s">
        <v>95</v>
      </c>
      <c r="R73" s="391"/>
      <c r="S73" s="391" t="s">
        <v>470</v>
      </c>
    </row>
    <row r="74" spans="1:19" ht="30.6" customHeight="1" thickBot="1" x14ac:dyDescent="0.5">
      <c r="B74" s="1670" t="s">
        <v>64</v>
      </c>
      <c r="C74" s="1671"/>
      <c r="D74" s="1671"/>
      <c r="E74" s="1671"/>
      <c r="F74" s="1672"/>
      <c r="G74" s="997"/>
      <c r="H74" s="136"/>
      <c r="I74" s="137"/>
      <c r="J74" s="997"/>
      <c r="K74" s="997"/>
      <c r="L74" s="997"/>
      <c r="M74" s="996"/>
      <c r="N74" s="911">
        <f>N75</f>
        <v>1</v>
      </c>
      <c r="O74" s="912">
        <f>O75</f>
        <v>3.571428</v>
      </c>
      <c r="P74" s="913">
        <f t="shared" si="26"/>
        <v>1</v>
      </c>
      <c r="Q74" s="1123"/>
      <c r="R74" s="381"/>
      <c r="S74" s="381"/>
    </row>
    <row r="75" spans="1:19" ht="29.45" customHeight="1" thickBot="1" x14ac:dyDescent="0.5">
      <c r="A75" s="22">
        <v>20</v>
      </c>
      <c r="B75" s="1172" t="s">
        <v>65</v>
      </c>
      <c r="C75" s="1035">
        <f>M5</f>
        <v>3.5714285714285716</v>
      </c>
      <c r="D75" s="1165" t="s">
        <v>140</v>
      </c>
      <c r="E75" s="1181">
        <f>C75</f>
        <v>3.5714285714285716</v>
      </c>
      <c r="F75" s="1174" t="s">
        <v>66</v>
      </c>
      <c r="G75" s="1168">
        <f>E75/1</f>
        <v>3.5714285714285716</v>
      </c>
      <c r="H75" s="1279">
        <v>1</v>
      </c>
      <c r="I75" s="1278">
        <v>1</v>
      </c>
      <c r="J75" s="1119">
        <f>H75-I75</f>
        <v>0</v>
      </c>
      <c r="K75" s="1120">
        <f>IF(AND(H75=0,I75=1)," 1",(H75-I75))</f>
        <v>0</v>
      </c>
      <c r="L75" s="1182">
        <f>I75+K75</f>
        <v>1</v>
      </c>
      <c r="M75" s="1183">
        <f>(IF(I75=1,1,(J75/K75)))</f>
        <v>1</v>
      </c>
      <c r="N75" s="1159">
        <f>((G75/C75)*M75)</f>
        <v>1</v>
      </c>
      <c r="O75" s="1041">
        <f>IF(((G75/C75)*M75)&gt;=1,3.571428,IF(((G75/C75)*M75)&lt;=0,0,((G75/C75)*M75)*3.571428))</f>
        <v>3.571428</v>
      </c>
      <c r="P75" s="913">
        <f t="shared" si="26"/>
        <v>1</v>
      </c>
      <c r="Q75" s="1184" t="s">
        <v>95</v>
      </c>
      <c r="R75" s="392"/>
      <c r="S75" s="110"/>
    </row>
    <row r="76" spans="1:19" ht="20.45" customHeight="1" thickBot="1" x14ac:dyDescent="0.5">
      <c r="B76" s="1682" t="s">
        <v>67</v>
      </c>
      <c r="C76" s="1683"/>
      <c r="D76" s="1683"/>
      <c r="E76" s="1683"/>
      <c r="F76" s="1684"/>
      <c r="G76" s="1185"/>
      <c r="H76" s="146"/>
      <c r="I76" s="147"/>
      <c r="J76" s="1186"/>
      <c r="K76" s="885"/>
      <c r="L76" s="885"/>
      <c r="M76" s="1185"/>
      <c r="N76" s="911">
        <f t="shared" ref="N76:O77" si="29">N77</f>
        <v>0</v>
      </c>
      <c r="O76" s="912">
        <f t="shared" si="29"/>
        <v>0</v>
      </c>
      <c r="P76" s="913">
        <f t="shared" si="26"/>
        <v>0</v>
      </c>
      <c r="Q76" s="1187"/>
      <c r="R76" s="393"/>
      <c r="S76" s="393"/>
    </row>
    <row r="77" spans="1:19" ht="20.45" customHeight="1" thickBot="1" x14ac:dyDescent="0.5">
      <c r="B77" s="1670" t="s">
        <v>68</v>
      </c>
      <c r="C77" s="1671"/>
      <c r="D77" s="1671"/>
      <c r="E77" s="1671"/>
      <c r="F77" s="1672"/>
      <c r="G77" s="996"/>
      <c r="H77" s="136"/>
      <c r="I77" s="137"/>
      <c r="J77" s="1016"/>
      <c r="K77" s="1017"/>
      <c r="L77" s="1017"/>
      <c r="M77" s="998"/>
      <c r="N77" s="911">
        <f t="shared" si="29"/>
        <v>0</v>
      </c>
      <c r="O77" s="912">
        <f t="shared" si="29"/>
        <v>0</v>
      </c>
      <c r="P77" s="913">
        <f t="shared" si="26"/>
        <v>0</v>
      </c>
      <c r="Q77" s="1123"/>
      <c r="R77" s="381"/>
      <c r="S77" s="381"/>
    </row>
    <row r="78" spans="1:19" ht="35.25" thickBot="1" x14ac:dyDescent="0.5">
      <c r="A78" s="22">
        <v>21</v>
      </c>
      <c r="B78" s="1172" t="s">
        <v>69</v>
      </c>
      <c r="C78" s="1181">
        <f>M5</f>
        <v>3.5714285714285716</v>
      </c>
      <c r="D78" s="1188" t="s">
        <v>141</v>
      </c>
      <c r="E78" s="1181">
        <f>C78</f>
        <v>3.5714285714285716</v>
      </c>
      <c r="F78" s="1188" t="s">
        <v>70</v>
      </c>
      <c r="G78" s="1155">
        <f>E78/1</f>
        <v>3.5714285714285716</v>
      </c>
      <c r="H78" s="472"/>
      <c r="I78" s="264"/>
      <c r="J78" s="1157">
        <f>IF(I78=H78,(H78-60),H78-I78)</f>
        <v>-60</v>
      </c>
      <c r="K78" s="1051">
        <f>IF(I78&gt;=60,0,((60-I78)*(6/10)))</f>
        <v>36</v>
      </c>
      <c r="L78" s="1158">
        <f t="shared" ref="L78" si="30">K78+I78</f>
        <v>36</v>
      </c>
      <c r="M78" s="1039">
        <f>IF(I78&gt;=60,(1+(H78-60)/60),(H78/L78))</f>
        <v>0</v>
      </c>
      <c r="N78" s="1159">
        <f>((G78/C78)*M78)</f>
        <v>0</v>
      </c>
      <c r="O78" s="1041">
        <f>IF(((G78/C78)*M78)&gt;=1,3.571428,IF(((G78/C78)*M78)&lt;=0,0,((G78/C78)*M78)*3.571428))</f>
        <v>0</v>
      </c>
      <c r="P78" s="913">
        <f t="shared" si="26"/>
        <v>0</v>
      </c>
      <c r="Q78" s="1189" t="s">
        <v>95</v>
      </c>
      <c r="R78" s="391"/>
      <c r="S78" s="193" t="s">
        <v>615</v>
      </c>
    </row>
    <row r="79" spans="1:19" ht="21.6" customHeight="1" thickBot="1" x14ac:dyDescent="0.5">
      <c r="B79" s="1673" t="s">
        <v>71</v>
      </c>
      <c r="C79" s="1674"/>
      <c r="D79" s="1674"/>
      <c r="E79" s="1674"/>
      <c r="F79" s="1675"/>
      <c r="G79" s="1185"/>
      <c r="H79" s="146"/>
      <c r="I79" s="147"/>
      <c r="J79" s="1190"/>
      <c r="K79" s="1191"/>
      <c r="L79" s="1191"/>
      <c r="M79" s="1185"/>
      <c r="N79" s="911">
        <f>(N80+N86)/2</f>
        <v>0.21188980338680463</v>
      </c>
      <c r="O79" s="912">
        <f>(O80+O86)</f>
        <v>2.2829492069205157</v>
      </c>
      <c r="P79" s="913">
        <f>O79/10.714284</f>
        <v>0.21307529340462844</v>
      </c>
      <c r="Q79" s="1187"/>
      <c r="R79" s="393"/>
      <c r="S79" s="393"/>
    </row>
    <row r="80" spans="1:19" ht="20.45" customHeight="1" thickBot="1" x14ac:dyDescent="0.5">
      <c r="B80" s="1614" t="s">
        <v>72</v>
      </c>
      <c r="C80" s="1615"/>
      <c r="D80" s="1615"/>
      <c r="E80" s="1615"/>
      <c r="F80" s="1616"/>
      <c r="G80" s="1018"/>
      <c r="H80" s="148"/>
      <c r="I80" s="149"/>
      <c r="J80" s="997"/>
      <c r="K80" s="997"/>
      <c r="L80" s="997"/>
      <c r="M80" s="1018"/>
      <c r="N80" s="911">
        <f>(N81+N83)/2</f>
        <v>0.21544627344027592</v>
      </c>
      <c r="O80" s="912">
        <f>(O81+O83)</f>
        <v>1.5389017069205155</v>
      </c>
      <c r="P80" s="913">
        <f>O80/7.142856</f>
        <v>0.21544627344027592</v>
      </c>
      <c r="Q80" s="1192"/>
      <c r="R80" s="375"/>
      <c r="S80" s="375"/>
    </row>
    <row r="81" spans="1:19" ht="46.9" thickBot="1" x14ac:dyDescent="0.5">
      <c r="A81" s="22"/>
      <c r="B81" s="1676" t="s">
        <v>73</v>
      </c>
      <c r="C81" s="1678">
        <f>M5</f>
        <v>3.5714285714285716</v>
      </c>
      <c r="D81" s="999" t="s">
        <v>267</v>
      </c>
      <c r="E81" s="931">
        <f>$C$81/2</f>
        <v>1.7857142857142858</v>
      </c>
      <c r="F81" s="1124" t="s">
        <v>278</v>
      </c>
      <c r="G81" s="978">
        <f>E81/1</f>
        <v>1.7857142857142858</v>
      </c>
      <c r="H81" s="477"/>
      <c r="I81" s="491"/>
      <c r="J81" s="1088">
        <f>IF(I81=H81,(H81-50),H81-I81)</f>
        <v>-50</v>
      </c>
      <c r="K81" s="980">
        <f>IF(I81&gt;=50,0,((50-I81)*(6/10)))</f>
        <v>30</v>
      </c>
      <c r="L81" s="1193">
        <f>I81+K81</f>
        <v>30</v>
      </c>
      <c r="M81" s="989" t="str">
        <f>IF(H81=0,"0%",J81/K81)</f>
        <v>0%</v>
      </c>
      <c r="N81" s="1627">
        <f>(((G81/C81)*M81)+((G82/C81)*M82))</f>
        <v>0.42974588938714503</v>
      </c>
      <c r="O81" s="1646">
        <f>IF((((G81/C81)*M81)+((G82/C81)*M82))&gt;=1,3.57148,IF((((G81/C81)*M81)+((G82/C81)*M82))&lt;=0,0, (((G81/C81)*M81)+((G82/C81)*M82))*3.571428))</f>
        <v>1.5348065022421526</v>
      </c>
      <c r="P81" s="1630">
        <f>O81/3.571428</f>
        <v>0.42974588938714503</v>
      </c>
      <c r="Q81" s="1194" t="s">
        <v>279</v>
      </c>
      <c r="R81" s="226"/>
      <c r="S81" s="193" t="s">
        <v>615</v>
      </c>
    </row>
    <row r="82" spans="1:19" ht="39.6" customHeight="1" thickBot="1" x14ac:dyDescent="0.5">
      <c r="A82" s="22"/>
      <c r="B82" s="1677"/>
      <c r="C82" s="1575"/>
      <c r="D82" s="1024" t="s">
        <v>268</v>
      </c>
      <c r="E82" s="944">
        <f>$C$81/2</f>
        <v>1.7857142857142858</v>
      </c>
      <c r="F82" s="1025" t="s">
        <v>74</v>
      </c>
      <c r="G82" s="992">
        <f>E82/1</f>
        <v>1.7857142857142858</v>
      </c>
      <c r="H82" s="113">
        <v>23</v>
      </c>
      <c r="I82" s="107">
        <v>21.9</v>
      </c>
      <c r="J82" s="1195">
        <f>IF(I82=H82,(H82-30),H82-I82)</f>
        <v>1.1000000000000014</v>
      </c>
      <c r="K82" s="994">
        <f>IF(I82&gt;=30,0,((30-I82)*(6/10)))</f>
        <v>4.8600000000000003</v>
      </c>
      <c r="L82" s="1196">
        <f t="shared" ref="L82" si="31">K82+I82</f>
        <v>26.759999999999998</v>
      </c>
      <c r="M82" s="950">
        <f>IF(I82&gt;=30,(1+(H82-30)/30),(H82/L82))</f>
        <v>0.85949177877429006</v>
      </c>
      <c r="N82" s="1629"/>
      <c r="O82" s="1647"/>
      <c r="P82" s="1631"/>
      <c r="Q82" s="1197" t="s">
        <v>282</v>
      </c>
      <c r="R82" s="172" t="s">
        <v>471</v>
      </c>
      <c r="S82" s="284"/>
    </row>
    <row r="83" spans="1:19" ht="60" customHeight="1" x14ac:dyDescent="0.45">
      <c r="A83" s="22"/>
      <c r="B83" s="1660" t="s">
        <v>142</v>
      </c>
      <c r="C83" s="1662">
        <f>M5</f>
        <v>3.5714285714285716</v>
      </c>
      <c r="D83" s="1198" t="s">
        <v>145</v>
      </c>
      <c r="E83" s="931">
        <f>$C$81/3</f>
        <v>1.1904761904761905</v>
      </c>
      <c r="F83" s="999" t="s">
        <v>143</v>
      </c>
      <c r="G83" s="931">
        <f>E83/1</f>
        <v>1.1904761904761905</v>
      </c>
      <c r="H83" s="470">
        <v>55.7</v>
      </c>
      <c r="I83" s="496"/>
      <c r="J83" s="1199">
        <f>I83-H83</f>
        <v>-55.7</v>
      </c>
      <c r="K83" s="1077">
        <f>(0.2*I83)*(6/10)</f>
        <v>0</v>
      </c>
      <c r="L83" s="1200">
        <f>I83-K83</f>
        <v>0</v>
      </c>
      <c r="M83" s="935" t="str">
        <f>IF(K83&lt;&gt;0,J83/K83,"0%")</f>
        <v>0%</v>
      </c>
      <c r="N83" s="1665">
        <f>(((G83/C83)*M83)+((G84/C83)*M84)+((G85/C83)*M85))</f>
        <v>1.1466574934068171E-3</v>
      </c>
      <c r="O83" s="1632">
        <f>IF((((G83/C83)*M83)+((G84/C83)*M84)+((G85/C83)*M85))&gt;=1,3.571428,IF((((G83/C83)*M83)+((G84/C83)*M84)+((G85/C83)*M85))&lt;=0,0,(((G83/C83)*M83)+((G84/C83)*M84)+((G85/C83)*M85))*3.571428))</f>
        <v>4.0952046783629221E-3</v>
      </c>
      <c r="P83" s="1630">
        <f>O83/3.571428</f>
        <v>1.1466574934068171E-3</v>
      </c>
      <c r="Q83" s="1201" t="s">
        <v>184</v>
      </c>
      <c r="R83" s="227" t="s">
        <v>472</v>
      </c>
      <c r="S83" s="502" t="s">
        <v>694</v>
      </c>
    </row>
    <row r="84" spans="1:19" ht="45" customHeight="1" thickBot="1" x14ac:dyDescent="0.5">
      <c r="A84" s="22"/>
      <c r="B84" s="1660"/>
      <c r="C84" s="1663"/>
      <c r="D84" s="1202" t="s">
        <v>146</v>
      </c>
      <c r="E84" s="1005">
        <f t="shared" ref="E84:E85" si="32">$C$81/3</f>
        <v>1.1904761904761905</v>
      </c>
      <c r="F84" s="1128" t="s">
        <v>283</v>
      </c>
      <c r="G84" s="1005">
        <f>E84/1</f>
        <v>1.1904761904761905</v>
      </c>
      <c r="H84" s="119">
        <v>96.8</v>
      </c>
      <c r="I84" s="120">
        <v>96.9</v>
      </c>
      <c r="J84" s="1203">
        <f>I84-H84</f>
        <v>0.10000000000000853</v>
      </c>
      <c r="K84" s="1077">
        <f>(0.5*I84)*(6/10)</f>
        <v>29.07</v>
      </c>
      <c r="L84" s="1204">
        <f>I84-K84</f>
        <v>67.830000000000013</v>
      </c>
      <c r="M84" s="971">
        <f>IF(H84&lt;=0,100%, IF(K84&lt;&gt;0,J84/K84,"0%"))</f>
        <v>3.4399724802204514E-3</v>
      </c>
      <c r="N84" s="1666"/>
      <c r="O84" s="1633"/>
      <c r="P84" s="1635"/>
      <c r="Q84" s="1205" t="s">
        <v>185</v>
      </c>
      <c r="R84" s="290" t="s">
        <v>473</v>
      </c>
      <c r="S84" s="717"/>
    </row>
    <row r="85" spans="1:19" ht="38.450000000000003" customHeight="1" thickBot="1" x14ac:dyDescent="0.5">
      <c r="A85" s="22"/>
      <c r="B85" s="1661"/>
      <c r="C85" s="1664"/>
      <c r="D85" s="1206" t="s">
        <v>147</v>
      </c>
      <c r="E85" s="944">
        <f t="shared" si="32"/>
        <v>1.1904761904761905</v>
      </c>
      <c r="F85" s="1025" t="s">
        <v>144</v>
      </c>
      <c r="G85" s="944">
        <f>E85/1</f>
        <v>1.1904761904761905</v>
      </c>
      <c r="H85" s="475"/>
      <c r="I85" s="492"/>
      <c r="J85" s="1207">
        <f>H85-I85</f>
        <v>0</v>
      </c>
      <c r="K85" s="1208">
        <f>(100-I85)*(6/10)</f>
        <v>60</v>
      </c>
      <c r="L85" s="1209">
        <f>I85+K85</f>
        <v>60</v>
      </c>
      <c r="M85" s="971">
        <f>IF(K85&lt;&gt;0,J85/K85,"0%")</f>
        <v>0</v>
      </c>
      <c r="N85" s="1667"/>
      <c r="O85" s="1634"/>
      <c r="P85" s="1631"/>
      <c r="Q85" s="1210" t="s">
        <v>284</v>
      </c>
      <c r="R85" s="301"/>
      <c r="S85" s="193" t="s">
        <v>615</v>
      </c>
    </row>
    <row r="86" spans="1:19" ht="20.45" customHeight="1" thickBot="1" x14ac:dyDescent="0.5">
      <c r="B86" s="1648" t="s">
        <v>75</v>
      </c>
      <c r="C86" s="1649"/>
      <c r="D86" s="1649"/>
      <c r="E86" s="1649"/>
      <c r="F86" s="1650"/>
      <c r="G86" s="1162"/>
      <c r="H86" s="150"/>
      <c r="I86" s="151"/>
      <c r="J86" s="1211"/>
      <c r="K86" s="1212"/>
      <c r="L86" s="1212"/>
      <c r="M86" s="1018"/>
      <c r="N86" s="911">
        <f>N87</f>
        <v>0.20833333333333331</v>
      </c>
      <c r="O86" s="912">
        <f>O87</f>
        <v>0.74404749999999997</v>
      </c>
      <c r="P86" s="913">
        <f>O86/3.571428</f>
        <v>0.20833333333333331</v>
      </c>
      <c r="Q86" s="1085"/>
      <c r="R86" s="381"/>
      <c r="S86" s="381"/>
    </row>
    <row r="87" spans="1:19" ht="27.6" customHeight="1" thickBot="1" x14ac:dyDescent="0.5">
      <c r="A87" s="1651">
        <v>24</v>
      </c>
      <c r="B87" s="1652" t="s">
        <v>76</v>
      </c>
      <c r="C87" s="1654">
        <f>M5</f>
        <v>3.5714285714285716</v>
      </c>
      <c r="D87" s="1073" t="s">
        <v>159</v>
      </c>
      <c r="E87" s="1074">
        <f>($C$87/3)</f>
        <v>1.1904761904761905</v>
      </c>
      <c r="F87" s="1213" t="s">
        <v>285</v>
      </c>
      <c r="G87" s="1214">
        <f>E87/1</f>
        <v>1.1904761904761905</v>
      </c>
      <c r="H87" s="479"/>
      <c r="I87" s="480"/>
      <c r="J87" s="1215">
        <f>I87-H87</f>
        <v>0</v>
      </c>
      <c r="K87" s="1216">
        <f>(0.25*I87)*(6/10)</f>
        <v>0</v>
      </c>
      <c r="L87" s="1217">
        <f>I87-K87</f>
        <v>0</v>
      </c>
      <c r="M87" s="935" t="str">
        <f>IF(K87&lt;&gt;0,J87/K87,"0%")</f>
        <v>0%</v>
      </c>
      <c r="N87" s="1657">
        <f>(((G87/C87)*M87)+((G88/C87)*M88)+((G89/C87)*M89)+((G90/C87)*M90)+((G91/C87)*M91))</f>
        <v>0.20833333333333331</v>
      </c>
      <c r="O87" s="1632">
        <f>IF((((G87/C87)*M87)+((G88/C87)*M88)+((G89/C87)*M89)+((G90/C87)*M90)+((G91/C87)*M91))&gt;=1,3.571428,IF((((G87/C87)*M87)+((G88/C87)*M88)+((G89/C87)*M89)+((G90/C87)*M90)+((G91/C87)*M91))&lt;=0,0,((((G87/C87)*M87)+((G88/C87)*M88)+((G89/C87)*M89)+((G90/C87)*M90)+((G91/C87)*M91))*3.571428)))</f>
        <v>0.74404749999999997</v>
      </c>
      <c r="P87" s="1630">
        <f>O87/3.571428</f>
        <v>0.20833333333333331</v>
      </c>
      <c r="Q87" s="1218" t="s">
        <v>186</v>
      </c>
      <c r="R87" s="176"/>
      <c r="S87" s="193" t="s">
        <v>615</v>
      </c>
    </row>
    <row r="88" spans="1:19" ht="25.8" customHeight="1" thickBot="1" x14ac:dyDescent="0.5">
      <c r="A88" s="1651"/>
      <c r="B88" s="1652"/>
      <c r="C88" s="1655"/>
      <c r="D88" s="1668" t="s">
        <v>160</v>
      </c>
      <c r="E88" s="1669">
        <f>C87/3</f>
        <v>1.1904761904761905</v>
      </c>
      <c r="F88" s="1006" t="s">
        <v>77</v>
      </c>
      <c r="G88" s="1219">
        <f>$E$88/3</f>
        <v>0.3968253968253968</v>
      </c>
      <c r="H88" s="481"/>
      <c r="I88" s="482"/>
      <c r="J88" s="1220">
        <f>I88-H88</f>
        <v>0</v>
      </c>
      <c r="K88" s="1221">
        <f>I88*(6/10)</f>
        <v>0</v>
      </c>
      <c r="L88" s="1222">
        <f>I88-K88</f>
        <v>0</v>
      </c>
      <c r="M88" s="989" t="str">
        <f>IF(K88&lt;&gt;0,J88/K88,"0%")</f>
        <v>0%</v>
      </c>
      <c r="N88" s="1658"/>
      <c r="O88" s="1633"/>
      <c r="P88" s="1635"/>
      <c r="Q88" s="1223" t="s">
        <v>187</v>
      </c>
      <c r="R88" s="178"/>
      <c r="S88" s="193" t="s">
        <v>615</v>
      </c>
    </row>
    <row r="89" spans="1:19" ht="59.65" customHeight="1" thickBot="1" x14ac:dyDescent="0.5">
      <c r="A89" s="1651"/>
      <c r="B89" s="1652"/>
      <c r="C89" s="1655"/>
      <c r="D89" s="1668"/>
      <c r="E89" s="1669"/>
      <c r="F89" s="1006" t="s">
        <v>78</v>
      </c>
      <c r="G89" s="1219">
        <f>$E$88/3</f>
        <v>0.3968253968253968</v>
      </c>
      <c r="H89" s="481"/>
      <c r="I89" s="482"/>
      <c r="J89" s="1220">
        <f>I89-H89</f>
        <v>0</v>
      </c>
      <c r="K89" s="1221">
        <f>I89*(6/10)</f>
        <v>0</v>
      </c>
      <c r="L89" s="1222">
        <f>I89-K89</f>
        <v>0</v>
      </c>
      <c r="M89" s="989" t="str">
        <f>IF(K89&lt;&gt;0,J89/K89,"0%")</f>
        <v>0%</v>
      </c>
      <c r="N89" s="1658"/>
      <c r="O89" s="1633"/>
      <c r="P89" s="1635"/>
      <c r="Q89" s="1223" t="s">
        <v>188</v>
      </c>
      <c r="R89" s="178"/>
      <c r="S89" s="193" t="s">
        <v>615</v>
      </c>
    </row>
    <row r="90" spans="1:19" ht="26.45" customHeight="1" thickBot="1" x14ac:dyDescent="0.5">
      <c r="A90" s="1651"/>
      <c r="B90" s="1652"/>
      <c r="C90" s="1655"/>
      <c r="D90" s="1668"/>
      <c r="E90" s="1669"/>
      <c r="F90" s="1006" t="s">
        <v>79</v>
      </c>
      <c r="G90" s="1219">
        <f>$E$88/3</f>
        <v>0.3968253968253968</v>
      </c>
      <c r="H90" s="483"/>
      <c r="I90" s="484"/>
      <c r="J90" s="1220">
        <f>I90-H90</f>
        <v>0</v>
      </c>
      <c r="K90" s="1224">
        <f>(I90)*(6/10)</f>
        <v>0</v>
      </c>
      <c r="L90" s="1225">
        <f>I90-K90</f>
        <v>0</v>
      </c>
      <c r="M90" s="989" t="str">
        <f>IF(H90=0,"0%",J90/K90)</f>
        <v>0%</v>
      </c>
      <c r="N90" s="1658"/>
      <c r="O90" s="1633"/>
      <c r="P90" s="1635"/>
      <c r="Q90" s="1226" t="s">
        <v>189</v>
      </c>
      <c r="R90" s="178"/>
      <c r="S90" s="193" t="s">
        <v>615</v>
      </c>
    </row>
    <row r="91" spans="1:19" ht="40.799999999999997" customHeight="1" thickBot="1" x14ac:dyDescent="0.5">
      <c r="A91" s="1651"/>
      <c r="B91" s="1653"/>
      <c r="C91" s="1656"/>
      <c r="D91" s="991" t="s">
        <v>161</v>
      </c>
      <c r="E91" s="944">
        <f>$C$87/3</f>
        <v>1.1904761904761905</v>
      </c>
      <c r="F91" s="1227" t="s">
        <v>80</v>
      </c>
      <c r="G91" s="1228">
        <f>E91/1</f>
        <v>1.1904761904761905</v>
      </c>
      <c r="H91" s="111">
        <v>50</v>
      </c>
      <c r="I91" s="112">
        <v>50</v>
      </c>
      <c r="J91" s="1229">
        <f>H91-I91</f>
        <v>0</v>
      </c>
      <c r="K91" s="1208">
        <f>(100-I91)*(6/10)</f>
        <v>30</v>
      </c>
      <c r="L91" s="1230">
        <f>I91+K91</f>
        <v>80</v>
      </c>
      <c r="M91" s="950">
        <f>IF(I91&gt;=60,(1+(H91-60)/60),(H91/L91))</f>
        <v>0.625</v>
      </c>
      <c r="N91" s="1659"/>
      <c r="O91" s="1634"/>
      <c r="P91" s="1631"/>
      <c r="Q91" s="1231" t="s">
        <v>95</v>
      </c>
      <c r="R91" s="179"/>
      <c r="S91" s="526" t="s">
        <v>544</v>
      </c>
    </row>
    <row r="92" spans="1:19" ht="14.65" thickBot="1" x14ac:dyDescent="0.5">
      <c r="B92" s="1586" t="s">
        <v>81</v>
      </c>
      <c r="C92" s="1587"/>
      <c r="D92" s="1587"/>
      <c r="E92" s="1587"/>
      <c r="F92" s="1588"/>
      <c r="G92" s="11"/>
      <c r="H92" s="146"/>
      <c r="I92" s="147"/>
      <c r="J92" s="225"/>
      <c r="K92" s="11"/>
      <c r="L92" s="11"/>
      <c r="M92" s="223"/>
      <c r="N92" s="911">
        <f>(N93+N97)/2</f>
        <v>0.33333333333333331</v>
      </c>
      <c r="O92" s="912">
        <f>(O93+O97)</f>
        <v>2.3809519999999997</v>
      </c>
      <c r="P92" s="913">
        <f>O92/14.285712</f>
        <v>0.16666666666666666</v>
      </c>
      <c r="Q92" s="1099"/>
      <c r="R92" s="380"/>
      <c r="S92" s="393"/>
    </row>
    <row r="93" spans="1:19" ht="20.45" customHeight="1" thickBot="1" x14ac:dyDescent="0.5">
      <c r="B93" s="1614" t="s">
        <v>82</v>
      </c>
      <c r="C93" s="1615"/>
      <c r="D93" s="1615"/>
      <c r="E93" s="1615"/>
      <c r="F93" s="1616"/>
      <c r="G93" s="996"/>
      <c r="H93" s="136"/>
      <c r="I93" s="137"/>
      <c r="J93" s="1017"/>
      <c r="K93" s="1017"/>
      <c r="L93" s="1017"/>
      <c r="M93" s="1018"/>
      <c r="N93" s="911">
        <f>N94</f>
        <v>0.66666666666666663</v>
      </c>
      <c r="O93" s="912">
        <f>O94</f>
        <v>2.3809519999999997</v>
      </c>
      <c r="P93" s="913">
        <f>O93/3.571428</f>
        <v>0.66666666666666663</v>
      </c>
      <c r="Q93" s="1086"/>
      <c r="R93" s="375"/>
      <c r="S93" s="381"/>
    </row>
    <row r="94" spans="1:19" ht="34.799999999999997" customHeight="1" thickBot="1" x14ac:dyDescent="0.5">
      <c r="A94" s="1617">
        <v>25</v>
      </c>
      <c r="B94" s="1618" t="s">
        <v>83</v>
      </c>
      <c r="C94" s="1621">
        <f>M5</f>
        <v>3.5714285714285716</v>
      </c>
      <c r="D94" s="1624" t="s">
        <v>214</v>
      </c>
      <c r="E94" s="1087">
        <f>$C$94/3</f>
        <v>1.1904761904761905</v>
      </c>
      <c r="F94" s="999" t="s">
        <v>269</v>
      </c>
      <c r="G94" s="1232">
        <f>E94/1</f>
        <v>1.1904761904761905</v>
      </c>
      <c r="H94" s="308">
        <v>100</v>
      </c>
      <c r="I94" s="1280">
        <v>100</v>
      </c>
      <c r="J94" s="1233">
        <f>H94-I94</f>
        <v>0</v>
      </c>
      <c r="K94" s="1234">
        <f>(100-I94)*(6/10)</f>
        <v>0</v>
      </c>
      <c r="L94" s="1235">
        <f>I94+K94</f>
        <v>100</v>
      </c>
      <c r="M94" s="935" t="str">
        <f>IF(K94&lt;&gt;0,J94/K94,"100%")</f>
        <v>100%</v>
      </c>
      <c r="N94" s="1627">
        <f>(((G94/C94)*M94)+((G95/C94)*M95)+((G96/C94)*M96))</f>
        <v>0.66666666666666663</v>
      </c>
      <c r="O94" s="1632">
        <f>IF((((G94/C94)*M94)+((G95/C94)*M95)+((G96/C94)*M96))&gt;=1,3.571428,IF((((G94/C94)*M94)+((G95/C94)*M95)+((G96/C94)*M96))&lt;=0,0,(((G94/C94)*M94)+((G95/C94)*M95)+((G96/C94)*M96))*3.571428))</f>
        <v>2.3809519999999997</v>
      </c>
      <c r="P94" s="1630">
        <f>O94/3.571428</f>
        <v>0.66666666666666663</v>
      </c>
      <c r="Q94" s="1236" t="s">
        <v>190</v>
      </c>
      <c r="R94" s="373"/>
      <c r="S94" s="373" t="s">
        <v>474</v>
      </c>
    </row>
    <row r="95" spans="1:19" ht="39.6" customHeight="1" thickBot="1" x14ac:dyDescent="0.5">
      <c r="A95" s="1617"/>
      <c r="B95" s="1619"/>
      <c r="C95" s="1622"/>
      <c r="D95" s="1625"/>
      <c r="E95" s="1237">
        <f t="shared" ref="E95:E96" si="33">$C$94/3</f>
        <v>1.1904761904761905</v>
      </c>
      <c r="F95" s="1128" t="s">
        <v>270</v>
      </c>
      <c r="G95" s="1219">
        <f>E95/1</f>
        <v>1.1904761904761905</v>
      </c>
      <c r="H95" s="470"/>
      <c r="I95" s="501"/>
      <c r="J95" s="1220">
        <f>IF(AND(I95&gt;1,(H95-I95=0)),(H95-1),(H95-I95))</f>
        <v>0</v>
      </c>
      <c r="K95" s="1066">
        <f>IF(AND(I95&gt;=1,H95&gt;=1),"0",((1-I95)*(6/10)))</f>
        <v>0.6</v>
      </c>
      <c r="L95" s="1238">
        <f t="shared" ref="L95:L96" si="34">I95+K95</f>
        <v>0.6</v>
      </c>
      <c r="M95" s="989">
        <f>IF(I95&gt;=1,(1+(H95-1)/1),(J95/K95))</f>
        <v>0</v>
      </c>
      <c r="N95" s="1628"/>
      <c r="O95" s="1633"/>
      <c r="P95" s="1635"/>
      <c r="Q95" s="1239" t="s">
        <v>191</v>
      </c>
      <c r="R95" s="283"/>
      <c r="S95" s="193" t="s">
        <v>615</v>
      </c>
    </row>
    <row r="96" spans="1:19" ht="41.45" customHeight="1" thickBot="1" x14ac:dyDescent="0.5">
      <c r="A96" s="1617"/>
      <c r="B96" s="1620"/>
      <c r="C96" s="1623"/>
      <c r="D96" s="1626"/>
      <c r="E96" s="1090">
        <f t="shared" si="33"/>
        <v>1.1904761904761905</v>
      </c>
      <c r="F96" s="1024" t="s">
        <v>84</v>
      </c>
      <c r="G96" s="1228">
        <f>E96/1</f>
        <v>1.1904761904761905</v>
      </c>
      <c r="H96" s="115">
        <v>100</v>
      </c>
      <c r="I96" s="1281">
        <v>100</v>
      </c>
      <c r="J96" s="1229">
        <f>H96-I96</f>
        <v>0</v>
      </c>
      <c r="K96" s="1208">
        <f>(100-I96)*(6/10)</f>
        <v>0</v>
      </c>
      <c r="L96" s="1230">
        <f t="shared" si="34"/>
        <v>100</v>
      </c>
      <c r="M96" s="950" t="str">
        <f>IF(K96&lt;&gt;0,J96/K96,"100%")</f>
        <v>100%</v>
      </c>
      <c r="N96" s="1629"/>
      <c r="O96" s="1634"/>
      <c r="P96" s="1631"/>
      <c r="Q96" s="1240" t="s">
        <v>95</v>
      </c>
      <c r="R96" s="284"/>
      <c r="S96" s="284"/>
    </row>
    <row r="97" spans="1:19" ht="18" customHeight="1" thickBot="1" x14ac:dyDescent="0.5">
      <c r="B97" s="1636" t="s">
        <v>85</v>
      </c>
      <c r="C97" s="1637"/>
      <c r="D97" s="1637"/>
      <c r="E97" s="1637"/>
      <c r="F97" s="1638"/>
      <c r="G97" s="1241"/>
      <c r="H97" s="125"/>
      <c r="I97" s="126"/>
      <c r="J97" s="1241"/>
      <c r="K97" s="1242"/>
      <c r="L97" s="1242"/>
      <c r="M97" s="1243"/>
      <c r="N97" s="1244">
        <f>(N98+N99+N100)/3</f>
        <v>0</v>
      </c>
      <c r="O97" s="1245">
        <f>(O98+O99+O100)</f>
        <v>0</v>
      </c>
      <c r="P97" s="913">
        <f>O97/10.714284</f>
        <v>0</v>
      </c>
      <c r="Q97" s="1246"/>
      <c r="R97" s="395"/>
      <c r="S97" s="395"/>
    </row>
    <row r="98" spans="1:19" ht="29.45" customHeight="1" thickBot="1" x14ac:dyDescent="0.5">
      <c r="A98" s="22">
        <v>26</v>
      </c>
      <c r="B98" s="1032" t="s">
        <v>86</v>
      </c>
      <c r="C98" s="1033">
        <f>$M$5</f>
        <v>3.5714285714285716</v>
      </c>
      <c r="D98" s="1032" t="s">
        <v>215</v>
      </c>
      <c r="E98" s="1033">
        <f>C98/1</f>
        <v>3.5714285714285716</v>
      </c>
      <c r="F98" s="1163" t="s">
        <v>291</v>
      </c>
      <c r="G98" s="1033">
        <f>E98/1</f>
        <v>3.5714285714285716</v>
      </c>
      <c r="H98" s="474"/>
      <c r="I98" s="511"/>
      <c r="J98" s="1248">
        <f>IF(I98=H98,(H98-10),H98-I98)</f>
        <v>-10</v>
      </c>
      <c r="K98" s="1051">
        <f>IF(I98&gt;=10,0,((10-I98)*(6/10)))</f>
        <v>6</v>
      </c>
      <c r="L98" s="1158">
        <f>I98+K98</f>
        <v>6</v>
      </c>
      <c r="M98" s="989" t="str">
        <f>IF(H98=0,"0%",J98/K98)</f>
        <v>0%</v>
      </c>
      <c r="N98" s="1159">
        <f>((G98/C98)*M98)</f>
        <v>0</v>
      </c>
      <c r="O98" s="1041">
        <f>IF(((G98/C98)*M98)&gt;=1,3.571428,IF(((G98/C98)*M98)&lt;=0,0,((G98/C98)*M98)*3.571428))</f>
        <v>0</v>
      </c>
      <c r="P98" s="913">
        <f>O98/3.571428</f>
        <v>0</v>
      </c>
      <c r="Q98" s="1249" t="s">
        <v>95</v>
      </c>
      <c r="R98" s="396">
        <v>0</v>
      </c>
      <c r="S98" s="193" t="s">
        <v>615</v>
      </c>
    </row>
    <row r="99" spans="1:19" ht="35.25" thickBot="1" x14ac:dyDescent="0.5">
      <c r="A99" s="22">
        <v>27</v>
      </c>
      <c r="B99" s="1032" t="s">
        <v>87</v>
      </c>
      <c r="C99" s="1033">
        <f>$M$5</f>
        <v>3.5714285714285716</v>
      </c>
      <c r="D99" s="1032" t="s">
        <v>216</v>
      </c>
      <c r="E99" s="1033">
        <f>C99/1</f>
        <v>3.5714285714285716</v>
      </c>
      <c r="F99" s="1163" t="s">
        <v>271</v>
      </c>
      <c r="G99" s="1033">
        <f>E99/1</f>
        <v>3.5714285714285716</v>
      </c>
      <c r="H99" s="472"/>
      <c r="I99" s="511"/>
      <c r="J99" s="1248">
        <f>IF(I99=H99,(H99-75),H99-I99)</f>
        <v>-75</v>
      </c>
      <c r="K99" s="1051">
        <f>IF(I99&gt;=75,0,((75-I99)*(6/10)))</f>
        <v>45</v>
      </c>
      <c r="L99" s="1182">
        <f>I99+K99</f>
        <v>45</v>
      </c>
      <c r="M99" s="989" t="str">
        <f>IF(H99=0,"0%",J99/K99)</f>
        <v>0%</v>
      </c>
      <c r="N99" s="1159">
        <f>((G99/C99)*M99)</f>
        <v>0</v>
      </c>
      <c r="O99" s="1041">
        <f>IF(((G99/C99)*M99)&gt;=1,3.571428,IF(((G99/C99)*M99)&lt;=0,0,((G99/C99)*M99)*3.571428))</f>
        <v>0</v>
      </c>
      <c r="P99" s="913">
        <f>O99/3.571428</f>
        <v>0</v>
      </c>
      <c r="Q99" s="1249" t="s">
        <v>192</v>
      </c>
      <c r="R99" s="229"/>
      <c r="S99" s="193" t="s">
        <v>615</v>
      </c>
    </row>
    <row r="100" spans="1:19" ht="30.75" thickBot="1" x14ac:dyDescent="0.5">
      <c r="A100" s="1617">
        <v>28</v>
      </c>
      <c r="B100" s="1639" t="s">
        <v>88</v>
      </c>
      <c r="C100" s="1641">
        <f>M5</f>
        <v>3.5714285714285716</v>
      </c>
      <c r="D100" s="1639" t="s">
        <v>217</v>
      </c>
      <c r="E100" s="1641">
        <f>C100/1</f>
        <v>3.5714285714285716</v>
      </c>
      <c r="F100" s="1124" t="s">
        <v>89</v>
      </c>
      <c r="G100" s="931">
        <f>$E$100/2</f>
        <v>1.7857142857142858</v>
      </c>
      <c r="H100" s="477"/>
      <c r="I100" s="491"/>
      <c r="J100" s="1252">
        <f>IF(I100=H100,(25-H100),I100-H100)</f>
        <v>25</v>
      </c>
      <c r="K100" s="1105">
        <f>IF(I100&lt;=25,0,((0.25*I100)*(6/10)))</f>
        <v>0</v>
      </c>
      <c r="L100" s="1253">
        <f>I100-K100</f>
        <v>0</v>
      </c>
      <c r="M100" s="989" t="str">
        <f>IF(H100=0,"0%",J100/K100)</f>
        <v>0%</v>
      </c>
      <c r="N100" s="1644">
        <f>((G100/$C$100)*M100)+((G101/$C$100)*M101)</f>
        <v>0</v>
      </c>
      <c r="O100" s="1646">
        <f>IF((((G100/C100)*M100)+((G101/C100)*M101))&gt;=1,3.57148,IF((((G100/C100)*M100)+((G101/C100)*M101))&lt;=0,0, (((G100/C100)*M100)+((G101/C100)*M101))*3.571428))</f>
        <v>0</v>
      </c>
      <c r="P100" s="1630">
        <f>O100/3.571428</f>
        <v>0</v>
      </c>
      <c r="Q100" s="1254" t="s">
        <v>193</v>
      </c>
      <c r="R100" s="397"/>
      <c r="S100" s="193" t="s">
        <v>615</v>
      </c>
    </row>
    <row r="101" spans="1:19" ht="38.450000000000003" customHeight="1" thickBot="1" x14ac:dyDescent="0.5">
      <c r="A101" s="1617"/>
      <c r="B101" s="1640"/>
      <c r="C101" s="1642"/>
      <c r="D101" s="1640"/>
      <c r="E101" s="1643"/>
      <c r="F101" s="1024" t="s">
        <v>90</v>
      </c>
      <c r="G101" s="944">
        <f>$E$100/2</f>
        <v>1.7857142857142858</v>
      </c>
      <c r="H101" s="475"/>
      <c r="I101" s="492"/>
      <c r="J101" s="1255">
        <f>IF(I101=H101,(H101-25),H101-I101)</f>
        <v>-25</v>
      </c>
      <c r="K101" s="994">
        <f>IF(I101&gt;=25,0,((25-I101)*(6/10)))</f>
        <v>15</v>
      </c>
      <c r="L101" s="1256">
        <f t="shared" ref="L101" si="35">K101+I101</f>
        <v>15</v>
      </c>
      <c r="M101" s="989" t="str">
        <f>IF(H101=0,"0%",J101/K101)</f>
        <v>0%</v>
      </c>
      <c r="N101" s="1645"/>
      <c r="O101" s="1647"/>
      <c r="P101" s="1631"/>
      <c r="Q101" s="1257" t="s">
        <v>95</v>
      </c>
      <c r="R101" s="181"/>
      <c r="S101" s="193" t="s">
        <v>615</v>
      </c>
    </row>
    <row r="102" spans="1:19" ht="34.25" customHeight="1" thickBot="1" x14ac:dyDescent="0.5">
      <c r="B102" s="1258" t="s">
        <v>194</v>
      </c>
      <c r="C102" s="1259">
        <f>C11+C13+C15+C19+C24+C33+C34+C35+C36+C38+C41+C44+C48+C51+C53+C61+C68+C71+C73+C75+C78+C81+C83+C87+C94+C98+C99+C100</f>
        <v>99.999999999999972</v>
      </c>
      <c r="D102" s="1260"/>
      <c r="E102" s="1259">
        <f>E11+E12+E13+E14+E15+E19+E20+E21+E22+E24+E25+E28+E31+E33+E34+E35+E36+E38+E39+E41+E42+E44+E45+E48+E49++E51+E53+E54+E55+E56+E57+E61+E62+E63+E64+E68+E71+E73+E75+E78+E81++E82+E83+E84+E85+E87+E88+E91+E94+E95+E96+E98+E99+E100</f>
        <v>100.00714285714285</v>
      </c>
      <c r="F102" s="1261"/>
      <c r="G102" s="1259">
        <f>G11+G12+G13+G14+G15+G16+G17+G19+G20+G21+G22+G24+G25+G26+G27+G28+G29+G30+G31+G33+G34+G35+G36+G38+G39+G41+G42+G44+G45+G48+G49+G51+G53+G54+G55+G56+G57+G58+G61+G62+G63+G64+G65+G66+G68+G71+G73+G75+G78+G81+G82+G83+G84+G85+G87+G88+G89+G90+G91+G94+G95+G96+G98+G99+G100+G101</f>
        <v>100.00714285714285</v>
      </c>
      <c r="H102" s="1262"/>
      <c r="I102" s="1263"/>
      <c r="J102" s="1262"/>
      <c r="K102" s="1264"/>
      <c r="L102" s="1261"/>
      <c r="M102" s="1265"/>
      <c r="N102" s="1266"/>
      <c r="O102" s="1267"/>
      <c r="P102" s="1267"/>
      <c r="Q102" s="1268"/>
      <c r="R102" s="26"/>
      <c r="S102" s="27"/>
    </row>
    <row r="104" spans="1:19" ht="15.75" x14ac:dyDescent="0.5">
      <c r="B104" s="28"/>
    </row>
    <row r="107" spans="1:19" ht="15.75" x14ac:dyDescent="0.5">
      <c r="B107" s="28"/>
    </row>
    <row r="108" spans="1:19" x14ac:dyDescent="0.45">
      <c r="B108" s="29"/>
    </row>
    <row r="109" spans="1:19" x14ac:dyDescent="0.45">
      <c r="B109" s="29"/>
    </row>
    <row r="111" spans="1:19" x14ac:dyDescent="0.45">
      <c r="E111"/>
      <c r="F111" s="1269" t="s">
        <v>196</v>
      </c>
    </row>
    <row r="112" spans="1:19" x14ac:dyDescent="0.45">
      <c r="E112" s="1270">
        <v>1</v>
      </c>
      <c r="F112" s="1270" t="s">
        <v>197</v>
      </c>
    </row>
    <row r="113" spans="5:6" x14ac:dyDescent="0.45">
      <c r="E113" s="1270">
        <v>2</v>
      </c>
      <c r="F113" s="1270" t="s">
        <v>227</v>
      </c>
    </row>
    <row r="114" spans="5:6" x14ac:dyDescent="0.45">
      <c r="E114" s="1270">
        <v>3</v>
      </c>
      <c r="F114" s="1270" t="s">
        <v>228</v>
      </c>
    </row>
    <row r="115" spans="5:6" x14ac:dyDescent="0.45">
      <c r="E115" s="1270">
        <v>4</v>
      </c>
      <c r="F115" s="1270" t="s">
        <v>229</v>
      </c>
    </row>
    <row r="116" spans="5:6" x14ac:dyDescent="0.45">
      <c r="E116" s="1270">
        <v>5</v>
      </c>
      <c r="F116" s="1270" t="s">
        <v>198</v>
      </c>
    </row>
    <row r="117" spans="5:6" x14ac:dyDescent="0.45">
      <c r="E117" s="1270">
        <v>6</v>
      </c>
      <c r="F117" s="1270" t="s">
        <v>230</v>
      </c>
    </row>
    <row r="118" spans="5:6" x14ac:dyDescent="0.45">
      <c r="E118" s="1270">
        <v>7</v>
      </c>
      <c r="F118" s="1270" t="s">
        <v>231</v>
      </c>
    </row>
    <row r="119" spans="5:6" x14ac:dyDescent="0.45">
      <c r="E119" s="1270">
        <v>8</v>
      </c>
      <c r="F119" s="1270" t="s">
        <v>199</v>
      </c>
    </row>
    <row r="120" spans="5:6" x14ac:dyDescent="0.45">
      <c r="E120" s="1270">
        <v>9</v>
      </c>
      <c r="F120" s="1270" t="s">
        <v>200</v>
      </c>
    </row>
    <row r="121" spans="5:6" x14ac:dyDescent="0.45">
      <c r="E121" s="1270">
        <v>10</v>
      </c>
      <c r="F121" s="1270" t="s">
        <v>201</v>
      </c>
    </row>
    <row r="122" spans="5:6" x14ac:dyDescent="0.45">
      <c r="E122" s="1270">
        <v>11</v>
      </c>
      <c r="F122" s="1270" t="s">
        <v>232</v>
      </c>
    </row>
    <row r="123" spans="5:6" x14ac:dyDescent="0.45">
      <c r="E123" s="1270">
        <v>12</v>
      </c>
      <c r="F123" s="1270" t="s">
        <v>202</v>
      </c>
    </row>
    <row r="124" spans="5:6" x14ac:dyDescent="0.45">
      <c r="E124" s="1270">
        <f t="shared" ref="E124:E145" si="36">E123+1</f>
        <v>13</v>
      </c>
      <c r="F124" s="1270" t="s">
        <v>203</v>
      </c>
    </row>
    <row r="125" spans="5:6" x14ac:dyDescent="0.45">
      <c r="E125" s="1270">
        <v>14</v>
      </c>
      <c r="F125" s="1270" t="s">
        <v>233</v>
      </c>
    </row>
    <row r="126" spans="5:6" x14ac:dyDescent="0.45">
      <c r="E126" s="1270">
        <v>15</v>
      </c>
      <c r="F126" s="1270" t="s">
        <v>234</v>
      </c>
    </row>
    <row r="127" spans="5:6" x14ac:dyDescent="0.45">
      <c r="E127" s="1270">
        <v>16</v>
      </c>
      <c r="F127" s="1270" t="s">
        <v>213</v>
      </c>
    </row>
    <row r="128" spans="5:6" x14ac:dyDescent="0.45">
      <c r="E128" s="1270">
        <v>17</v>
      </c>
      <c r="F128" s="1270" t="s">
        <v>235</v>
      </c>
    </row>
    <row r="129" spans="5:6" x14ac:dyDescent="0.45">
      <c r="E129" s="1270">
        <v>18</v>
      </c>
      <c r="F129" s="1270" t="s">
        <v>263</v>
      </c>
    </row>
    <row r="130" spans="5:6" x14ac:dyDescent="0.45">
      <c r="E130" s="1270">
        <v>19</v>
      </c>
      <c r="F130" s="1270" t="s">
        <v>204</v>
      </c>
    </row>
    <row r="131" spans="5:6" x14ac:dyDescent="0.45">
      <c r="E131" s="1270">
        <v>20</v>
      </c>
      <c r="F131" s="1270" t="s">
        <v>236</v>
      </c>
    </row>
    <row r="132" spans="5:6" x14ac:dyDescent="0.45">
      <c r="E132" s="1270">
        <v>21</v>
      </c>
      <c r="F132" s="1270" t="s">
        <v>237</v>
      </c>
    </row>
    <row r="133" spans="5:6" x14ac:dyDescent="0.45">
      <c r="E133" s="1270">
        <v>22</v>
      </c>
      <c r="F133" s="1270" t="s">
        <v>238</v>
      </c>
    </row>
    <row r="134" spans="5:6" x14ac:dyDescent="0.45">
      <c r="E134" s="1270">
        <v>23</v>
      </c>
      <c r="F134" s="1270" t="s">
        <v>205</v>
      </c>
    </row>
    <row r="135" spans="5:6" x14ac:dyDescent="0.45">
      <c r="E135" s="1270">
        <v>24</v>
      </c>
      <c r="F135" s="1270" t="s">
        <v>239</v>
      </c>
    </row>
    <row r="136" spans="5:6" x14ac:dyDescent="0.45">
      <c r="E136" s="1270">
        <v>25</v>
      </c>
      <c r="F136" s="1270" t="s">
        <v>240</v>
      </c>
    </row>
    <row r="137" spans="5:6" x14ac:dyDescent="0.45">
      <c r="E137" s="1270">
        <v>26</v>
      </c>
      <c r="F137" s="1270" t="s">
        <v>241</v>
      </c>
    </row>
    <row r="138" spans="5:6" x14ac:dyDescent="0.45">
      <c r="E138" s="1270">
        <v>27</v>
      </c>
      <c r="F138" s="1270" t="s">
        <v>206</v>
      </c>
    </row>
    <row r="139" spans="5:6" x14ac:dyDescent="0.45">
      <c r="E139" s="1270">
        <v>28</v>
      </c>
      <c r="F139" s="1270" t="s">
        <v>242</v>
      </c>
    </row>
    <row r="140" spans="5:6" x14ac:dyDescent="0.45">
      <c r="E140" s="1270">
        <v>29</v>
      </c>
      <c r="F140" s="1270" t="s">
        <v>243</v>
      </c>
    </row>
    <row r="141" spans="5:6" x14ac:dyDescent="0.45">
      <c r="E141" s="1270">
        <v>30</v>
      </c>
      <c r="F141" s="1270" t="s">
        <v>244</v>
      </c>
    </row>
    <row r="142" spans="5:6" x14ac:dyDescent="0.45">
      <c r="E142" s="1270">
        <v>31</v>
      </c>
      <c r="F142" s="1270" t="s">
        <v>245</v>
      </c>
    </row>
    <row r="143" spans="5:6" x14ac:dyDescent="0.45">
      <c r="E143" s="1270">
        <v>32</v>
      </c>
      <c r="F143" s="1270" t="s">
        <v>246</v>
      </c>
    </row>
    <row r="144" spans="5:6" x14ac:dyDescent="0.45">
      <c r="E144" s="1270">
        <v>33</v>
      </c>
      <c r="F144" s="1270" t="s">
        <v>207</v>
      </c>
    </row>
    <row r="145" spans="5:6" x14ac:dyDescent="0.45">
      <c r="E145" s="1270">
        <f t="shared" si="36"/>
        <v>34</v>
      </c>
      <c r="F145" s="1270" t="s">
        <v>208</v>
      </c>
    </row>
    <row r="146" spans="5:6" x14ac:dyDescent="0.45">
      <c r="E146" s="1270">
        <v>35</v>
      </c>
      <c r="F146" s="1270" t="s">
        <v>247</v>
      </c>
    </row>
    <row r="147" spans="5:6" x14ac:dyDescent="0.45">
      <c r="E147" s="1270">
        <v>36</v>
      </c>
      <c r="F147" s="1270" t="s">
        <v>248</v>
      </c>
    </row>
    <row r="148" spans="5:6" x14ac:dyDescent="0.45">
      <c r="E148" s="1270">
        <v>36</v>
      </c>
      <c r="F148" s="1270" t="s">
        <v>249</v>
      </c>
    </row>
    <row r="149" spans="5:6" x14ac:dyDescent="0.45">
      <c r="E149" s="1270">
        <v>38</v>
      </c>
      <c r="F149" s="1270" t="s">
        <v>250</v>
      </c>
    </row>
    <row r="150" spans="5:6" x14ac:dyDescent="0.45">
      <c r="E150" s="1270">
        <v>39</v>
      </c>
      <c r="F150" s="1270" t="s">
        <v>251</v>
      </c>
    </row>
    <row r="151" spans="5:6" x14ac:dyDescent="0.45">
      <c r="E151" s="1270">
        <v>40</v>
      </c>
      <c r="F151" s="1270" t="s">
        <v>209</v>
      </c>
    </row>
    <row r="152" spans="5:6" x14ac:dyDescent="0.45">
      <c r="E152" s="1270">
        <v>41</v>
      </c>
      <c r="F152" s="1270" t="s">
        <v>264</v>
      </c>
    </row>
    <row r="153" spans="5:6" x14ac:dyDescent="0.45">
      <c r="E153" s="1270">
        <v>42</v>
      </c>
      <c r="F153" s="1270" t="s">
        <v>252</v>
      </c>
    </row>
    <row r="154" spans="5:6" x14ac:dyDescent="0.45">
      <c r="E154" s="1270">
        <v>43</v>
      </c>
      <c r="F154" s="1270" t="s">
        <v>253</v>
      </c>
    </row>
    <row r="155" spans="5:6" x14ac:dyDescent="0.45">
      <c r="E155" s="1270">
        <v>44</v>
      </c>
      <c r="F155" s="1270" t="s">
        <v>254</v>
      </c>
    </row>
    <row r="156" spans="5:6" x14ac:dyDescent="0.45">
      <c r="E156" s="1270">
        <v>45</v>
      </c>
      <c r="F156" s="1270" t="s">
        <v>210</v>
      </c>
    </row>
    <row r="157" spans="5:6" x14ac:dyDescent="0.45">
      <c r="E157" s="1270">
        <v>46</v>
      </c>
      <c r="F157" s="1270" t="s">
        <v>255</v>
      </c>
    </row>
    <row r="158" spans="5:6" x14ac:dyDescent="0.45">
      <c r="E158" s="1270">
        <v>47</v>
      </c>
      <c r="F158" s="1270" t="s">
        <v>211</v>
      </c>
    </row>
    <row r="159" spans="5:6" x14ac:dyDescent="0.45">
      <c r="E159" s="1270">
        <v>48</v>
      </c>
      <c r="F159" s="1270" t="s">
        <v>256</v>
      </c>
    </row>
    <row r="160" spans="5:6" x14ac:dyDescent="0.45">
      <c r="E160" s="1270">
        <v>49</v>
      </c>
      <c r="F160" s="1270" t="s">
        <v>257</v>
      </c>
    </row>
    <row r="161" spans="5:6" x14ac:dyDescent="0.45">
      <c r="E161" s="1270">
        <v>50</v>
      </c>
      <c r="F161" s="1270" t="s">
        <v>260</v>
      </c>
    </row>
    <row r="162" spans="5:6" x14ac:dyDescent="0.45">
      <c r="E162" s="1270">
        <v>51</v>
      </c>
      <c r="F162" s="1270" t="s">
        <v>258</v>
      </c>
    </row>
    <row r="163" spans="5:6" x14ac:dyDescent="0.45">
      <c r="E163" s="1270">
        <v>52</v>
      </c>
      <c r="F163" s="1270" t="s">
        <v>212</v>
      </c>
    </row>
    <row r="164" spans="5:6" x14ac:dyDescent="0.45">
      <c r="E164" s="1270">
        <v>53</v>
      </c>
      <c r="F164" s="1270" t="s">
        <v>259</v>
      </c>
    </row>
    <row r="165" spans="5:6" x14ac:dyDescent="0.45">
      <c r="E165" s="1270">
        <v>54</v>
      </c>
      <c r="F165" s="1270" t="s">
        <v>261</v>
      </c>
    </row>
    <row r="166" spans="5:6" x14ac:dyDescent="0.45">
      <c r="E166" s="1270">
        <v>55</v>
      </c>
      <c r="F166" s="1270" t="s">
        <v>262</v>
      </c>
    </row>
    <row r="167" spans="5:6" x14ac:dyDescent="0.45">
      <c r="E167"/>
      <c r="F167"/>
    </row>
    <row r="168" spans="5:6" x14ac:dyDescent="0.45">
      <c r="E168"/>
      <c r="F168"/>
    </row>
  </sheetData>
  <sheetProtection algorithmName="SHA-512" hashValue="/QvD9m/LT/P/UCcXHLBnGC7BVpqSOZmaJHTVpDqVEHM3rXydasRKMt+FuaXg9gXEYWl5leLMhA9L/nbIQur1mw==" saltValue="pQtJsLZGnqdjWhX2jToqSA==" spinCount="100000" sheet="1" objects="1" scenarios="1"/>
  <mergeCells count="140">
    <mergeCell ref="K4:M4"/>
    <mergeCell ref="B5:K5"/>
    <mergeCell ref="B6:F6"/>
    <mergeCell ref="B7:F7"/>
    <mergeCell ref="B9:F9"/>
    <mergeCell ref="B10:F10"/>
    <mergeCell ref="A13:A14"/>
    <mergeCell ref="B13:B14"/>
    <mergeCell ref="C13:C14"/>
    <mergeCell ref="N13:N14"/>
    <mergeCell ref="O13:O14"/>
    <mergeCell ref="P13:P14"/>
    <mergeCell ref="A11:A12"/>
    <mergeCell ref="B11:B12"/>
    <mergeCell ref="C11:C12"/>
    <mergeCell ref="N11:N12"/>
    <mergeCell ref="O11:O12"/>
    <mergeCell ref="P11:P12"/>
    <mergeCell ref="B23:F23"/>
    <mergeCell ref="A24:A27"/>
    <mergeCell ref="B24:B31"/>
    <mergeCell ref="C24:C31"/>
    <mergeCell ref="N24:N31"/>
    <mergeCell ref="O24:O31"/>
    <mergeCell ref="O15:O17"/>
    <mergeCell ref="P15:P17"/>
    <mergeCell ref="B18:F18"/>
    <mergeCell ref="A19:A22"/>
    <mergeCell ref="B19:B22"/>
    <mergeCell ref="C19:C22"/>
    <mergeCell ref="N19:N22"/>
    <mergeCell ref="O19:O22"/>
    <mergeCell ref="P19:P22"/>
    <mergeCell ref="A15:A17"/>
    <mergeCell ref="B15:B17"/>
    <mergeCell ref="C15:C17"/>
    <mergeCell ref="D15:D17"/>
    <mergeCell ref="E15:E17"/>
    <mergeCell ref="N15:N17"/>
    <mergeCell ref="B37:F37"/>
    <mergeCell ref="A38:A39"/>
    <mergeCell ref="B38:B39"/>
    <mergeCell ref="C38:C39"/>
    <mergeCell ref="N38:N39"/>
    <mergeCell ref="O38:O39"/>
    <mergeCell ref="P24:P31"/>
    <mergeCell ref="D25:D27"/>
    <mergeCell ref="E25:E27"/>
    <mergeCell ref="D28:D30"/>
    <mergeCell ref="E28:E30"/>
    <mergeCell ref="B32:F32"/>
    <mergeCell ref="B43:F43"/>
    <mergeCell ref="A44:A45"/>
    <mergeCell ref="B44:B45"/>
    <mergeCell ref="C44:C45"/>
    <mergeCell ref="N44:N45"/>
    <mergeCell ref="O44:O45"/>
    <mergeCell ref="P38:P39"/>
    <mergeCell ref="B40:F40"/>
    <mergeCell ref="A41:A42"/>
    <mergeCell ref="B41:B42"/>
    <mergeCell ref="C41:C42"/>
    <mergeCell ref="N41:N42"/>
    <mergeCell ref="O41:O42"/>
    <mergeCell ref="P41:P42"/>
    <mergeCell ref="B50:F50"/>
    <mergeCell ref="B52:F52"/>
    <mergeCell ref="A53:A58"/>
    <mergeCell ref="B53:B58"/>
    <mergeCell ref="C53:C58"/>
    <mergeCell ref="N53:N58"/>
    <mergeCell ref="P44:P45"/>
    <mergeCell ref="B46:F46"/>
    <mergeCell ref="B47:F47"/>
    <mergeCell ref="A48:A49"/>
    <mergeCell ref="B48:B49"/>
    <mergeCell ref="C48:C49"/>
    <mergeCell ref="N48:N49"/>
    <mergeCell ref="O48:O49"/>
    <mergeCell ref="P48:P49"/>
    <mergeCell ref="A61:A66"/>
    <mergeCell ref="B61:B66"/>
    <mergeCell ref="C61:C66"/>
    <mergeCell ref="N61:N66"/>
    <mergeCell ref="O61:O66"/>
    <mergeCell ref="P61:P66"/>
    <mergeCell ref="D64:D66"/>
    <mergeCell ref="E64:E66"/>
    <mergeCell ref="O53:O58"/>
    <mergeCell ref="P53:P58"/>
    <mergeCell ref="D57:D58"/>
    <mergeCell ref="E57:E58"/>
    <mergeCell ref="B59:F59"/>
    <mergeCell ref="B60:F60"/>
    <mergeCell ref="B77:F77"/>
    <mergeCell ref="B79:F79"/>
    <mergeCell ref="B80:F80"/>
    <mergeCell ref="B81:B82"/>
    <mergeCell ref="C81:C82"/>
    <mergeCell ref="N81:N82"/>
    <mergeCell ref="B67:F67"/>
    <mergeCell ref="B69:F69"/>
    <mergeCell ref="B70:F70"/>
    <mergeCell ref="B72:F72"/>
    <mergeCell ref="B74:F74"/>
    <mergeCell ref="B76:F76"/>
    <mergeCell ref="B86:F86"/>
    <mergeCell ref="A87:A91"/>
    <mergeCell ref="B87:B91"/>
    <mergeCell ref="C87:C91"/>
    <mergeCell ref="N87:N91"/>
    <mergeCell ref="O87:O91"/>
    <mergeCell ref="O81:O82"/>
    <mergeCell ref="P81:P82"/>
    <mergeCell ref="B83:B85"/>
    <mergeCell ref="C83:C85"/>
    <mergeCell ref="N83:N85"/>
    <mergeCell ref="O83:O85"/>
    <mergeCell ref="P83:P85"/>
    <mergeCell ref="P87:P91"/>
    <mergeCell ref="D88:D90"/>
    <mergeCell ref="E88:E90"/>
    <mergeCell ref="B92:F92"/>
    <mergeCell ref="B93:F93"/>
    <mergeCell ref="A94:A96"/>
    <mergeCell ref="B94:B96"/>
    <mergeCell ref="C94:C96"/>
    <mergeCell ref="D94:D96"/>
    <mergeCell ref="N94:N96"/>
    <mergeCell ref="P100:P101"/>
    <mergeCell ref="O94:O96"/>
    <mergeCell ref="P94:P96"/>
    <mergeCell ref="B97:F97"/>
    <mergeCell ref="A100:A101"/>
    <mergeCell ref="B100:B101"/>
    <mergeCell ref="C100:C101"/>
    <mergeCell ref="D100:D101"/>
    <mergeCell ref="E100:E101"/>
    <mergeCell ref="N100:N101"/>
    <mergeCell ref="O100:O101"/>
  </mergeCells>
  <conditionalFormatting sqref="O4">
    <cfRule type="colorScale" priority="136">
      <colorScale>
        <cfvo type="num" val="0"/>
        <cfvo type="num" val="50"/>
        <cfvo type="num" val="100"/>
        <color rgb="FFFF0000"/>
        <color rgb="FFFFFF00"/>
        <color rgb="FF92FB4B"/>
      </colorScale>
    </cfRule>
  </conditionalFormatting>
  <conditionalFormatting sqref="N19:N22 N38:N39 N53 N11:N12">
    <cfRule type="colorScale" priority="135">
      <colorScale>
        <cfvo type="num" val="0"/>
        <cfvo type="num" val="0.6"/>
        <cfvo type="num" val="1"/>
        <color rgb="FFFF0000"/>
        <color rgb="FFFFFF00"/>
        <color rgb="FF92FB4B"/>
      </colorScale>
    </cfRule>
  </conditionalFormatting>
  <conditionalFormatting sqref="N15:N17">
    <cfRule type="colorScale" priority="134">
      <colorScale>
        <cfvo type="num" val="0"/>
        <cfvo type="num" val="0.6"/>
        <cfvo type="num" val="1"/>
        <color rgb="FFFF0000"/>
        <color rgb="FFFFFF00"/>
        <color rgb="FF92FB4B"/>
      </colorScale>
    </cfRule>
  </conditionalFormatting>
  <conditionalFormatting sqref="N24:N27">
    <cfRule type="colorScale" priority="133">
      <colorScale>
        <cfvo type="num" val="0"/>
        <cfvo type="num" val="0.6"/>
        <cfvo type="num" val="1"/>
        <color rgb="FFFF0000"/>
        <color rgb="FFFFFF00"/>
        <color rgb="FF92FB4B"/>
      </colorScale>
    </cfRule>
  </conditionalFormatting>
  <conditionalFormatting sqref="N33:N36">
    <cfRule type="colorScale" priority="132">
      <colorScale>
        <cfvo type="num" val="0"/>
        <cfvo type="num" val="0.6"/>
        <cfvo type="num" val="1"/>
        <color rgb="FFFF0000"/>
        <color rgb="FFFFFF00"/>
        <color rgb="FF92FB4B"/>
      </colorScale>
    </cfRule>
  </conditionalFormatting>
  <conditionalFormatting sqref="N41:N42">
    <cfRule type="colorScale" priority="131">
      <colorScale>
        <cfvo type="num" val="0"/>
        <cfvo type="num" val="0.6"/>
        <cfvo type="num" val="1"/>
        <color rgb="FFFF0000"/>
        <color rgb="FFFFFF00"/>
        <color rgb="FF92FB4B"/>
      </colorScale>
    </cfRule>
  </conditionalFormatting>
  <conditionalFormatting sqref="N44:N45">
    <cfRule type="colorScale" priority="130">
      <colorScale>
        <cfvo type="num" val="0"/>
        <cfvo type="num" val="0.6"/>
        <cfvo type="num" val="1"/>
        <color rgb="FFFF0000"/>
        <color rgb="FFFFFF00"/>
        <color rgb="FF92FB4B"/>
      </colorScale>
    </cfRule>
  </conditionalFormatting>
  <conditionalFormatting sqref="N48:N49">
    <cfRule type="colorScale" priority="129">
      <colorScale>
        <cfvo type="num" val="0"/>
        <cfvo type="num" val="0.6"/>
        <cfvo type="num" val="1"/>
        <color rgb="FFFF0000"/>
        <color rgb="FFFFFF00"/>
        <color rgb="FF92FB4B"/>
      </colorScale>
    </cfRule>
  </conditionalFormatting>
  <conditionalFormatting sqref="N61">
    <cfRule type="colorScale" priority="128">
      <colorScale>
        <cfvo type="num" val="0"/>
        <cfvo type="num" val="0.6"/>
        <cfvo type="num" val="1"/>
        <color rgb="FFFF0000"/>
        <color rgb="FFFFFF00"/>
        <color rgb="FF92FB4B"/>
      </colorScale>
    </cfRule>
  </conditionalFormatting>
  <conditionalFormatting sqref="N78">
    <cfRule type="colorScale" priority="124">
      <colorScale>
        <cfvo type="num" val="0"/>
        <cfvo type="num" val="0.6"/>
        <cfvo type="num" val="1"/>
        <color rgb="FFFF0000"/>
        <color rgb="FFFFFF00"/>
        <color rgb="FF92FB4B"/>
      </colorScale>
    </cfRule>
  </conditionalFormatting>
  <conditionalFormatting sqref="N68">
    <cfRule type="colorScale" priority="127">
      <colorScale>
        <cfvo type="num" val="0"/>
        <cfvo type="num" val="0.6"/>
        <cfvo type="num" val="1"/>
        <color rgb="FFFF0000"/>
        <color rgb="FFFFFF00"/>
        <color rgb="FF92FB4B"/>
      </colorScale>
    </cfRule>
  </conditionalFormatting>
  <conditionalFormatting sqref="N71">
    <cfRule type="colorScale" priority="126">
      <colorScale>
        <cfvo type="num" val="0"/>
        <cfvo type="num" val="0.6"/>
        <cfvo type="num" val="1"/>
        <color rgb="FFFF0000"/>
        <color rgb="FFFFFF00"/>
        <color rgb="FF92FB4B"/>
      </colorScale>
    </cfRule>
  </conditionalFormatting>
  <conditionalFormatting sqref="N73">
    <cfRule type="colorScale" priority="125">
      <colorScale>
        <cfvo type="num" val="0"/>
        <cfvo type="num" val="0.6"/>
        <cfvo type="num" val="1"/>
        <color rgb="FFFF0000"/>
        <color rgb="FFFFFF00"/>
        <color rgb="FF92FB4B"/>
      </colorScale>
    </cfRule>
  </conditionalFormatting>
  <conditionalFormatting sqref="N81">
    <cfRule type="colorScale" priority="123">
      <colorScale>
        <cfvo type="num" val="0"/>
        <cfvo type="num" val="0.6"/>
        <cfvo type="num" val="1"/>
        <color rgb="FFFF0000"/>
        <color rgb="FFFFFF00"/>
        <color rgb="FF92FB4B"/>
      </colorScale>
    </cfRule>
  </conditionalFormatting>
  <conditionalFormatting sqref="N87">
    <cfRule type="colorScale" priority="122">
      <colorScale>
        <cfvo type="num" val="0"/>
        <cfvo type="num" val="0.6"/>
        <cfvo type="num" val="1"/>
        <color rgb="FFFF0000"/>
        <color rgb="FFFFFF00"/>
        <color rgb="FF92FB4B"/>
      </colorScale>
    </cfRule>
  </conditionalFormatting>
  <conditionalFormatting sqref="N94">
    <cfRule type="colorScale" priority="121">
      <colorScale>
        <cfvo type="num" val="0"/>
        <cfvo type="num" val="0.6"/>
        <cfvo type="num" val="1"/>
        <color rgb="FFFF0000"/>
        <color rgb="FFFFFF00"/>
        <color rgb="FF92FB4B"/>
      </colorScale>
    </cfRule>
  </conditionalFormatting>
  <conditionalFormatting sqref="N98:N99">
    <cfRule type="colorScale" priority="120">
      <colorScale>
        <cfvo type="num" val="0"/>
        <cfvo type="num" val="0.6"/>
        <cfvo type="num" val="1"/>
        <color rgb="FFFF0000"/>
        <color rgb="FFFFFF00"/>
        <color rgb="FF92FB4B"/>
      </colorScale>
    </cfRule>
  </conditionalFormatting>
  <conditionalFormatting sqref="N100:N101">
    <cfRule type="colorScale" priority="119">
      <colorScale>
        <cfvo type="num" val="0"/>
        <cfvo type="num" val="0.6"/>
        <cfvo type="num" val="1"/>
        <color rgb="FFFF0000"/>
        <color rgb="FFFFFF00"/>
        <color rgb="FF92FB4B"/>
      </colorScale>
    </cfRule>
  </conditionalFormatting>
  <conditionalFormatting sqref="N51">
    <cfRule type="colorScale" priority="118">
      <colorScale>
        <cfvo type="num" val="0"/>
        <cfvo type="num" val="0.6"/>
        <cfvo type="num" val="1"/>
        <color rgb="FFFF0000"/>
        <color rgb="FFFFFF00"/>
        <color rgb="FF92FB4B"/>
      </colorScale>
    </cfRule>
  </conditionalFormatting>
  <conditionalFormatting sqref="N83">
    <cfRule type="colorScale" priority="117">
      <colorScale>
        <cfvo type="num" val="0"/>
        <cfvo type="num" val="0.6"/>
        <cfvo type="num" val="1"/>
        <color rgb="FFFF0000"/>
        <color rgb="FFFFFF00"/>
        <color rgb="FF92FB4B"/>
      </colorScale>
    </cfRule>
  </conditionalFormatting>
  <conditionalFormatting sqref="N75">
    <cfRule type="colorScale" priority="116">
      <colorScale>
        <cfvo type="num" val="0"/>
        <cfvo type="num" val="0.6"/>
        <cfvo type="num" val="1"/>
        <color rgb="FFFF0000"/>
        <color rgb="FFFFFF00"/>
        <color rgb="FF92FB4B"/>
      </colorScale>
    </cfRule>
  </conditionalFormatting>
  <conditionalFormatting sqref="N9">
    <cfRule type="colorScale" priority="115">
      <colorScale>
        <cfvo type="num" val="0"/>
        <cfvo type="num" val="0.6"/>
        <cfvo type="num" val="1"/>
        <color rgb="FFFF0000"/>
        <color rgb="FFFFFF00"/>
        <color rgb="FF92FB4B"/>
      </colorScale>
    </cfRule>
  </conditionalFormatting>
  <conditionalFormatting sqref="N10">
    <cfRule type="colorScale" priority="114">
      <colorScale>
        <cfvo type="num" val="0"/>
        <cfvo type="num" val="0.6"/>
        <cfvo type="num" val="1"/>
        <color rgb="FFFF0000"/>
        <color rgb="FFFFFF00"/>
        <color rgb="FF92FB4B"/>
      </colorScale>
    </cfRule>
  </conditionalFormatting>
  <conditionalFormatting sqref="N18">
    <cfRule type="colorScale" priority="113">
      <colorScale>
        <cfvo type="num" val="0"/>
        <cfvo type="num" val="0.6"/>
        <cfvo type="num" val="1"/>
        <color rgb="FFFF0000"/>
        <color rgb="FFFFFF00"/>
        <color rgb="FF92FB4B"/>
      </colorScale>
    </cfRule>
  </conditionalFormatting>
  <conditionalFormatting sqref="N23">
    <cfRule type="colorScale" priority="112">
      <colorScale>
        <cfvo type="num" val="0"/>
        <cfvo type="num" val="0.6"/>
        <cfvo type="num" val="1"/>
        <color rgb="FFFF0000"/>
        <color rgb="FFFFFF00"/>
        <color rgb="FF92FB4B"/>
      </colorScale>
    </cfRule>
  </conditionalFormatting>
  <conditionalFormatting sqref="N32">
    <cfRule type="colorScale" priority="111">
      <colorScale>
        <cfvo type="num" val="0"/>
        <cfvo type="num" val="0.6"/>
        <cfvo type="num" val="1"/>
        <color rgb="FFFF0000"/>
        <color rgb="FFFFFF00"/>
        <color rgb="FF92FB4B"/>
      </colorScale>
    </cfRule>
  </conditionalFormatting>
  <conditionalFormatting sqref="N37">
    <cfRule type="colorScale" priority="110">
      <colorScale>
        <cfvo type="num" val="0"/>
        <cfvo type="num" val="0.6"/>
        <cfvo type="num" val="1"/>
        <color rgb="FFFF0000"/>
        <color rgb="FFFFFF00"/>
        <color rgb="FF92FB4B"/>
      </colorScale>
    </cfRule>
  </conditionalFormatting>
  <conditionalFormatting sqref="N40">
    <cfRule type="colorScale" priority="109">
      <colorScale>
        <cfvo type="num" val="0"/>
        <cfvo type="num" val="0.6"/>
        <cfvo type="num" val="1"/>
        <color rgb="FFFF0000"/>
        <color rgb="FFFFFF00"/>
        <color rgb="FF92FB4B"/>
      </colorScale>
    </cfRule>
  </conditionalFormatting>
  <conditionalFormatting sqref="N43">
    <cfRule type="colorScale" priority="108">
      <colorScale>
        <cfvo type="num" val="0"/>
        <cfvo type="num" val="0.6"/>
        <cfvo type="num" val="1"/>
        <color rgb="FFFF0000"/>
        <color rgb="FFFFFF00"/>
        <color rgb="FF92FB4B"/>
      </colorScale>
    </cfRule>
  </conditionalFormatting>
  <conditionalFormatting sqref="N46">
    <cfRule type="colorScale" priority="107">
      <colorScale>
        <cfvo type="num" val="0"/>
        <cfvo type="num" val="0.6"/>
        <cfvo type="num" val="1"/>
        <color rgb="FFFF0000"/>
        <color rgb="FFFFFF00"/>
        <color rgb="FF92FB4B"/>
      </colorScale>
    </cfRule>
  </conditionalFormatting>
  <conditionalFormatting sqref="N47">
    <cfRule type="colorScale" priority="106">
      <colorScale>
        <cfvo type="num" val="0"/>
        <cfvo type="num" val="0.6"/>
        <cfvo type="num" val="1"/>
        <color rgb="FFFF0000"/>
        <color rgb="FFFFFF00"/>
        <color rgb="FF92FB4B"/>
      </colorScale>
    </cfRule>
  </conditionalFormatting>
  <conditionalFormatting sqref="N50">
    <cfRule type="colorScale" priority="105">
      <colorScale>
        <cfvo type="num" val="0"/>
        <cfvo type="num" val="0.6"/>
        <cfvo type="num" val="1"/>
        <color rgb="FFFF0000"/>
        <color rgb="FFFFFF00"/>
        <color rgb="FF92FB4B"/>
      </colorScale>
    </cfRule>
  </conditionalFormatting>
  <conditionalFormatting sqref="N52">
    <cfRule type="colorScale" priority="104">
      <colorScale>
        <cfvo type="num" val="0"/>
        <cfvo type="num" val="0.6"/>
        <cfvo type="num" val="1"/>
        <color rgb="FFFF0000"/>
        <color rgb="FFFFFF00"/>
        <color rgb="FF92FB4B"/>
      </colorScale>
    </cfRule>
  </conditionalFormatting>
  <conditionalFormatting sqref="N59">
    <cfRule type="colorScale" priority="103">
      <colorScale>
        <cfvo type="num" val="0"/>
        <cfvo type="num" val="0.6"/>
        <cfvo type="num" val="1"/>
        <color rgb="FFFF0000"/>
        <color rgb="FFFFFF00"/>
        <color rgb="FF92FB4B"/>
      </colorScale>
    </cfRule>
  </conditionalFormatting>
  <conditionalFormatting sqref="N60">
    <cfRule type="colorScale" priority="102">
      <colorScale>
        <cfvo type="num" val="0"/>
        <cfvo type="num" val="0.6"/>
        <cfvo type="num" val="1"/>
        <color rgb="FFFF0000"/>
        <color rgb="FFFFFF00"/>
        <color rgb="FF92FB4B"/>
      </colorScale>
    </cfRule>
  </conditionalFormatting>
  <conditionalFormatting sqref="N67">
    <cfRule type="colorScale" priority="101">
      <colorScale>
        <cfvo type="num" val="0"/>
        <cfvo type="num" val="0.6"/>
        <cfvo type="num" val="1"/>
        <color rgb="FFFF0000"/>
        <color rgb="FFFFFF00"/>
        <color rgb="FF92FB4B"/>
      </colorScale>
    </cfRule>
  </conditionalFormatting>
  <conditionalFormatting sqref="N69">
    <cfRule type="colorScale" priority="100">
      <colorScale>
        <cfvo type="num" val="0"/>
        <cfvo type="num" val="0.6"/>
        <cfvo type="num" val="1"/>
        <color rgb="FFFF0000"/>
        <color rgb="FFFFFF00"/>
        <color rgb="FF92FB4B"/>
      </colorScale>
    </cfRule>
  </conditionalFormatting>
  <conditionalFormatting sqref="N70">
    <cfRule type="colorScale" priority="99">
      <colorScale>
        <cfvo type="num" val="0"/>
        <cfvo type="num" val="0.6"/>
        <cfvo type="num" val="1"/>
        <color rgb="FFFF0000"/>
        <color rgb="FFFFFF00"/>
        <color rgb="FF92FB4B"/>
      </colorScale>
    </cfRule>
  </conditionalFormatting>
  <conditionalFormatting sqref="N72">
    <cfRule type="colorScale" priority="98">
      <colorScale>
        <cfvo type="num" val="0"/>
        <cfvo type="num" val="0.6"/>
        <cfvo type="num" val="1"/>
        <color rgb="FFFF0000"/>
        <color rgb="FFFFFF00"/>
        <color rgb="FF92FB4B"/>
      </colorScale>
    </cfRule>
  </conditionalFormatting>
  <conditionalFormatting sqref="N74">
    <cfRule type="colorScale" priority="97">
      <colorScale>
        <cfvo type="num" val="0"/>
        <cfvo type="num" val="0.6"/>
        <cfvo type="num" val="1"/>
        <color rgb="FFFF0000"/>
        <color rgb="FFFFFF00"/>
        <color rgb="FF92FB4B"/>
      </colorScale>
    </cfRule>
  </conditionalFormatting>
  <conditionalFormatting sqref="N76">
    <cfRule type="colorScale" priority="96">
      <colorScale>
        <cfvo type="num" val="0"/>
        <cfvo type="num" val="0.6"/>
        <cfvo type="num" val="1"/>
        <color rgb="FFFF0000"/>
        <color rgb="FFFFFF00"/>
        <color rgb="FF92FB4B"/>
      </colorScale>
    </cfRule>
  </conditionalFormatting>
  <conditionalFormatting sqref="N77">
    <cfRule type="colorScale" priority="95">
      <colorScale>
        <cfvo type="num" val="0"/>
        <cfvo type="num" val="0.6"/>
        <cfvo type="num" val="1"/>
        <color rgb="FFFF0000"/>
        <color rgb="FFFFFF00"/>
        <color rgb="FF92FB4B"/>
      </colorScale>
    </cfRule>
  </conditionalFormatting>
  <conditionalFormatting sqref="N79">
    <cfRule type="colorScale" priority="94">
      <colorScale>
        <cfvo type="num" val="0"/>
        <cfvo type="num" val="0.6"/>
        <cfvo type="num" val="1"/>
        <color rgb="FFFF0000"/>
        <color rgb="FFFFFF00"/>
        <color rgb="FF92FB4B"/>
      </colorScale>
    </cfRule>
  </conditionalFormatting>
  <conditionalFormatting sqref="N80">
    <cfRule type="colorScale" priority="93">
      <colorScale>
        <cfvo type="num" val="0"/>
        <cfvo type="num" val="0.6"/>
        <cfvo type="num" val="1"/>
        <color rgb="FFFF0000"/>
        <color rgb="FFFFFF00"/>
        <color rgb="FF92FB4B"/>
      </colorScale>
    </cfRule>
  </conditionalFormatting>
  <conditionalFormatting sqref="N86">
    <cfRule type="colorScale" priority="92">
      <colorScale>
        <cfvo type="num" val="0"/>
        <cfvo type="num" val="0.6"/>
        <cfvo type="num" val="1"/>
        <color rgb="FFFF0000"/>
        <color rgb="FFFFFF00"/>
        <color rgb="FF92FB4B"/>
      </colorScale>
    </cfRule>
  </conditionalFormatting>
  <conditionalFormatting sqref="N92">
    <cfRule type="colorScale" priority="91">
      <colorScale>
        <cfvo type="num" val="0"/>
        <cfvo type="num" val="0.6"/>
        <cfvo type="num" val="1"/>
        <color rgb="FFFF0000"/>
        <color rgb="FFFFFF00"/>
        <color rgb="FF92FB4B"/>
      </colorScale>
    </cfRule>
  </conditionalFormatting>
  <conditionalFormatting sqref="N93">
    <cfRule type="colorScale" priority="90">
      <colorScale>
        <cfvo type="num" val="0"/>
        <cfvo type="num" val="0.6"/>
        <cfvo type="num" val="1"/>
        <color rgb="FFFF0000"/>
        <color rgb="FFFFFF00"/>
        <color rgb="FF92FB4B"/>
      </colorScale>
    </cfRule>
  </conditionalFormatting>
  <conditionalFormatting sqref="N97">
    <cfRule type="colorScale" priority="89">
      <colorScale>
        <cfvo type="num" val="0"/>
        <cfvo type="num" val="0.6"/>
        <cfvo type="num" val="1"/>
        <color rgb="FFFF0000"/>
        <color rgb="FFFFFF00"/>
        <color rgb="FF92FB4B"/>
      </colorScale>
    </cfRule>
  </conditionalFormatting>
  <conditionalFormatting sqref="N4">
    <cfRule type="colorScale" priority="88">
      <colorScale>
        <cfvo type="num" val="0"/>
        <cfvo type="num" val="0.6"/>
        <cfvo type="num" val="1"/>
        <color rgb="FFFF0000"/>
        <color rgb="FFFFFF00"/>
        <color rgb="FF92FB4B"/>
      </colorScale>
    </cfRule>
  </conditionalFormatting>
  <conditionalFormatting sqref="P4">
    <cfRule type="colorScale" priority="87">
      <colorScale>
        <cfvo type="num" val="0"/>
        <cfvo type="num" val="0.6"/>
        <cfvo type="num" val="1"/>
        <color rgb="FFFF0000"/>
        <color rgb="FFFFFF00"/>
        <color rgb="FF92FB4B"/>
      </colorScale>
    </cfRule>
  </conditionalFormatting>
  <conditionalFormatting sqref="P9">
    <cfRule type="colorScale" priority="86">
      <colorScale>
        <cfvo type="num" val="0"/>
        <cfvo type="num" val="0.6"/>
        <cfvo type="num" val="1"/>
        <color rgb="FFFF0000"/>
        <color rgb="FFFFFF00"/>
        <color rgb="FF92FB4B"/>
      </colorScale>
    </cfRule>
  </conditionalFormatting>
  <conditionalFormatting sqref="P10">
    <cfRule type="colorScale" priority="85">
      <colorScale>
        <cfvo type="num" val="0"/>
        <cfvo type="num" val="0.6"/>
        <cfvo type="num" val="1"/>
        <color rgb="FFFF0000"/>
        <color rgb="FFFFFF00"/>
        <color rgb="FF92FB4B"/>
      </colorScale>
    </cfRule>
  </conditionalFormatting>
  <conditionalFormatting sqref="P11">
    <cfRule type="colorScale" priority="84">
      <colorScale>
        <cfvo type="num" val="0"/>
        <cfvo type="num" val="0.6"/>
        <cfvo type="num" val="1"/>
        <color rgb="FFFF0000"/>
        <color rgb="FFFFFF00"/>
        <color rgb="FF92FB4B"/>
      </colorScale>
    </cfRule>
  </conditionalFormatting>
  <conditionalFormatting sqref="P13">
    <cfRule type="colorScale" priority="83">
      <colorScale>
        <cfvo type="num" val="0"/>
        <cfvo type="num" val="0.6"/>
        <cfvo type="num" val="1"/>
        <color rgb="FFFF0000"/>
        <color rgb="FFFFFF00"/>
        <color rgb="FF92FB4B"/>
      </colorScale>
    </cfRule>
  </conditionalFormatting>
  <conditionalFormatting sqref="P15">
    <cfRule type="colorScale" priority="82">
      <colorScale>
        <cfvo type="num" val="0"/>
        <cfvo type="num" val="0.6"/>
        <cfvo type="num" val="1"/>
        <color rgb="FFFF0000"/>
        <color rgb="FFFFFF00"/>
        <color rgb="FF92FB4B"/>
      </colorScale>
    </cfRule>
  </conditionalFormatting>
  <conditionalFormatting sqref="P23">
    <cfRule type="colorScale" priority="81">
      <colorScale>
        <cfvo type="num" val="0"/>
        <cfvo type="num" val="0.6"/>
        <cfvo type="num" val="1"/>
        <color rgb="FFFF0000"/>
        <color rgb="FFFFFF00"/>
        <color rgb="FF92FB4B"/>
      </colorScale>
    </cfRule>
  </conditionalFormatting>
  <conditionalFormatting sqref="P32">
    <cfRule type="colorScale" priority="80">
      <colorScale>
        <cfvo type="num" val="0"/>
        <cfvo type="num" val="0.6"/>
        <cfvo type="num" val="1"/>
        <color rgb="FFFF0000"/>
        <color rgb="FFFFFF00"/>
        <color rgb="FF92FB4B"/>
      </colorScale>
    </cfRule>
  </conditionalFormatting>
  <conditionalFormatting sqref="P33">
    <cfRule type="colorScale" priority="79">
      <colorScale>
        <cfvo type="num" val="0"/>
        <cfvo type="num" val="0.6"/>
        <cfvo type="num" val="1"/>
        <color rgb="FFFF0000"/>
        <color rgb="FFFFFF00"/>
        <color rgb="FF92FB4B"/>
      </colorScale>
    </cfRule>
  </conditionalFormatting>
  <conditionalFormatting sqref="P34">
    <cfRule type="colorScale" priority="78">
      <colorScale>
        <cfvo type="num" val="0"/>
        <cfvo type="num" val="0.6"/>
        <cfvo type="num" val="1"/>
        <color rgb="FFFF0000"/>
        <color rgb="FFFFFF00"/>
        <color rgb="FF92FB4B"/>
      </colorScale>
    </cfRule>
  </conditionalFormatting>
  <conditionalFormatting sqref="P35">
    <cfRule type="colorScale" priority="77">
      <colorScale>
        <cfvo type="num" val="0"/>
        <cfvo type="num" val="0.6"/>
        <cfvo type="num" val="1"/>
        <color rgb="FFFF0000"/>
        <color rgb="FFFFFF00"/>
        <color rgb="FF92FB4B"/>
      </colorScale>
    </cfRule>
  </conditionalFormatting>
  <conditionalFormatting sqref="P36">
    <cfRule type="colorScale" priority="76">
      <colorScale>
        <cfvo type="num" val="0"/>
        <cfvo type="num" val="0.6"/>
        <cfvo type="num" val="1"/>
        <color rgb="FFFF0000"/>
        <color rgb="FFFFFF00"/>
        <color rgb="FF92FB4B"/>
      </colorScale>
    </cfRule>
  </conditionalFormatting>
  <conditionalFormatting sqref="P37">
    <cfRule type="colorScale" priority="75">
      <colorScale>
        <cfvo type="num" val="0"/>
        <cfvo type="num" val="0.6"/>
        <cfvo type="num" val="1"/>
        <color rgb="FFFF0000"/>
        <color rgb="FFFFFF00"/>
        <color rgb="FF92FB4B"/>
      </colorScale>
    </cfRule>
  </conditionalFormatting>
  <conditionalFormatting sqref="P38">
    <cfRule type="colorScale" priority="74">
      <colorScale>
        <cfvo type="num" val="0"/>
        <cfvo type="num" val="0.6"/>
        <cfvo type="num" val="1"/>
        <color rgb="FFFF0000"/>
        <color rgb="FFFFFF00"/>
        <color rgb="FF92FB4B"/>
      </colorScale>
    </cfRule>
  </conditionalFormatting>
  <conditionalFormatting sqref="P40">
    <cfRule type="colorScale" priority="73">
      <colorScale>
        <cfvo type="num" val="0"/>
        <cfvo type="num" val="0.6"/>
        <cfvo type="num" val="1"/>
        <color rgb="FFFF0000"/>
        <color rgb="FFFFFF00"/>
        <color rgb="FF92FB4B"/>
      </colorScale>
    </cfRule>
  </conditionalFormatting>
  <conditionalFormatting sqref="P41">
    <cfRule type="colorScale" priority="72">
      <colorScale>
        <cfvo type="num" val="0"/>
        <cfvo type="num" val="0.6"/>
        <cfvo type="num" val="1"/>
        <color rgb="FFFF0000"/>
        <color rgb="FFFFFF00"/>
        <color rgb="FF92FB4B"/>
      </colorScale>
    </cfRule>
  </conditionalFormatting>
  <conditionalFormatting sqref="P43">
    <cfRule type="colorScale" priority="71">
      <colorScale>
        <cfvo type="num" val="0"/>
        <cfvo type="num" val="0.6"/>
        <cfvo type="num" val="1"/>
        <color rgb="FFFF0000"/>
        <color rgb="FFFFFF00"/>
        <color rgb="FF92FB4B"/>
      </colorScale>
    </cfRule>
  </conditionalFormatting>
  <conditionalFormatting sqref="P44">
    <cfRule type="colorScale" priority="70">
      <colorScale>
        <cfvo type="num" val="0"/>
        <cfvo type="num" val="0.6"/>
        <cfvo type="num" val="1"/>
        <color rgb="FFFF0000"/>
        <color rgb="FFFFFF00"/>
        <color rgb="FF92FB4B"/>
      </colorScale>
    </cfRule>
  </conditionalFormatting>
  <conditionalFormatting sqref="P46">
    <cfRule type="colorScale" priority="69">
      <colorScale>
        <cfvo type="num" val="0"/>
        <cfvo type="num" val="0.6"/>
        <cfvo type="num" val="1"/>
        <color rgb="FFFF0000"/>
        <color rgb="FFFFFF00"/>
        <color rgb="FF92FB4B"/>
      </colorScale>
    </cfRule>
  </conditionalFormatting>
  <conditionalFormatting sqref="P47">
    <cfRule type="colorScale" priority="68">
      <colorScale>
        <cfvo type="num" val="0"/>
        <cfvo type="num" val="0.6"/>
        <cfvo type="num" val="1"/>
        <color rgb="FFFF0000"/>
        <color rgb="FFFFFF00"/>
        <color rgb="FF92FB4B"/>
      </colorScale>
    </cfRule>
  </conditionalFormatting>
  <conditionalFormatting sqref="P48">
    <cfRule type="colorScale" priority="67">
      <colorScale>
        <cfvo type="num" val="0"/>
        <cfvo type="num" val="0.6"/>
        <cfvo type="num" val="1"/>
        <color rgb="FFFF0000"/>
        <color rgb="FFFFFF00"/>
        <color rgb="FF92FB4B"/>
      </colorScale>
    </cfRule>
  </conditionalFormatting>
  <conditionalFormatting sqref="P50">
    <cfRule type="colorScale" priority="66">
      <colorScale>
        <cfvo type="num" val="0"/>
        <cfvo type="num" val="0.6"/>
        <cfvo type="num" val="1"/>
        <color rgb="FFFF0000"/>
        <color rgb="FFFFFF00"/>
        <color rgb="FF92FB4B"/>
      </colorScale>
    </cfRule>
  </conditionalFormatting>
  <conditionalFormatting sqref="P51">
    <cfRule type="colorScale" priority="65">
      <colorScale>
        <cfvo type="num" val="0"/>
        <cfvo type="num" val="0.6"/>
        <cfvo type="num" val="1"/>
        <color rgb="FFFF0000"/>
        <color rgb="FFFFFF00"/>
        <color rgb="FF92FB4B"/>
      </colorScale>
    </cfRule>
  </conditionalFormatting>
  <conditionalFormatting sqref="P52">
    <cfRule type="colorScale" priority="64">
      <colorScale>
        <cfvo type="num" val="0"/>
        <cfvo type="num" val="0.6"/>
        <cfvo type="num" val="1"/>
        <color rgb="FFFF0000"/>
        <color rgb="FFFFFF00"/>
        <color rgb="FF92FB4B"/>
      </colorScale>
    </cfRule>
  </conditionalFormatting>
  <conditionalFormatting sqref="P18">
    <cfRule type="colorScale" priority="63">
      <colorScale>
        <cfvo type="num" val="0"/>
        <cfvo type="num" val="0.6"/>
        <cfvo type="num" val="1"/>
        <color rgb="FFFF0000"/>
        <color rgb="FFFFFF00"/>
        <color rgb="FF92FB4B"/>
      </colorScale>
    </cfRule>
  </conditionalFormatting>
  <conditionalFormatting sqref="P19">
    <cfRule type="colorScale" priority="62">
      <colorScale>
        <cfvo type="num" val="0"/>
        <cfvo type="num" val="0.6"/>
        <cfvo type="num" val="1"/>
        <color rgb="FFFF0000"/>
        <color rgb="FFFFFF00"/>
        <color rgb="FF92FB4B"/>
      </colorScale>
    </cfRule>
  </conditionalFormatting>
  <conditionalFormatting sqref="P24">
    <cfRule type="colorScale" priority="61">
      <colorScale>
        <cfvo type="num" val="0"/>
        <cfvo type="num" val="0.6"/>
        <cfvo type="num" val="1"/>
        <color rgb="FFFF0000"/>
        <color rgb="FFFFFF00"/>
        <color rgb="FF92FB4B"/>
      </colorScale>
    </cfRule>
  </conditionalFormatting>
  <conditionalFormatting sqref="P53">
    <cfRule type="colorScale" priority="60">
      <colorScale>
        <cfvo type="num" val="0"/>
        <cfvo type="num" val="0.6"/>
        <cfvo type="num" val="1"/>
        <color rgb="FFFF0000"/>
        <color rgb="FFFFFF00"/>
        <color rgb="FF92FB4B"/>
      </colorScale>
    </cfRule>
  </conditionalFormatting>
  <conditionalFormatting sqref="P59">
    <cfRule type="colorScale" priority="59">
      <colorScale>
        <cfvo type="num" val="0"/>
        <cfvo type="num" val="0.6"/>
        <cfvo type="num" val="1"/>
        <color rgb="FFFF0000"/>
        <color rgb="FFFFFF00"/>
        <color rgb="FF92FB4B"/>
      </colorScale>
    </cfRule>
  </conditionalFormatting>
  <conditionalFormatting sqref="P60">
    <cfRule type="colorScale" priority="58">
      <colorScale>
        <cfvo type="num" val="0"/>
        <cfvo type="num" val="0.6"/>
        <cfvo type="num" val="1"/>
        <color rgb="FFFF0000"/>
        <color rgb="FFFFFF00"/>
        <color rgb="FF92FB4B"/>
      </colorScale>
    </cfRule>
  </conditionalFormatting>
  <conditionalFormatting sqref="P61">
    <cfRule type="colorScale" priority="57">
      <colorScale>
        <cfvo type="num" val="0"/>
        <cfvo type="num" val="0.6"/>
        <cfvo type="num" val="1"/>
        <color rgb="FFFF0000"/>
        <color rgb="FFFFFF00"/>
        <color rgb="FF92FB4B"/>
      </colorScale>
    </cfRule>
  </conditionalFormatting>
  <conditionalFormatting sqref="P67">
    <cfRule type="colorScale" priority="56">
      <colorScale>
        <cfvo type="num" val="0"/>
        <cfvo type="num" val="0.6"/>
        <cfvo type="num" val="1"/>
        <color rgb="FFFF0000"/>
        <color rgb="FFFFFF00"/>
        <color rgb="FF92FB4B"/>
      </colorScale>
    </cfRule>
  </conditionalFormatting>
  <conditionalFormatting sqref="P68">
    <cfRule type="colorScale" priority="55">
      <colorScale>
        <cfvo type="num" val="0"/>
        <cfvo type="num" val="0.6"/>
        <cfvo type="num" val="1"/>
        <color rgb="FFFF0000"/>
        <color rgb="FFFFFF00"/>
        <color rgb="FF92FB4B"/>
      </colorScale>
    </cfRule>
  </conditionalFormatting>
  <conditionalFormatting sqref="P69">
    <cfRule type="colorScale" priority="54">
      <colorScale>
        <cfvo type="num" val="0"/>
        <cfvo type="num" val="0.6"/>
        <cfvo type="num" val="1"/>
        <color rgb="FFFF0000"/>
        <color rgb="FFFFFF00"/>
        <color rgb="FF92FB4B"/>
      </colorScale>
    </cfRule>
  </conditionalFormatting>
  <conditionalFormatting sqref="P70">
    <cfRule type="colorScale" priority="53">
      <colorScale>
        <cfvo type="num" val="0"/>
        <cfvo type="num" val="0.6"/>
        <cfvo type="num" val="1"/>
        <color rgb="FFFF0000"/>
        <color rgb="FFFFFF00"/>
        <color rgb="FF92FB4B"/>
      </colorScale>
    </cfRule>
  </conditionalFormatting>
  <conditionalFormatting sqref="P71">
    <cfRule type="colorScale" priority="52">
      <colorScale>
        <cfvo type="num" val="0"/>
        <cfvo type="num" val="0.6"/>
        <cfvo type="num" val="1"/>
        <color rgb="FFFF0000"/>
        <color rgb="FFFFFF00"/>
        <color rgb="FF92FB4B"/>
      </colorScale>
    </cfRule>
  </conditionalFormatting>
  <conditionalFormatting sqref="P72">
    <cfRule type="colorScale" priority="51">
      <colorScale>
        <cfvo type="num" val="0"/>
        <cfvo type="num" val="0.6"/>
        <cfvo type="num" val="1"/>
        <color rgb="FFFF0000"/>
        <color rgb="FFFFFF00"/>
        <color rgb="FF92FB4B"/>
      </colorScale>
    </cfRule>
  </conditionalFormatting>
  <conditionalFormatting sqref="P73">
    <cfRule type="colorScale" priority="50">
      <colorScale>
        <cfvo type="num" val="0"/>
        <cfvo type="num" val="0.6"/>
        <cfvo type="num" val="1"/>
        <color rgb="FFFF0000"/>
        <color rgb="FFFFFF00"/>
        <color rgb="FF92FB4B"/>
      </colorScale>
    </cfRule>
  </conditionalFormatting>
  <conditionalFormatting sqref="P74">
    <cfRule type="colorScale" priority="49">
      <colorScale>
        <cfvo type="num" val="0"/>
        <cfvo type="num" val="0.6"/>
        <cfvo type="num" val="1"/>
        <color rgb="FFFF0000"/>
        <color rgb="FFFFFF00"/>
        <color rgb="FF92FB4B"/>
      </colorScale>
    </cfRule>
  </conditionalFormatting>
  <conditionalFormatting sqref="P75">
    <cfRule type="colorScale" priority="48">
      <colorScale>
        <cfvo type="num" val="0"/>
        <cfvo type="num" val="0.6"/>
        <cfvo type="num" val="1"/>
        <color rgb="FFFF0000"/>
        <color rgb="FFFFFF00"/>
        <color rgb="FF92FB4B"/>
      </colorScale>
    </cfRule>
  </conditionalFormatting>
  <conditionalFormatting sqref="P76">
    <cfRule type="colorScale" priority="47">
      <colorScale>
        <cfvo type="num" val="0"/>
        <cfvo type="num" val="0.6"/>
        <cfvo type="num" val="1"/>
        <color rgb="FFFF0000"/>
        <color rgb="FFFFFF00"/>
        <color rgb="FF92FB4B"/>
      </colorScale>
    </cfRule>
  </conditionalFormatting>
  <conditionalFormatting sqref="P77">
    <cfRule type="colorScale" priority="46">
      <colorScale>
        <cfvo type="num" val="0"/>
        <cfvo type="num" val="0.6"/>
        <cfvo type="num" val="1"/>
        <color rgb="FFFF0000"/>
        <color rgb="FFFFFF00"/>
        <color rgb="FF92FB4B"/>
      </colorScale>
    </cfRule>
  </conditionalFormatting>
  <conditionalFormatting sqref="P78">
    <cfRule type="colorScale" priority="45">
      <colorScale>
        <cfvo type="num" val="0"/>
        <cfvo type="num" val="0.6"/>
        <cfvo type="num" val="1"/>
        <color rgb="FFFF0000"/>
        <color rgb="FFFFFF00"/>
        <color rgb="FF92FB4B"/>
      </colorScale>
    </cfRule>
  </conditionalFormatting>
  <conditionalFormatting sqref="P79">
    <cfRule type="colorScale" priority="44">
      <colorScale>
        <cfvo type="num" val="0"/>
        <cfvo type="num" val="0.6"/>
        <cfvo type="num" val="1"/>
        <color rgb="FFFF0000"/>
        <color rgb="FFFFFF00"/>
        <color rgb="FF92FB4B"/>
      </colorScale>
    </cfRule>
  </conditionalFormatting>
  <conditionalFormatting sqref="P80">
    <cfRule type="colorScale" priority="43">
      <colorScale>
        <cfvo type="num" val="0"/>
        <cfvo type="num" val="0.6"/>
        <cfvo type="num" val="1"/>
        <color rgb="FFFF0000"/>
        <color rgb="FFFFFF00"/>
        <color rgb="FF92FB4B"/>
      </colorScale>
    </cfRule>
  </conditionalFormatting>
  <conditionalFormatting sqref="P81">
    <cfRule type="colorScale" priority="42">
      <colorScale>
        <cfvo type="num" val="0"/>
        <cfvo type="num" val="0.6"/>
        <cfvo type="num" val="1"/>
        <color rgb="FFFF0000"/>
        <color rgb="FFFFFF00"/>
        <color rgb="FF92FB4B"/>
      </colorScale>
    </cfRule>
  </conditionalFormatting>
  <conditionalFormatting sqref="P83">
    <cfRule type="colorScale" priority="41">
      <colorScale>
        <cfvo type="num" val="0"/>
        <cfvo type="num" val="0.6"/>
        <cfvo type="num" val="1"/>
        <color rgb="FFFF0000"/>
        <color rgb="FFFFFF00"/>
        <color rgb="FF92FB4B"/>
      </colorScale>
    </cfRule>
  </conditionalFormatting>
  <conditionalFormatting sqref="P86">
    <cfRule type="colorScale" priority="40">
      <colorScale>
        <cfvo type="num" val="0"/>
        <cfvo type="num" val="0.6"/>
        <cfvo type="num" val="1"/>
        <color rgb="FFFF0000"/>
        <color rgb="FFFFFF00"/>
        <color rgb="FF92FB4B"/>
      </colorScale>
    </cfRule>
  </conditionalFormatting>
  <conditionalFormatting sqref="P87">
    <cfRule type="colorScale" priority="39">
      <colorScale>
        <cfvo type="num" val="0"/>
        <cfvo type="num" val="0.6"/>
        <cfvo type="num" val="1"/>
        <color rgb="FFFF0000"/>
        <color rgb="FFFFFF00"/>
        <color rgb="FF92FB4B"/>
      </colorScale>
    </cfRule>
  </conditionalFormatting>
  <conditionalFormatting sqref="P92">
    <cfRule type="colorScale" priority="38">
      <colorScale>
        <cfvo type="num" val="0"/>
        <cfvo type="num" val="0.6"/>
        <cfvo type="num" val="1"/>
        <color rgb="FFFF0000"/>
        <color rgb="FFFFFF00"/>
        <color rgb="FF92FB4B"/>
      </colorScale>
    </cfRule>
  </conditionalFormatting>
  <conditionalFormatting sqref="P93">
    <cfRule type="colorScale" priority="37">
      <colorScale>
        <cfvo type="num" val="0"/>
        <cfvo type="num" val="0.6"/>
        <cfvo type="num" val="1"/>
        <color rgb="FFFF0000"/>
        <color rgb="FFFFFF00"/>
        <color rgb="FF92FB4B"/>
      </colorScale>
    </cfRule>
  </conditionalFormatting>
  <conditionalFormatting sqref="P94">
    <cfRule type="colorScale" priority="36">
      <colorScale>
        <cfvo type="num" val="0"/>
        <cfvo type="num" val="0.6"/>
        <cfvo type="num" val="1"/>
        <color rgb="FFFF0000"/>
        <color rgb="FFFFFF00"/>
        <color rgb="FF92FB4B"/>
      </colorScale>
    </cfRule>
  </conditionalFormatting>
  <conditionalFormatting sqref="P97">
    <cfRule type="colorScale" priority="35">
      <colorScale>
        <cfvo type="num" val="0"/>
        <cfvo type="num" val="0.6"/>
        <cfvo type="num" val="1"/>
        <color rgb="FFFF0000"/>
        <color rgb="FFFFFF00"/>
        <color rgb="FF92FB4B"/>
      </colorScale>
    </cfRule>
  </conditionalFormatting>
  <conditionalFormatting sqref="P98">
    <cfRule type="colorScale" priority="34">
      <colorScale>
        <cfvo type="num" val="0"/>
        <cfvo type="num" val="0.6"/>
        <cfvo type="num" val="1"/>
        <color rgb="FFFF0000"/>
        <color rgb="FFFFFF00"/>
        <color rgb="FF92FB4B"/>
      </colorScale>
    </cfRule>
  </conditionalFormatting>
  <conditionalFormatting sqref="P99">
    <cfRule type="colorScale" priority="33">
      <colorScale>
        <cfvo type="num" val="0"/>
        <cfvo type="num" val="0.6"/>
        <cfvo type="num" val="1"/>
        <color rgb="FFFF0000"/>
        <color rgb="FFFFFF00"/>
        <color rgb="FF92FB4B"/>
      </colorScale>
    </cfRule>
  </conditionalFormatting>
  <conditionalFormatting sqref="P100">
    <cfRule type="colorScale" priority="32">
      <colorScale>
        <cfvo type="num" val="0"/>
        <cfvo type="num" val="0.6"/>
        <cfvo type="num" val="1"/>
        <color rgb="FFFF0000"/>
        <color rgb="FFFFFF00"/>
        <color rgb="FF92FB4B"/>
      </colorScale>
    </cfRule>
  </conditionalFormatting>
  <conditionalFormatting sqref="N13:N14">
    <cfRule type="colorScale" priority="31">
      <colorScale>
        <cfvo type="num" val="0"/>
        <cfvo type="num" val="0.6"/>
        <cfvo type="num" val="1"/>
        <color rgb="FFFF0000"/>
        <color rgb="FFFFFF00"/>
        <color rgb="FF92FB4B"/>
      </colorScale>
    </cfRule>
  </conditionalFormatting>
  <conditionalFormatting sqref="O18:O19 O23 O40 O47 O50 O52:O53 O60 O67 O70 O72 O74 O76:O77 O86:O87 O93 O33:O37">
    <cfRule type="colorScale" priority="30">
      <colorScale>
        <cfvo type="num" val="0"/>
        <cfvo type="num" val="1.8"/>
        <cfvo type="num" val="3.571428"/>
        <color rgb="FFFF0000"/>
        <color rgb="FFFFFF00"/>
        <color rgb="FF92FB4B"/>
      </colorScale>
    </cfRule>
  </conditionalFormatting>
  <conditionalFormatting sqref="O24">
    <cfRule type="colorScale" priority="29">
      <colorScale>
        <cfvo type="num" val="0"/>
        <cfvo type="num" val="1.8"/>
        <cfvo type="num" val="3.6"/>
        <color rgb="FFFF0000"/>
        <color rgb="FFFFFF00"/>
        <color rgb="FF92FB4B"/>
      </colorScale>
    </cfRule>
  </conditionalFormatting>
  <conditionalFormatting sqref="O9">
    <cfRule type="colorScale" priority="28">
      <colorScale>
        <cfvo type="num" val="0"/>
        <cfvo type="num" val="21.4285"/>
        <cfvo type="num" val="42.857135999999997"/>
        <color rgb="FFFF0000"/>
        <color rgb="FFFFFF00"/>
        <color rgb="FF92FB4B"/>
      </colorScale>
    </cfRule>
  </conditionalFormatting>
  <conditionalFormatting sqref="O69 O10 O97">
    <cfRule type="colorScale" priority="27">
      <colorScale>
        <cfvo type="num" val="0"/>
        <cfvo type="num" val="5.3570000000000002"/>
        <cfvo type="num" val="10.714"/>
        <color rgb="FFFF0000"/>
        <color rgb="FFFFFF00"/>
        <color rgb="FF92FB4B"/>
      </colorScale>
    </cfRule>
  </conditionalFormatting>
  <conditionalFormatting sqref="O32">
    <cfRule type="colorScale" priority="26">
      <colorScale>
        <cfvo type="num" val="0"/>
        <cfvo type="num" val="7.1428000000000003"/>
        <cfvo type="num" val="14.2857"/>
        <color rgb="FFFF0000"/>
        <color rgb="FFFFFF00"/>
        <color rgb="FF92FB4B"/>
      </colorScale>
    </cfRule>
  </conditionalFormatting>
  <conditionalFormatting sqref="O46">
    <cfRule type="colorScale" priority="25">
      <colorScale>
        <cfvo type="num" val="0"/>
        <cfvo type="num" val="5.3570000000000002"/>
        <cfvo type="num" val="10.7143"/>
        <color rgb="FFFF0000"/>
        <color rgb="FFFFFF00"/>
        <color rgb="FF92FB4B"/>
      </colorScale>
    </cfRule>
  </conditionalFormatting>
  <conditionalFormatting sqref="O80 O59">
    <cfRule type="colorScale" priority="24">
      <colorScale>
        <cfvo type="num" val="0"/>
        <cfvo type="num" val="3.5714000000000001"/>
        <cfvo type="num" val="7.1428000000000003"/>
        <color rgb="FFFF0000"/>
        <color rgb="FFFFFF00"/>
        <color rgb="FF92FB4B"/>
      </colorScale>
    </cfRule>
  </conditionalFormatting>
  <conditionalFormatting sqref="O79">
    <cfRule type="colorScale" priority="23">
      <colorScale>
        <cfvo type="num" val="0"/>
        <cfvo type="num" val="5.3571419999999996"/>
        <cfvo type="num" val="10.71428"/>
        <color rgb="FFFF0000"/>
        <color rgb="FFFFFF00"/>
        <color rgb="FF92FB4B"/>
      </colorScale>
    </cfRule>
  </conditionalFormatting>
  <conditionalFormatting sqref="O92">
    <cfRule type="colorScale" priority="22">
      <colorScale>
        <cfvo type="num" val="0"/>
        <cfvo type="num" val="7.1428000000000003"/>
        <cfvo type="num" val="14.28"/>
        <color rgb="FFFF0000"/>
        <color rgb="FFFFFF00"/>
        <color rgb="FF92FB4B"/>
      </colorScale>
    </cfRule>
  </conditionalFormatting>
  <conditionalFormatting sqref="O11:O12">
    <cfRule type="colorScale" priority="21">
      <colorScale>
        <cfvo type="num" val="0"/>
        <cfvo type="num" val="1.8"/>
        <cfvo type="num" val="3.571428"/>
        <color rgb="FFFF0000"/>
        <color rgb="FFFFFF00"/>
        <color rgb="FF92FB4B"/>
      </colorScale>
    </cfRule>
  </conditionalFormatting>
  <conditionalFormatting sqref="O43">
    <cfRule type="colorScale" priority="20">
      <colorScale>
        <cfvo type="num" val="0"/>
        <cfvo type="num" val="1.8"/>
        <cfvo type="num" val="3.571428"/>
        <color rgb="FFFF0000"/>
        <color rgb="FFFFFF00"/>
        <color rgb="FF92FB4B"/>
      </colorScale>
    </cfRule>
  </conditionalFormatting>
  <conditionalFormatting sqref="O83">
    <cfRule type="colorScale" priority="19">
      <colorScale>
        <cfvo type="num" val="0"/>
        <cfvo type="num" val="1.8"/>
        <cfvo type="num" val="3.571428"/>
        <color rgb="FFFF0000"/>
        <color rgb="FFFFFF00"/>
        <color rgb="FF92FB4B"/>
      </colorScale>
    </cfRule>
  </conditionalFormatting>
  <conditionalFormatting sqref="O13:O14">
    <cfRule type="colorScale" priority="18">
      <colorScale>
        <cfvo type="num" val="0"/>
        <cfvo type="num" val="1.8"/>
        <cfvo type="num" val="3.571428"/>
        <color rgb="FFFF0000"/>
        <color rgb="FFFFFF00"/>
        <color rgb="FF92FB4B"/>
      </colorScale>
    </cfRule>
  </conditionalFormatting>
  <conditionalFormatting sqref="O38:O39">
    <cfRule type="colorScale" priority="17">
      <colorScale>
        <cfvo type="num" val="0"/>
        <cfvo type="num" val="1.8"/>
        <cfvo type="num" val="3.571428"/>
        <color rgb="FFFF0000"/>
        <color rgb="FFFFFF00"/>
        <color rgb="FF92FB4B"/>
      </colorScale>
    </cfRule>
  </conditionalFormatting>
  <conditionalFormatting sqref="O41:O42">
    <cfRule type="colorScale" priority="16">
      <colorScale>
        <cfvo type="num" val="0"/>
        <cfvo type="num" val="1.8"/>
        <cfvo type="num" val="3.571428"/>
        <color rgb="FFFF0000"/>
        <color rgb="FFFFFF00"/>
        <color rgb="FF92FB4B"/>
      </colorScale>
    </cfRule>
  </conditionalFormatting>
  <conditionalFormatting sqref="O44:O45">
    <cfRule type="colorScale" priority="15">
      <colorScale>
        <cfvo type="num" val="0"/>
        <cfvo type="num" val="1.8"/>
        <cfvo type="num" val="3.571428"/>
        <color rgb="FFFF0000"/>
        <color rgb="FFFFFF00"/>
        <color rgb="FF92FB4B"/>
      </colorScale>
    </cfRule>
  </conditionalFormatting>
  <conditionalFormatting sqref="O48:O49">
    <cfRule type="colorScale" priority="14">
      <colorScale>
        <cfvo type="num" val="0"/>
        <cfvo type="num" val="1.8"/>
        <cfvo type="num" val="3.571428"/>
        <color rgb="FFFF0000"/>
        <color rgb="FFFFFF00"/>
        <color rgb="FF92FB4B"/>
      </colorScale>
    </cfRule>
  </conditionalFormatting>
  <conditionalFormatting sqref="O51">
    <cfRule type="colorScale" priority="13">
      <colorScale>
        <cfvo type="num" val="0"/>
        <cfvo type="num" val="1.8"/>
        <cfvo type="num" val="3.571428"/>
        <color rgb="FFFF0000"/>
        <color rgb="FFFFFF00"/>
        <color rgb="FF92FB4B"/>
      </colorScale>
    </cfRule>
  </conditionalFormatting>
  <conditionalFormatting sqref="O61">
    <cfRule type="colorScale" priority="12">
      <colorScale>
        <cfvo type="num" val="0"/>
        <cfvo type="num" val="1.8"/>
        <cfvo type="num" val="3.571428"/>
        <color rgb="FFFF0000"/>
        <color rgb="FFFFFF00"/>
        <color rgb="FF92FB4B"/>
      </colorScale>
    </cfRule>
  </conditionalFormatting>
  <conditionalFormatting sqref="O68">
    <cfRule type="colorScale" priority="11">
      <colorScale>
        <cfvo type="num" val="0"/>
        <cfvo type="num" val="1.8"/>
        <cfvo type="num" val="3.571428"/>
        <color rgb="FFFF0000"/>
        <color rgb="FFFFFF00"/>
        <color rgb="FF92FB4B"/>
      </colorScale>
    </cfRule>
  </conditionalFormatting>
  <conditionalFormatting sqref="O71">
    <cfRule type="colorScale" priority="10">
      <colorScale>
        <cfvo type="num" val="0"/>
        <cfvo type="num" val="1.8"/>
        <cfvo type="num" val="3.571428"/>
        <color rgb="FFFF0000"/>
        <color rgb="FFFFFF00"/>
        <color rgb="FF92FB4B"/>
      </colorScale>
    </cfRule>
  </conditionalFormatting>
  <conditionalFormatting sqref="O73">
    <cfRule type="colorScale" priority="9">
      <colorScale>
        <cfvo type="num" val="0"/>
        <cfvo type="num" val="1.8"/>
        <cfvo type="num" val="3.571428"/>
        <color rgb="FFFF0000"/>
        <color rgb="FFFFFF00"/>
        <color rgb="FF92FB4B"/>
      </colorScale>
    </cfRule>
  </conditionalFormatting>
  <conditionalFormatting sqref="O75">
    <cfRule type="colorScale" priority="8">
      <colorScale>
        <cfvo type="num" val="0"/>
        <cfvo type="num" val="1.8"/>
        <cfvo type="num" val="3.571428"/>
        <color rgb="FFFF0000"/>
        <color rgb="FFFFFF00"/>
        <color rgb="FF92FB4B"/>
      </colorScale>
    </cfRule>
  </conditionalFormatting>
  <conditionalFormatting sqref="O78">
    <cfRule type="colorScale" priority="7">
      <colorScale>
        <cfvo type="num" val="0"/>
        <cfvo type="num" val="1.8"/>
        <cfvo type="num" val="3.571428"/>
        <color rgb="FFFF0000"/>
        <color rgb="FFFFFF00"/>
        <color rgb="FF92FB4B"/>
      </colorScale>
    </cfRule>
  </conditionalFormatting>
  <conditionalFormatting sqref="O81:O82">
    <cfRule type="colorScale" priority="6">
      <colorScale>
        <cfvo type="num" val="0"/>
        <cfvo type="num" val="1.8"/>
        <cfvo type="num" val="3.571428"/>
        <color rgb="FFFF0000"/>
        <color rgb="FFFFFF00"/>
        <color rgb="FF92FB4B"/>
      </colorScale>
    </cfRule>
  </conditionalFormatting>
  <conditionalFormatting sqref="O15">
    <cfRule type="colorScale" priority="5">
      <colorScale>
        <cfvo type="num" val="0"/>
        <cfvo type="num" val="1.8"/>
        <cfvo type="num" val="3.571428"/>
        <color rgb="FFFF0000"/>
        <color rgb="FFFFFF00"/>
        <color rgb="FF92FB4B"/>
      </colorScale>
    </cfRule>
  </conditionalFormatting>
  <conditionalFormatting sqref="O94">
    <cfRule type="colorScale" priority="4">
      <colorScale>
        <cfvo type="num" val="0"/>
        <cfvo type="num" val="1.8"/>
        <cfvo type="num" val="3.571428"/>
        <color rgb="FFFF0000"/>
        <color rgb="FFFFFF00"/>
        <color rgb="FF92FB4B"/>
      </colorScale>
    </cfRule>
  </conditionalFormatting>
  <conditionalFormatting sqref="O98">
    <cfRule type="colorScale" priority="3">
      <colorScale>
        <cfvo type="num" val="0"/>
        <cfvo type="num" val="1.8"/>
        <cfvo type="num" val="3.571428"/>
        <color rgb="FFFF0000"/>
        <color rgb="FFFFFF00"/>
        <color rgb="FF92FB4B"/>
      </colorScale>
    </cfRule>
  </conditionalFormatting>
  <conditionalFormatting sqref="O99">
    <cfRule type="colorScale" priority="2">
      <colorScale>
        <cfvo type="num" val="0"/>
        <cfvo type="num" val="1.8"/>
        <cfvo type="num" val="3.571428"/>
        <color rgb="FFFF0000"/>
        <color rgb="FFFFFF00"/>
        <color rgb="FF92FB4B"/>
      </colorScale>
    </cfRule>
  </conditionalFormatting>
  <conditionalFormatting sqref="O100:O101">
    <cfRule type="colorScale" priority="1">
      <colorScale>
        <cfvo type="num" val="0"/>
        <cfvo type="num" val="1.8"/>
        <cfvo type="num" val="3.571428"/>
        <color rgb="FFFF0000"/>
        <color rgb="FFFFFF00"/>
        <color rgb="FF92FB4B"/>
      </colorScale>
    </cfRule>
  </conditionalFormatting>
  <dataValidations count="1">
    <dataValidation type="list" allowBlank="1" showInputMessage="1" showErrorMessage="1" sqref="F4" xr:uid="{2EC675F1-A9FE-4CB5-802C-53725AC832E6}">
      <formula1>$F$112:$F$166</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Aspiration Chart</vt:lpstr>
      <vt:lpstr>Performance by Goal</vt:lpstr>
      <vt:lpstr>Initial Analysis Table</vt:lpstr>
      <vt:lpstr>Continental Level Dashboard</vt:lpstr>
      <vt:lpstr>Continental Dboard Targets</vt:lpstr>
      <vt:lpstr>Benin</vt:lpstr>
      <vt:lpstr>Burkina Faso</vt:lpstr>
      <vt:lpstr>Ghana</vt:lpstr>
      <vt:lpstr>Guinea</vt:lpstr>
      <vt:lpstr>Senegal</vt:lpstr>
      <vt:lpstr>Mali</vt:lpstr>
      <vt:lpstr>Cotedivoire</vt:lpstr>
      <vt:lpstr>Liberia</vt:lpstr>
      <vt:lpstr>Togo</vt:lpstr>
      <vt:lpstr>Nigeria</vt:lpstr>
      <vt:lpstr>Niger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Simon Kisira</dc:creator>
  <cp:lastModifiedBy>Andson Nsune</cp:lastModifiedBy>
  <dcterms:created xsi:type="dcterms:W3CDTF">2019-08-26T09:31:19Z</dcterms:created>
  <dcterms:modified xsi:type="dcterms:W3CDTF">2020-01-28T21:26:38Z</dcterms:modified>
</cp:coreProperties>
</file>