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mc:AlternateContent xmlns:mc="http://schemas.openxmlformats.org/markup-compatibility/2006">
    <mc:Choice Requires="x15">
      <x15ac:absPath xmlns:x15ac="http://schemas.microsoft.com/office/spreadsheetml/2010/11/ac" url="C:\Users\Andsonn\Desktop\M_Regional Dashboards\28th Jan Revisions\"/>
    </mc:Choice>
  </mc:AlternateContent>
  <xr:revisionPtr revIDLastSave="0" documentId="13_ncr:1_{7FFDB7BA-733A-4684-862B-4067B85278BD}" xr6:coauthVersionLast="44" xr6:coauthVersionMax="44" xr10:uidLastSave="{00000000-0000-0000-0000-000000000000}"/>
  <bookViews>
    <workbookView xWindow="-98" yWindow="-98" windowWidth="19396" windowHeight="10395" firstSheet="4" activeTab="6" xr2:uid="{00000000-000D-0000-FFFF-FFFF00000000}"/>
  </bookViews>
  <sheets>
    <sheet name="Aspiration Chart" sheetId="24" r:id="rId1"/>
    <sheet name="Performance by Goal" sheetId="25" r:id="rId2"/>
    <sheet name="Initial Analysis Table" sheetId="17" r:id="rId3"/>
    <sheet name="Continental Level Dashboard" sheetId="2" r:id="rId4"/>
    <sheet name="Continental Dboard Targets" sheetId="19" r:id="rId5"/>
    <sheet name="South Africa" sheetId="40" r:id="rId6"/>
    <sheet name="Namibia" sheetId="42" r:id="rId7"/>
    <sheet name="Zimbabwe" sheetId="45" r:id="rId8"/>
    <sheet name="Botswana" sheetId="48" r:id="rId9"/>
    <sheet name="Mozambique" sheetId="50" r:id="rId10"/>
    <sheet name="Zambia" sheetId="51" r:id="rId11"/>
    <sheet name="Lesotho" sheetId="52" r:id="rId12"/>
    <sheet name="Eswatini" sheetId="53" r:id="rId13"/>
    <sheet name="End" sheetId="16" r:id="rId14"/>
    <sheet name="Madagascar" sheetId="28" r:id="rId1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2" i="19" l="1"/>
  <c r="F101" i="19"/>
  <c r="F100" i="19"/>
  <c r="F99" i="19"/>
  <c r="F97" i="19"/>
  <c r="F96" i="19"/>
  <c r="F95" i="19"/>
  <c r="F92" i="19"/>
  <c r="F91" i="19"/>
  <c r="F90" i="19"/>
  <c r="F89" i="19"/>
  <c r="F88" i="19"/>
  <c r="F86" i="19"/>
  <c r="F85" i="19"/>
  <c r="F84" i="19"/>
  <c r="F83" i="19"/>
  <c r="F82" i="19"/>
  <c r="F79" i="19"/>
  <c r="F76" i="19"/>
  <c r="F74" i="19"/>
  <c r="F72" i="19"/>
  <c r="F69" i="19"/>
  <c r="F67" i="19"/>
  <c r="F66" i="19"/>
  <c r="F65" i="19"/>
  <c r="F64" i="19"/>
  <c r="F63" i="19"/>
  <c r="F62" i="19"/>
  <c r="F59" i="19"/>
  <c r="F58" i="19"/>
  <c r="F57" i="19"/>
  <c r="F56" i="19"/>
  <c r="F55" i="19"/>
  <c r="F54" i="19"/>
  <c r="F50" i="19"/>
  <c r="F49" i="19"/>
  <c r="F46" i="19"/>
  <c r="F45" i="19"/>
  <c r="F43" i="19"/>
  <c r="F42" i="19"/>
  <c r="F40" i="19"/>
  <c r="F39" i="19"/>
  <c r="F37" i="19"/>
  <c r="F36" i="19"/>
  <c r="F35" i="19"/>
  <c r="F34" i="19"/>
  <c r="F32" i="19"/>
  <c r="F31" i="19"/>
  <c r="F30" i="19"/>
  <c r="F29" i="19"/>
  <c r="F28" i="19"/>
  <c r="F27" i="19"/>
  <c r="F26" i="19"/>
  <c r="F25" i="19"/>
  <c r="F23" i="19"/>
  <c r="F22" i="19"/>
  <c r="F20" i="19"/>
  <c r="F18" i="19"/>
  <c r="F17" i="19"/>
  <c r="F16" i="19"/>
  <c r="F15" i="19"/>
  <c r="F14" i="19"/>
  <c r="F13" i="19"/>
  <c r="F12" i="19"/>
  <c r="G88" i="19"/>
  <c r="G62" i="19"/>
  <c r="G54" i="19"/>
  <c r="G25" i="19"/>
  <c r="G20" i="19"/>
  <c r="G100" i="19"/>
  <c r="G99" i="19"/>
  <c r="G98" i="19"/>
  <c r="G94" i="19"/>
  <c r="G93" i="19"/>
  <c r="G87" i="19"/>
  <c r="G81" i="19"/>
  <c r="G80" i="19"/>
  <c r="G79" i="19"/>
  <c r="G78" i="19"/>
  <c r="G77" i="19"/>
  <c r="G76" i="19"/>
  <c r="G75" i="19"/>
  <c r="G74" i="19"/>
  <c r="G73" i="19"/>
  <c r="G72" i="19"/>
  <c r="G71" i="19"/>
  <c r="G70" i="19"/>
  <c r="G69" i="19"/>
  <c r="G68" i="19"/>
  <c r="G61" i="19"/>
  <c r="G60" i="19"/>
  <c r="G53" i="19"/>
  <c r="G52" i="19"/>
  <c r="G51" i="19"/>
  <c r="G48" i="19"/>
  <c r="G47" i="19"/>
  <c r="G44" i="19"/>
  <c r="G41" i="19"/>
  <c r="G38" i="19"/>
  <c r="G37" i="19"/>
  <c r="G36" i="19"/>
  <c r="G35" i="19"/>
  <c r="G34" i="19"/>
  <c r="G33" i="19"/>
  <c r="G24" i="19"/>
  <c r="G19" i="19"/>
  <c r="G95" i="19"/>
  <c r="G84" i="19"/>
  <c r="G101" i="19"/>
  <c r="G82" i="19"/>
  <c r="G49" i="19"/>
  <c r="G45" i="19"/>
  <c r="G42" i="19"/>
  <c r="G39" i="19"/>
  <c r="G16" i="19"/>
  <c r="G14" i="19"/>
  <c r="G12" i="19"/>
  <c r="G11" i="19"/>
  <c r="G10" i="19"/>
  <c r="G6" i="19"/>
  <c r="E145" i="28"/>
  <c r="E124" i="28"/>
  <c r="M101" i="28"/>
  <c r="K101" i="28"/>
  <c r="L101" i="28" s="1"/>
  <c r="J101" i="28"/>
  <c r="M100" i="28"/>
  <c r="K100" i="28"/>
  <c r="L100" i="28" s="1"/>
  <c r="J100" i="28"/>
  <c r="M99" i="28"/>
  <c r="L99" i="28"/>
  <c r="K99" i="28"/>
  <c r="J99" i="28"/>
  <c r="C99" i="28"/>
  <c r="E99" i="28" s="1"/>
  <c r="G99" i="28" s="1"/>
  <c r="M98" i="28"/>
  <c r="L98" i="28"/>
  <c r="K98" i="28"/>
  <c r="J98" i="28"/>
  <c r="C98" i="28"/>
  <c r="E98" i="28" s="1"/>
  <c r="G98" i="28" s="1"/>
  <c r="K96" i="28"/>
  <c r="M96" i="28" s="1"/>
  <c r="J96" i="28"/>
  <c r="M95" i="28"/>
  <c r="K95" i="28"/>
  <c r="L95" i="28" s="1"/>
  <c r="J95" i="28"/>
  <c r="K94" i="28"/>
  <c r="M94" i="28" s="1"/>
  <c r="J94" i="28"/>
  <c r="E94" i="28"/>
  <c r="G94" i="28" s="1"/>
  <c r="C94" i="28"/>
  <c r="E96" i="28" s="1"/>
  <c r="G96" i="28" s="1"/>
  <c r="K91" i="28"/>
  <c r="L91" i="28" s="1"/>
  <c r="M91" i="28" s="1"/>
  <c r="J91" i="28"/>
  <c r="M90" i="28"/>
  <c r="K90" i="28"/>
  <c r="L90" i="28" s="1"/>
  <c r="J90" i="28"/>
  <c r="K89" i="28"/>
  <c r="M89" i="28" s="1"/>
  <c r="J89" i="28"/>
  <c r="M88" i="28"/>
  <c r="K88" i="28"/>
  <c r="L88" i="28" s="1"/>
  <c r="J88" i="28"/>
  <c r="M87" i="28"/>
  <c r="L87" i="28"/>
  <c r="K87" i="28"/>
  <c r="J87" i="28"/>
  <c r="K85" i="28"/>
  <c r="M85" i="28" s="1"/>
  <c r="J85" i="28"/>
  <c r="M84" i="28"/>
  <c r="L84" i="28"/>
  <c r="K84" i="28"/>
  <c r="J84" i="28"/>
  <c r="M83" i="28"/>
  <c r="K83" i="28"/>
  <c r="L83" i="28" s="1"/>
  <c r="J83" i="28"/>
  <c r="C83" i="28"/>
  <c r="M82" i="28"/>
  <c r="L82" i="28"/>
  <c r="K82" i="28"/>
  <c r="J82" i="28"/>
  <c r="M81" i="28"/>
  <c r="K81" i="28"/>
  <c r="L81" i="28" s="1"/>
  <c r="J81" i="28"/>
  <c r="C81" i="28"/>
  <c r="E84" i="28" s="1"/>
  <c r="G84" i="28" s="1"/>
  <c r="K78" i="28"/>
  <c r="L78" i="28" s="1"/>
  <c r="M78" i="28" s="1"/>
  <c r="J78" i="28"/>
  <c r="C78" i="28"/>
  <c r="E78" i="28" s="1"/>
  <c r="G78" i="28" s="1"/>
  <c r="M75" i="28"/>
  <c r="K75" i="28"/>
  <c r="L75" i="28" s="1"/>
  <c r="J75" i="28"/>
  <c r="C75" i="28"/>
  <c r="E75" i="28" s="1"/>
  <c r="G75" i="28" s="1"/>
  <c r="M73" i="28"/>
  <c r="L73" i="28"/>
  <c r="K73" i="28"/>
  <c r="J73" i="28"/>
  <c r="C73" i="28"/>
  <c r="E73" i="28" s="1"/>
  <c r="G73" i="28" s="1"/>
  <c r="M71" i="28"/>
  <c r="L71" i="28"/>
  <c r="K71" i="28"/>
  <c r="J71" i="28"/>
  <c r="G71" i="28"/>
  <c r="O71" i="28" s="1"/>
  <c r="E71" i="28"/>
  <c r="C71" i="28"/>
  <c r="M68" i="28"/>
  <c r="K68" i="28"/>
  <c r="L68" i="28" s="1"/>
  <c r="J68" i="28"/>
  <c r="G68" i="28"/>
  <c r="O68" i="28" s="1"/>
  <c r="E68" i="28"/>
  <c r="C68" i="28"/>
  <c r="K66" i="28"/>
  <c r="M66" i="28" s="1"/>
  <c r="J66" i="28"/>
  <c r="K65" i="28"/>
  <c r="M65" i="28" s="1"/>
  <c r="J65" i="28"/>
  <c r="M64" i="28"/>
  <c r="L64" i="28"/>
  <c r="K64" i="28"/>
  <c r="J64" i="28"/>
  <c r="M63" i="28"/>
  <c r="K63" i="28"/>
  <c r="L63" i="28" s="1"/>
  <c r="J63" i="28"/>
  <c r="M62" i="28"/>
  <c r="K62" i="28"/>
  <c r="L62" i="28" s="1"/>
  <c r="J62" i="28"/>
  <c r="M61" i="28"/>
  <c r="L61" i="28"/>
  <c r="K61" i="28"/>
  <c r="J61" i="28"/>
  <c r="M58" i="28"/>
  <c r="K58" i="28"/>
  <c r="L58" i="28" s="1"/>
  <c r="J58" i="28"/>
  <c r="M57" i="28"/>
  <c r="L57" i="28"/>
  <c r="K57" i="28"/>
  <c r="J57" i="28"/>
  <c r="M56" i="28"/>
  <c r="L56" i="28"/>
  <c r="K56" i="28"/>
  <c r="J56" i="28"/>
  <c r="K55" i="28"/>
  <c r="M55" i="28" s="1"/>
  <c r="J55" i="28"/>
  <c r="M54" i="28"/>
  <c r="L54" i="28"/>
  <c r="K54" i="28"/>
  <c r="J54" i="28"/>
  <c r="M53" i="28"/>
  <c r="K53" i="28"/>
  <c r="L53" i="28" s="1"/>
  <c r="J53" i="28"/>
  <c r="C53" i="28"/>
  <c r="E56" i="28" s="1"/>
  <c r="G56" i="28" s="1"/>
  <c r="L51" i="28"/>
  <c r="K51" i="28"/>
  <c r="M51" i="28" s="1"/>
  <c r="J51" i="28"/>
  <c r="C51" i="28"/>
  <c r="E51" i="28" s="1"/>
  <c r="G51" i="28" s="1"/>
  <c r="M49" i="28"/>
  <c r="L49" i="28"/>
  <c r="K49" i="28"/>
  <c r="J49" i="28"/>
  <c r="M48" i="28"/>
  <c r="K48" i="28"/>
  <c r="L48" i="28" s="1"/>
  <c r="J48" i="28"/>
  <c r="C48" i="28"/>
  <c r="E49" i="28" s="1"/>
  <c r="G49" i="28" s="1"/>
  <c r="L45" i="28"/>
  <c r="K45" i="28"/>
  <c r="M45" i="28" s="1"/>
  <c r="J45" i="28"/>
  <c r="M44" i="28"/>
  <c r="L44" i="28"/>
  <c r="K44" i="28"/>
  <c r="J44" i="28"/>
  <c r="E44" i="28"/>
  <c r="G44" i="28" s="1"/>
  <c r="C44" i="28"/>
  <c r="E45" i="28" s="1"/>
  <c r="G45" i="28" s="1"/>
  <c r="M42" i="28"/>
  <c r="K42" i="28"/>
  <c r="L42" i="28" s="1"/>
  <c r="J42" i="28"/>
  <c r="K41" i="28"/>
  <c r="M41" i="28" s="1"/>
  <c r="J41" i="28"/>
  <c r="E41" i="28"/>
  <c r="G41" i="28" s="1"/>
  <c r="C41" i="28"/>
  <c r="E42" i="28" s="1"/>
  <c r="G42" i="28" s="1"/>
  <c r="L39" i="28"/>
  <c r="K39" i="28"/>
  <c r="J39" i="28"/>
  <c r="M39" i="28" s="1"/>
  <c r="K38" i="28"/>
  <c r="M38" i="28" s="1"/>
  <c r="J38" i="28"/>
  <c r="K36" i="28"/>
  <c r="M36" i="28" s="1"/>
  <c r="J36" i="28"/>
  <c r="E36" i="28"/>
  <c r="G36" i="28" s="1"/>
  <c r="C36" i="28"/>
  <c r="L35" i="28"/>
  <c r="K35" i="28"/>
  <c r="J35" i="28"/>
  <c r="M35" i="28" s="1"/>
  <c r="L34" i="28"/>
  <c r="K34" i="28"/>
  <c r="M34" i="28" s="1"/>
  <c r="J34" i="28"/>
  <c r="C34" i="28"/>
  <c r="E34" i="28" s="1"/>
  <c r="G34" i="28" s="1"/>
  <c r="M33" i="28"/>
  <c r="L33" i="28"/>
  <c r="K33" i="28"/>
  <c r="J33" i="28"/>
  <c r="K31" i="28"/>
  <c r="M31" i="28" s="1"/>
  <c r="J31" i="28"/>
  <c r="E31" i="28"/>
  <c r="G31" i="28" s="1"/>
  <c r="M30" i="28"/>
  <c r="L30" i="28"/>
  <c r="K30" i="28"/>
  <c r="J30" i="28"/>
  <c r="M29" i="28"/>
  <c r="K29" i="28"/>
  <c r="L29" i="28" s="1"/>
  <c r="J29" i="28"/>
  <c r="M28" i="28"/>
  <c r="K28" i="28"/>
  <c r="L28" i="28" s="1"/>
  <c r="J28" i="28"/>
  <c r="E28" i="28"/>
  <c r="G29" i="28" s="1"/>
  <c r="M27" i="28"/>
  <c r="L27" i="28"/>
  <c r="K27" i="28"/>
  <c r="J27" i="28"/>
  <c r="G27" i="28"/>
  <c r="M26" i="28"/>
  <c r="K26" i="28"/>
  <c r="L26" i="28" s="1"/>
  <c r="J26" i="28"/>
  <c r="G26" i="28"/>
  <c r="M25" i="28"/>
  <c r="K25" i="28"/>
  <c r="L25" i="28" s="1"/>
  <c r="J25" i="28"/>
  <c r="G25" i="28"/>
  <c r="M24" i="28"/>
  <c r="K24" i="28"/>
  <c r="L24" i="28" s="1"/>
  <c r="J24" i="28"/>
  <c r="E24" i="28"/>
  <c r="G24" i="28" s="1"/>
  <c r="C24" i="28"/>
  <c r="L22" i="28"/>
  <c r="K22" i="28"/>
  <c r="J22" i="28"/>
  <c r="M22" i="28" s="1"/>
  <c r="K21" i="28"/>
  <c r="M21" i="28" s="1"/>
  <c r="J21" i="28"/>
  <c r="E21" i="28"/>
  <c r="G21" i="28" s="1"/>
  <c r="M20" i="28"/>
  <c r="L20" i="28"/>
  <c r="K20" i="28"/>
  <c r="J20" i="28"/>
  <c r="M19" i="28"/>
  <c r="K19" i="28"/>
  <c r="L19" i="28" s="1"/>
  <c r="J19" i="28"/>
  <c r="C19" i="28"/>
  <c r="E22" i="28" s="1"/>
  <c r="G22" i="28" s="1"/>
  <c r="M17" i="28"/>
  <c r="L17" i="28"/>
  <c r="K17" i="28"/>
  <c r="J17" i="28"/>
  <c r="M16" i="28"/>
  <c r="L16" i="28"/>
  <c r="K16" i="28"/>
  <c r="J16" i="28"/>
  <c r="M15" i="28"/>
  <c r="L15" i="28"/>
  <c r="K15" i="28"/>
  <c r="J15" i="28"/>
  <c r="W14" i="28"/>
  <c r="M14" i="28"/>
  <c r="K14" i="28"/>
  <c r="L14" i="28" s="1"/>
  <c r="J14" i="28"/>
  <c r="E14" i="28"/>
  <c r="G14" i="28" s="1"/>
  <c r="Y13" i="28"/>
  <c r="X13" i="28"/>
  <c r="W13" i="28"/>
  <c r="M13" i="28"/>
  <c r="L13" i="28"/>
  <c r="K13" i="28"/>
  <c r="J13" i="28"/>
  <c r="C13" i="28"/>
  <c r="E13" i="28" s="1"/>
  <c r="G13" i="28" s="1"/>
  <c r="M12" i="28"/>
  <c r="K12" i="28"/>
  <c r="L12" i="28" s="1"/>
  <c r="J12" i="28"/>
  <c r="W11" i="28"/>
  <c r="X12" i="28" s="1"/>
  <c r="M11" i="28"/>
  <c r="K11" i="28"/>
  <c r="L11" i="28" s="1"/>
  <c r="J11" i="28"/>
  <c r="C11" i="28"/>
  <c r="M5" i="28"/>
  <c r="C61" i="28" s="1"/>
  <c r="E145" i="53"/>
  <c r="E124" i="53"/>
  <c r="M101" i="53"/>
  <c r="L101" i="53"/>
  <c r="K101" i="53"/>
  <c r="J101" i="53"/>
  <c r="M100" i="53"/>
  <c r="L100" i="53"/>
  <c r="K100" i="53"/>
  <c r="J100" i="53"/>
  <c r="M99" i="53"/>
  <c r="K99" i="53"/>
  <c r="L99" i="53" s="1"/>
  <c r="J99" i="53"/>
  <c r="M98" i="53"/>
  <c r="K98" i="53"/>
  <c r="L98" i="53" s="1"/>
  <c r="J98" i="53"/>
  <c r="L96" i="53"/>
  <c r="K96" i="53"/>
  <c r="M96" i="53" s="1"/>
  <c r="J96" i="53"/>
  <c r="M95" i="53"/>
  <c r="K95" i="53"/>
  <c r="L95" i="53" s="1"/>
  <c r="J95" i="53"/>
  <c r="K94" i="53"/>
  <c r="M94" i="53" s="1"/>
  <c r="J94" i="53"/>
  <c r="K91" i="53"/>
  <c r="L91" i="53" s="1"/>
  <c r="M91" i="53" s="1"/>
  <c r="J91" i="53"/>
  <c r="M90" i="53"/>
  <c r="L90" i="53"/>
  <c r="K90" i="53"/>
  <c r="J90" i="53"/>
  <c r="K89" i="53"/>
  <c r="M89" i="53" s="1"/>
  <c r="J89" i="53"/>
  <c r="K88" i="53"/>
  <c r="L88" i="53" s="1"/>
  <c r="J88" i="53"/>
  <c r="M87" i="53"/>
  <c r="L87" i="53"/>
  <c r="K87" i="53"/>
  <c r="J87" i="53"/>
  <c r="K85" i="53"/>
  <c r="M85" i="53" s="1"/>
  <c r="J85" i="53"/>
  <c r="M84" i="53"/>
  <c r="L84" i="53"/>
  <c r="K84" i="53"/>
  <c r="J84" i="53"/>
  <c r="M83" i="53"/>
  <c r="K83" i="53"/>
  <c r="L83" i="53" s="1"/>
  <c r="J83" i="53"/>
  <c r="M82" i="53"/>
  <c r="L82" i="53"/>
  <c r="K82" i="53"/>
  <c r="J82" i="53"/>
  <c r="M81" i="53"/>
  <c r="K81" i="53"/>
  <c r="L81" i="53" s="1"/>
  <c r="J81" i="53"/>
  <c r="K78" i="53"/>
  <c r="L78" i="53" s="1"/>
  <c r="M78" i="53" s="1"/>
  <c r="J78" i="53"/>
  <c r="M75" i="53"/>
  <c r="K75" i="53"/>
  <c r="L75" i="53" s="1"/>
  <c r="J75" i="53"/>
  <c r="M73" i="53"/>
  <c r="K73" i="53"/>
  <c r="L73" i="53" s="1"/>
  <c r="J73" i="53"/>
  <c r="M71" i="53"/>
  <c r="L71" i="53"/>
  <c r="K71" i="53"/>
  <c r="J71" i="53"/>
  <c r="M68" i="53"/>
  <c r="L68" i="53"/>
  <c r="K68" i="53"/>
  <c r="J68" i="53"/>
  <c r="L66" i="53"/>
  <c r="K66" i="53"/>
  <c r="M66" i="53" s="1"/>
  <c r="J66" i="53"/>
  <c r="K65" i="53"/>
  <c r="M65" i="53" s="1"/>
  <c r="J65" i="53"/>
  <c r="K64" i="53"/>
  <c r="L64" i="53" s="1"/>
  <c r="J64" i="53"/>
  <c r="M63" i="53"/>
  <c r="L63" i="53"/>
  <c r="K63" i="53"/>
  <c r="J63" i="53"/>
  <c r="M62" i="53"/>
  <c r="L62" i="53"/>
  <c r="K62" i="53"/>
  <c r="J62" i="53"/>
  <c r="M61" i="53"/>
  <c r="K61" i="53"/>
  <c r="L61" i="53" s="1"/>
  <c r="J61" i="53"/>
  <c r="M58" i="53"/>
  <c r="K58" i="53"/>
  <c r="L58" i="53" s="1"/>
  <c r="J58" i="53"/>
  <c r="M57" i="53"/>
  <c r="K57" i="53"/>
  <c r="L57" i="53" s="1"/>
  <c r="J57" i="53"/>
  <c r="K56" i="53"/>
  <c r="M56" i="53" s="1"/>
  <c r="J56" i="53"/>
  <c r="K55" i="53"/>
  <c r="M55" i="53" s="1"/>
  <c r="J55" i="53"/>
  <c r="M54" i="53"/>
  <c r="L54" i="53"/>
  <c r="K54" i="53"/>
  <c r="J54" i="53"/>
  <c r="M53" i="53"/>
  <c r="K53" i="53"/>
  <c r="L53" i="53" s="1"/>
  <c r="J53" i="53"/>
  <c r="M51" i="53"/>
  <c r="K51" i="53"/>
  <c r="L51" i="53" s="1"/>
  <c r="J51" i="53"/>
  <c r="M49" i="53"/>
  <c r="L49" i="53"/>
  <c r="K49" i="53"/>
  <c r="J49" i="53"/>
  <c r="M48" i="53"/>
  <c r="K48" i="53"/>
  <c r="L48" i="53" s="1"/>
  <c r="J48" i="53"/>
  <c r="M45" i="53"/>
  <c r="K45" i="53"/>
  <c r="L45" i="53" s="1"/>
  <c r="J45" i="53"/>
  <c r="M44" i="53"/>
  <c r="K44" i="53"/>
  <c r="L44" i="53" s="1"/>
  <c r="J44" i="53"/>
  <c r="M42" i="53"/>
  <c r="K42" i="53"/>
  <c r="L42" i="53" s="1"/>
  <c r="J42" i="53"/>
  <c r="K41" i="53"/>
  <c r="M41" i="53" s="1"/>
  <c r="J41" i="53"/>
  <c r="K39" i="53"/>
  <c r="M39" i="53" s="1"/>
  <c r="J39" i="53"/>
  <c r="L38" i="53"/>
  <c r="K38" i="53"/>
  <c r="M38" i="53" s="1"/>
  <c r="J38" i="53"/>
  <c r="K36" i="53"/>
  <c r="M36" i="53" s="1"/>
  <c r="J36" i="53"/>
  <c r="K35" i="53"/>
  <c r="M35" i="53" s="1"/>
  <c r="J35" i="53"/>
  <c r="M34" i="53"/>
  <c r="K34" i="53"/>
  <c r="L34" i="53" s="1"/>
  <c r="J34" i="53"/>
  <c r="M33" i="53"/>
  <c r="L33" i="53"/>
  <c r="K33" i="53"/>
  <c r="J33" i="53"/>
  <c r="K31" i="53"/>
  <c r="M31" i="53" s="1"/>
  <c r="J31" i="53"/>
  <c r="M30" i="53"/>
  <c r="L30" i="53"/>
  <c r="K30" i="53"/>
  <c r="J30" i="53"/>
  <c r="L29" i="53"/>
  <c r="K29" i="53"/>
  <c r="M29" i="53" s="1"/>
  <c r="J29" i="53"/>
  <c r="K28" i="53"/>
  <c r="M28" i="53" s="1"/>
  <c r="J28" i="53"/>
  <c r="M27" i="53"/>
  <c r="L27" i="53"/>
  <c r="K27" i="53"/>
  <c r="J27" i="53"/>
  <c r="G27" i="53"/>
  <c r="M26" i="53"/>
  <c r="L26" i="53"/>
  <c r="K26" i="53"/>
  <c r="J26" i="53"/>
  <c r="G26" i="53"/>
  <c r="K25" i="53"/>
  <c r="M25" i="53" s="1"/>
  <c r="J25" i="53"/>
  <c r="G25" i="53"/>
  <c r="M24" i="53"/>
  <c r="K24" i="53"/>
  <c r="L24" i="53" s="1"/>
  <c r="J24" i="53"/>
  <c r="K22" i="53"/>
  <c r="M22" i="53" s="1"/>
  <c r="J22" i="53"/>
  <c r="K21" i="53"/>
  <c r="M21" i="53" s="1"/>
  <c r="J21" i="53"/>
  <c r="M20" i="53"/>
  <c r="L20" i="53"/>
  <c r="K20" i="53"/>
  <c r="J20" i="53"/>
  <c r="M19" i="53"/>
  <c r="K19" i="53"/>
  <c r="L19" i="53" s="1"/>
  <c r="J19" i="53"/>
  <c r="M17" i="53"/>
  <c r="L17" i="53"/>
  <c r="K17" i="53"/>
  <c r="J17" i="53"/>
  <c r="M16" i="53"/>
  <c r="L16" i="53"/>
  <c r="K16" i="53"/>
  <c r="J16" i="53"/>
  <c r="M15" i="53"/>
  <c r="L15" i="53"/>
  <c r="K15" i="53"/>
  <c r="J15" i="53"/>
  <c r="W14" i="53"/>
  <c r="K14" i="53"/>
  <c r="M14" i="53" s="1"/>
  <c r="J14" i="53"/>
  <c r="Y13" i="53"/>
  <c r="X13" i="53"/>
  <c r="W13" i="53"/>
  <c r="M13" i="53"/>
  <c r="K13" i="53"/>
  <c r="L13" i="53" s="1"/>
  <c r="J13" i="53"/>
  <c r="W12" i="53"/>
  <c r="X14" i="53" s="1"/>
  <c r="L12" i="53"/>
  <c r="K12" i="53"/>
  <c r="M12" i="53" s="1"/>
  <c r="J12" i="53"/>
  <c r="W11" i="53"/>
  <c r="X12" i="53" s="1"/>
  <c r="M11" i="53"/>
  <c r="K11" i="53"/>
  <c r="L11" i="53" s="1"/>
  <c r="J11" i="53"/>
  <c r="M5" i="53"/>
  <c r="C94" i="53" s="1"/>
  <c r="E145" i="52"/>
  <c r="E124" i="52"/>
  <c r="M101" i="52"/>
  <c r="K101" i="52"/>
  <c r="L101" i="52" s="1"/>
  <c r="J101" i="52"/>
  <c r="K100" i="52"/>
  <c r="M100" i="52" s="1"/>
  <c r="J100" i="52"/>
  <c r="M99" i="52"/>
  <c r="K99" i="52"/>
  <c r="L99" i="52" s="1"/>
  <c r="J99" i="52"/>
  <c r="C99" i="52"/>
  <c r="E99" i="52" s="1"/>
  <c r="G99" i="52" s="1"/>
  <c r="M98" i="52"/>
  <c r="L98" i="52"/>
  <c r="K98" i="52"/>
  <c r="J98" i="52"/>
  <c r="C98" i="52"/>
  <c r="E98" i="52" s="1"/>
  <c r="G98" i="52" s="1"/>
  <c r="K96" i="52"/>
  <c r="M96" i="52" s="1"/>
  <c r="J96" i="52"/>
  <c r="M95" i="52"/>
  <c r="K95" i="52"/>
  <c r="L95" i="52" s="1"/>
  <c r="J95" i="52"/>
  <c r="K94" i="52"/>
  <c r="M94" i="52" s="1"/>
  <c r="J94" i="52"/>
  <c r="E94" i="52"/>
  <c r="G94" i="52" s="1"/>
  <c r="C94" i="52"/>
  <c r="E96" i="52" s="1"/>
  <c r="G96" i="52" s="1"/>
  <c r="M91" i="52"/>
  <c r="K91" i="52"/>
  <c r="L91" i="52" s="1"/>
  <c r="J91" i="52"/>
  <c r="M90" i="52"/>
  <c r="K90" i="52"/>
  <c r="L90" i="52" s="1"/>
  <c r="J90" i="52"/>
  <c r="K89" i="52"/>
  <c r="M89" i="52" s="1"/>
  <c r="J89" i="52"/>
  <c r="M88" i="52"/>
  <c r="K88" i="52"/>
  <c r="L88" i="52" s="1"/>
  <c r="J88" i="52"/>
  <c r="M87" i="52"/>
  <c r="L87" i="52"/>
  <c r="K87" i="52"/>
  <c r="J87" i="52"/>
  <c r="M85" i="52"/>
  <c r="K85" i="52"/>
  <c r="L85" i="52" s="1"/>
  <c r="J85" i="52"/>
  <c r="M84" i="52"/>
  <c r="L84" i="52"/>
  <c r="K84" i="52"/>
  <c r="J84" i="52"/>
  <c r="M83" i="52"/>
  <c r="L83" i="52"/>
  <c r="K83" i="52"/>
  <c r="J83" i="52"/>
  <c r="C83" i="52"/>
  <c r="M82" i="52"/>
  <c r="L82" i="52"/>
  <c r="K82" i="52"/>
  <c r="J82" i="52"/>
  <c r="M81" i="52"/>
  <c r="L81" i="52"/>
  <c r="K81" i="52"/>
  <c r="J81" i="52"/>
  <c r="C81" i="52"/>
  <c r="E84" i="52" s="1"/>
  <c r="G84" i="52" s="1"/>
  <c r="M78" i="52"/>
  <c r="L78" i="52"/>
  <c r="K78" i="52"/>
  <c r="J78" i="52"/>
  <c r="C78" i="52"/>
  <c r="E78" i="52" s="1"/>
  <c r="G78" i="52" s="1"/>
  <c r="M75" i="52"/>
  <c r="K75" i="52"/>
  <c r="L75" i="52" s="1"/>
  <c r="J75" i="52"/>
  <c r="C75" i="52"/>
  <c r="E75" i="52" s="1"/>
  <c r="G75" i="52" s="1"/>
  <c r="L73" i="52"/>
  <c r="K73" i="52"/>
  <c r="M73" i="52" s="1"/>
  <c r="J73" i="52"/>
  <c r="C73" i="52"/>
  <c r="E73" i="52" s="1"/>
  <c r="G73" i="52" s="1"/>
  <c r="M71" i="52"/>
  <c r="K71" i="52"/>
  <c r="L71" i="52" s="1"/>
  <c r="J71" i="52"/>
  <c r="C71" i="52"/>
  <c r="E71" i="52" s="1"/>
  <c r="G71" i="52" s="1"/>
  <c r="M68" i="52"/>
  <c r="K68" i="52"/>
  <c r="L68" i="52" s="1"/>
  <c r="J68" i="52"/>
  <c r="C68" i="52"/>
  <c r="E68" i="52" s="1"/>
  <c r="G68" i="52" s="1"/>
  <c r="K66" i="52"/>
  <c r="M66" i="52" s="1"/>
  <c r="J66" i="52"/>
  <c r="K65" i="52"/>
  <c r="M65" i="52" s="1"/>
  <c r="J65" i="52"/>
  <c r="M64" i="52"/>
  <c r="K64" i="52"/>
  <c r="L64" i="52" s="1"/>
  <c r="J64" i="52"/>
  <c r="M63" i="52"/>
  <c r="K63" i="52"/>
  <c r="L63" i="52" s="1"/>
  <c r="J63" i="52"/>
  <c r="M62" i="52"/>
  <c r="K62" i="52"/>
  <c r="L62" i="52" s="1"/>
  <c r="J62" i="52"/>
  <c r="M61" i="52"/>
  <c r="L61" i="52"/>
  <c r="K61" i="52"/>
  <c r="J61" i="52"/>
  <c r="M58" i="52"/>
  <c r="K58" i="52"/>
  <c r="L58" i="52" s="1"/>
  <c r="J58" i="52"/>
  <c r="L57" i="52"/>
  <c r="K57" i="52"/>
  <c r="M57" i="52" s="1"/>
  <c r="J57" i="52"/>
  <c r="M56" i="52"/>
  <c r="L56" i="52"/>
  <c r="K56" i="52"/>
  <c r="J56" i="52"/>
  <c r="K55" i="52"/>
  <c r="M55" i="52" s="1"/>
  <c r="J55" i="52"/>
  <c r="M54" i="52"/>
  <c r="L54" i="52"/>
  <c r="K54" i="52"/>
  <c r="J54" i="52"/>
  <c r="M53" i="52"/>
  <c r="K53" i="52"/>
  <c r="L53" i="52" s="1"/>
  <c r="J53" i="52"/>
  <c r="C53" i="52"/>
  <c r="E56" i="52" s="1"/>
  <c r="G56" i="52" s="1"/>
  <c r="L51" i="52"/>
  <c r="K51" i="52"/>
  <c r="M51" i="52" s="1"/>
  <c r="J51" i="52"/>
  <c r="C51" i="52"/>
  <c r="E51" i="52" s="1"/>
  <c r="G51" i="52" s="1"/>
  <c r="M49" i="52"/>
  <c r="L49" i="52"/>
  <c r="K49" i="52"/>
  <c r="J49" i="52"/>
  <c r="M48" i="52"/>
  <c r="K48" i="52"/>
  <c r="L48" i="52" s="1"/>
  <c r="J48" i="52"/>
  <c r="C48" i="52"/>
  <c r="E49" i="52" s="1"/>
  <c r="G49" i="52" s="1"/>
  <c r="M45" i="52"/>
  <c r="L45" i="52"/>
  <c r="K45" i="52"/>
  <c r="J45" i="52"/>
  <c r="M44" i="52"/>
  <c r="K44" i="52"/>
  <c r="L44" i="52" s="1"/>
  <c r="J44" i="52"/>
  <c r="C44" i="52"/>
  <c r="E45" i="52" s="1"/>
  <c r="G45" i="52" s="1"/>
  <c r="M42" i="52"/>
  <c r="K42" i="52"/>
  <c r="L42" i="52" s="1"/>
  <c r="J42" i="52"/>
  <c r="K41" i="52"/>
  <c r="M41" i="52" s="1"/>
  <c r="J41" i="52"/>
  <c r="E41" i="52"/>
  <c r="G41" i="52" s="1"/>
  <c r="C41" i="52"/>
  <c r="E42" i="52" s="1"/>
  <c r="G42" i="52" s="1"/>
  <c r="L39" i="52"/>
  <c r="K39" i="52"/>
  <c r="J39" i="52"/>
  <c r="M39" i="52" s="1"/>
  <c r="K38" i="52"/>
  <c r="M38" i="52" s="1"/>
  <c r="J38" i="52"/>
  <c r="K36" i="52"/>
  <c r="M36" i="52" s="1"/>
  <c r="J36" i="52"/>
  <c r="E36" i="52"/>
  <c r="G36" i="52" s="1"/>
  <c r="C36" i="52"/>
  <c r="L35" i="52"/>
  <c r="K35" i="52"/>
  <c r="J35" i="52"/>
  <c r="M35" i="52" s="1"/>
  <c r="L34" i="52"/>
  <c r="K34" i="52"/>
  <c r="M34" i="52" s="1"/>
  <c r="J34" i="52"/>
  <c r="C34" i="52"/>
  <c r="E34" i="52" s="1"/>
  <c r="G34" i="52" s="1"/>
  <c r="M33" i="52"/>
  <c r="L33" i="52"/>
  <c r="K33" i="52"/>
  <c r="J33" i="52"/>
  <c r="M31" i="52"/>
  <c r="K31" i="52"/>
  <c r="L31" i="52" s="1"/>
  <c r="J31" i="52"/>
  <c r="E31" i="52"/>
  <c r="G31" i="52" s="1"/>
  <c r="M30" i="52"/>
  <c r="L30" i="52"/>
  <c r="K30" i="52"/>
  <c r="J30" i="52"/>
  <c r="K29" i="52"/>
  <c r="M29" i="52" s="1"/>
  <c r="J29" i="52"/>
  <c r="K28" i="52"/>
  <c r="M28" i="52" s="1"/>
  <c r="J28" i="52"/>
  <c r="E28" i="52"/>
  <c r="G29" i="52" s="1"/>
  <c r="M27" i="52"/>
  <c r="L27" i="52"/>
  <c r="K27" i="52"/>
  <c r="J27" i="52"/>
  <c r="G27" i="52"/>
  <c r="K26" i="52"/>
  <c r="M26" i="52" s="1"/>
  <c r="J26" i="52"/>
  <c r="G26" i="52"/>
  <c r="K25" i="52"/>
  <c r="M25" i="52" s="1"/>
  <c r="J25" i="52"/>
  <c r="G25" i="52"/>
  <c r="K24" i="52"/>
  <c r="M24" i="52" s="1"/>
  <c r="J24" i="52"/>
  <c r="E24" i="52"/>
  <c r="G24" i="52" s="1"/>
  <c r="C24" i="52"/>
  <c r="L22" i="52"/>
  <c r="K22" i="52"/>
  <c r="J22" i="52"/>
  <c r="M22" i="52" s="1"/>
  <c r="K21" i="52"/>
  <c r="M21" i="52" s="1"/>
  <c r="J21" i="52"/>
  <c r="M20" i="52"/>
  <c r="L20" i="52"/>
  <c r="K20" i="52"/>
  <c r="J20" i="52"/>
  <c r="M19" i="52"/>
  <c r="K19" i="52"/>
  <c r="L19" i="52" s="1"/>
  <c r="J19" i="52"/>
  <c r="C19" i="52"/>
  <c r="E22" i="52" s="1"/>
  <c r="G22" i="52" s="1"/>
  <c r="K17" i="52"/>
  <c r="M17" i="52" s="1"/>
  <c r="J17" i="52"/>
  <c r="M16" i="52"/>
  <c r="L16" i="52"/>
  <c r="K16" i="52"/>
  <c r="J16" i="52"/>
  <c r="M15" i="52"/>
  <c r="L15" i="52"/>
  <c r="K15" i="52"/>
  <c r="J15" i="52"/>
  <c r="W14" i="52"/>
  <c r="K14" i="52"/>
  <c r="M14" i="52" s="1"/>
  <c r="J14" i="52"/>
  <c r="E14" i="52"/>
  <c r="G14" i="52" s="1"/>
  <c r="Y13" i="52"/>
  <c r="X13" i="52"/>
  <c r="W13" i="52"/>
  <c r="L13" i="52"/>
  <c r="K13" i="52"/>
  <c r="J13" i="52"/>
  <c r="M13" i="52" s="1"/>
  <c r="C13" i="52"/>
  <c r="E13" i="52" s="1"/>
  <c r="G13" i="52" s="1"/>
  <c r="M12" i="52"/>
  <c r="K12" i="52"/>
  <c r="L12" i="52" s="1"/>
  <c r="J12" i="52"/>
  <c r="W11" i="52"/>
  <c r="X12" i="52" s="1"/>
  <c r="M11" i="52"/>
  <c r="K11" i="52"/>
  <c r="L11" i="52" s="1"/>
  <c r="J11" i="52"/>
  <c r="C11" i="52"/>
  <c r="M5" i="52"/>
  <c r="C61" i="52" s="1"/>
  <c r="E145" i="51"/>
  <c r="E124" i="51"/>
  <c r="M101" i="51"/>
  <c r="K101" i="51"/>
  <c r="L101" i="51" s="1"/>
  <c r="J101" i="51"/>
  <c r="M100" i="51"/>
  <c r="K100" i="51"/>
  <c r="L100" i="51" s="1"/>
  <c r="J100" i="51"/>
  <c r="M99" i="51"/>
  <c r="K99" i="51"/>
  <c r="L99" i="51" s="1"/>
  <c r="J99" i="51"/>
  <c r="C99" i="51"/>
  <c r="E99" i="51" s="1"/>
  <c r="G99" i="51" s="1"/>
  <c r="M98" i="51"/>
  <c r="L98" i="51"/>
  <c r="K98" i="51"/>
  <c r="J98" i="51"/>
  <c r="C98" i="51"/>
  <c r="E98" i="51" s="1"/>
  <c r="G98" i="51" s="1"/>
  <c r="K96" i="51"/>
  <c r="M96" i="51" s="1"/>
  <c r="J96" i="51"/>
  <c r="M95" i="51"/>
  <c r="K95" i="51"/>
  <c r="L95" i="51" s="1"/>
  <c r="J95" i="51"/>
  <c r="K94" i="51"/>
  <c r="M94" i="51" s="1"/>
  <c r="J94" i="51"/>
  <c r="E94" i="51"/>
  <c r="G94" i="51" s="1"/>
  <c r="C94" i="51"/>
  <c r="E96" i="51" s="1"/>
  <c r="G96" i="51" s="1"/>
  <c r="K91" i="51"/>
  <c r="L91" i="51" s="1"/>
  <c r="M91" i="51" s="1"/>
  <c r="J91" i="51"/>
  <c r="M90" i="51"/>
  <c r="K90" i="51"/>
  <c r="L90" i="51" s="1"/>
  <c r="J90" i="51"/>
  <c r="K89" i="51"/>
  <c r="M89" i="51" s="1"/>
  <c r="J89" i="51"/>
  <c r="M88" i="51"/>
  <c r="K88" i="51"/>
  <c r="L88" i="51" s="1"/>
  <c r="J88" i="51"/>
  <c r="M87" i="51"/>
  <c r="L87" i="51"/>
  <c r="K87" i="51"/>
  <c r="J87" i="51"/>
  <c r="K85" i="51"/>
  <c r="M85" i="51" s="1"/>
  <c r="J85" i="51"/>
  <c r="M84" i="51"/>
  <c r="L84" i="51"/>
  <c r="K84" i="51"/>
  <c r="J84" i="51"/>
  <c r="M83" i="51"/>
  <c r="K83" i="51"/>
  <c r="L83" i="51" s="1"/>
  <c r="J83" i="51"/>
  <c r="C83" i="51"/>
  <c r="L82" i="51"/>
  <c r="M82" i="51" s="1"/>
  <c r="K82" i="51"/>
  <c r="J82" i="51"/>
  <c r="M81" i="51"/>
  <c r="K81" i="51"/>
  <c r="L81" i="51" s="1"/>
  <c r="J81" i="51"/>
  <c r="C81" i="51"/>
  <c r="E84" i="51" s="1"/>
  <c r="G84" i="51" s="1"/>
  <c r="K78" i="51"/>
  <c r="L78" i="51" s="1"/>
  <c r="M78" i="51" s="1"/>
  <c r="J78" i="51"/>
  <c r="C78" i="51"/>
  <c r="E78" i="51" s="1"/>
  <c r="G78" i="51" s="1"/>
  <c r="M75" i="51"/>
  <c r="K75" i="51"/>
  <c r="L75" i="51" s="1"/>
  <c r="J75" i="51"/>
  <c r="C75" i="51"/>
  <c r="E75" i="51" s="1"/>
  <c r="G75" i="51" s="1"/>
  <c r="M73" i="51"/>
  <c r="L73" i="51"/>
  <c r="K73" i="51"/>
  <c r="J73" i="51"/>
  <c r="C73" i="51"/>
  <c r="E73" i="51" s="1"/>
  <c r="G73" i="51" s="1"/>
  <c r="M71" i="51"/>
  <c r="K71" i="51"/>
  <c r="L71" i="51" s="1"/>
  <c r="J71" i="51"/>
  <c r="C71" i="51"/>
  <c r="E71" i="51" s="1"/>
  <c r="G71" i="51" s="1"/>
  <c r="M68" i="51"/>
  <c r="K68" i="51"/>
  <c r="L68" i="51" s="1"/>
  <c r="J68" i="51"/>
  <c r="C68" i="51"/>
  <c r="E68" i="51" s="1"/>
  <c r="G68" i="51" s="1"/>
  <c r="K66" i="51"/>
  <c r="M66" i="51" s="1"/>
  <c r="J66" i="51"/>
  <c r="K65" i="51"/>
  <c r="M65" i="51" s="1"/>
  <c r="J65" i="51"/>
  <c r="M64" i="51"/>
  <c r="K64" i="51"/>
  <c r="L64" i="51" s="1"/>
  <c r="J64" i="51"/>
  <c r="M63" i="51"/>
  <c r="K63" i="51"/>
  <c r="L63" i="51" s="1"/>
  <c r="J63" i="51"/>
  <c r="M62" i="51"/>
  <c r="K62" i="51"/>
  <c r="L62" i="51" s="1"/>
  <c r="J62" i="51"/>
  <c r="M61" i="51"/>
  <c r="L61" i="51"/>
  <c r="K61" i="51"/>
  <c r="J61" i="51"/>
  <c r="M58" i="51"/>
  <c r="K58" i="51"/>
  <c r="L58" i="51" s="1"/>
  <c r="J58" i="51"/>
  <c r="M57" i="51"/>
  <c r="L57" i="51"/>
  <c r="K57" i="51"/>
  <c r="J57" i="51"/>
  <c r="M56" i="51"/>
  <c r="L56" i="51"/>
  <c r="K56" i="51"/>
  <c r="J56" i="51"/>
  <c r="K55" i="51"/>
  <c r="M55" i="51" s="1"/>
  <c r="J55" i="51"/>
  <c r="M54" i="51"/>
  <c r="L54" i="51"/>
  <c r="K54" i="51"/>
  <c r="J54" i="51"/>
  <c r="M53" i="51"/>
  <c r="K53" i="51"/>
  <c r="L53" i="51" s="1"/>
  <c r="J53" i="51"/>
  <c r="C53" i="51"/>
  <c r="E56" i="51" s="1"/>
  <c r="G56" i="51" s="1"/>
  <c r="L51" i="51"/>
  <c r="K51" i="51"/>
  <c r="M51" i="51" s="1"/>
  <c r="J51" i="51"/>
  <c r="C51" i="51"/>
  <c r="E51" i="51" s="1"/>
  <c r="G51" i="51" s="1"/>
  <c r="M49" i="51"/>
  <c r="L49" i="51"/>
  <c r="K49" i="51"/>
  <c r="J49" i="51"/>
  <c r="M48" i="51"/>
  <c r="K48" i="51"/>
  <c r="L48" i="51" s="1"/>
  <c r="J48" i="51"/>
  <c r="C48" i="51"/>
  <c r="E49" i="51" s="1"/>
  <c r="G49" i="51" s="1"/>
  <c r="M45" i="51"/>
  <c r="L45" i="51"/>
  <c r="K45" i="51"/>
  <c r="J45" i="51"/>
  <c r="M44" i="51"/>
  <c r="K44" i="51"/>
  <c r="L44" i="51" s="1"/>
  <c r="J44" i="51"/>
  <c r="C44" i="51"/>
  <c r="E45" i="51" s="1"/>
  <c r="G45" i="51" s="1"/>
  <c r="M42" i="51"/>
  <c r="K42" i="51"/>
  <c r="L42" i="51" s="1"/>
  <c r="J42" i="51"/>
  <c r="K41" i="51"/>
  <c r="M41" i="51" s="1"/>
  <c r="J41" i="51"/>
  <c r="E41" i="51"/>
  <c r="G41" i="51" s="1"/>
  <c r="C41" i="51"/>
  <c r="E42" i="51" s="1"/>
  <c r="G42" i="51" s="1"/>
  <c r="L39" i="51"/>
  <c r="K39" i="51"/>
  <c r="J39" i="51"/>
  <c r="M39" i="51" s="1"/>
  <c r="K38" i="51"/>
  <c r="M38" i="51" s="1"/>
  <c r="J38" i="51"/>
  <c r="K36" i="51"/>
  <c r="M36" i="51" s="1"/>
  <c r="J36" i="51"/>
  <c r="E36" i="51"/>
  <c r="G36" i="51" s="1"/>
  <c r="C36" i="51"/>
  <c r="L35" i="51"/>
  <c r="K35" i="51"/>
  <c r="J35" i="51"/>
  <c r="M35" i="51" s="1"/>
  <c r="M34" i="51"/>
  <c r="L34" i="51"/>
  <c r="K34" i="51"/>
  <c r="J34" i="51"/>
  <c r="C34" i="51"/>
  <c r="E34" i="51" s="1"/>
  <c r="G34" i="51" s="1"/>
  <c r="M33" i="51"/>
  <c r="L33" i="51"/>
  <c r="K33" i="51"/>
  <c r="J33" i="51"/>
  <c r="K31" i="51"/>
  <c r="M31" i="51" s="1"/>
  <c r="J31" i="51"/>
  <c r="E31" i="51"/>
  <c r="G31" i="51" s="1"/>
  <c r="M30" i="51"/>
  <c r="L30" i="51"/>
  <c r="K30" i="51"/>
  <c r="J30" i="51"/>
  <c r="K29" i="51"/>
  <c r="M29" i="51" s="1"/>
  <c r="J29" i="51"/>
  <c r="K28" i="51"/>
  <c r="M28" i="51" s="1"/>
  <c r="J28" i="51"/>
  <c r="E28" i="51"/>
  <c r="G29" i="51" s="1"/>
  <c r="M27" i="51"/>
  <c r="L27" i="51"/>
  <c r="K27" i="51"/>
  <c r="J27" i="51"/>
  <c r="G27" i="51"/>
  <c r="K26" i="51"/>
  <c r="M26" i="51" s="1"/>
  <c r="J26" i="51"/>
  <c r="G26" i="51"/>
  <c r="K25" i="51"/>
  <c r="M25" i="51" s="1"/>
  <c r="J25" i="51"/>
  <c r="G25" i="51"/>
  <c r="K24" i="51"/>
  <c r="M24" i="51" s="1"/>
  <c r="J24" i="51"/>
  <c r="E24" i="51"/>
  <c r="G24" i="51" s="1"/>
  <c r="C24" i="51"/>
  <c r="L22" i="51"/>
  <c r="K22" i="51"/>
  <c r="J22" i="51"/>
  <c r="M22" i="51" s="1"/>
  <c r="K21" i="51"/>
  <c r="M21" i="51" s="1"/>
  <c r="J21" i="51"/>
  <c r="M20" i="51"/>
  <c r="L20" i="51"/>
  <c r="K20" i="51"/>
  <c r="J20" i="51"/>
  <c r="M19" i="51"/>
  <c r="K19" i="51"/>
  <c r="L19" i="51" s="1"/>
  <c r="J19" i="51"/>
  <c r="C19" i="51"/>
  <c r="E22" i="51" s="1"/>
  <c r="G22" i="51" s="1"/>
  <c r="K17" i="51"/>
  <c r="M17" i="51" s="1"/>
  <c r="J17" i="51"/>
  <c r="M16" i="51"/>
  <c r="L16" i="51"/>
  <c r="K16" i="51"/>
  <c r="J16" i="51"/>
  <c r="M15" i="51"/>
  <c r="L15" i="51"/>
  <c r="K15" i="51"/>
  <c r="J15" i="51"/>
  <c r="W14" i="51"/>
  <c r="K14" i="51"/>
  <c r="M14" i="51" s="1"/>
  <c r="J14" i="51"/>
  <c r="E14" i="51"/>
  <c r="G14" i="51" s="1"/>
  <c r="X13" i="51"/>
  <c r="W13" i="51"/>
  <c r="L13" i="51"/>
  <c r="K13" i="51"/>
  <c r="J13" i="51"/>
  <c r="M13" i="51" s="1"/>
  <c r="C13" i="51"/>
  <c r="E13" i="51" s="1"/>
  <c r="G13" i="51" s="1"/>
  <c r="M12" i="51"/>
  <c r="K12" i="51"/>
  <c r="L12" i="51" s="1"/>
  <c r="J12" i="51"/>
  <c r="W11" i="51"/>
  <c r="M11" i="51"/>
  <c r="K11" i="51"/>
  <c r="L11" i="51" s="1"/>
  <c r="J11" i="51"/>
  <c r="C11" i="51"/>
  <c r="M5" i="51"/>
  <c r="C61" i="51" s="1"/>
  <c r="E145" i="50"/>
  <c r="E124" i="50"/>
  <c r="M101" i="50"/>
  <c r="L101" i="50"/>
  <c r="K101" i="50"/>
  <c r="J101" i="50"/>
  <c r="M100" i="50"/>
  <c r="L100" i="50"/>
  <c r="K100" i="50"/>
  <c r="J100" i="50"/>
  <c r="K99" i="50"/>
  <c r="L99" i="50" s="1"/>
  <c r="J99" i="50"/>
  <c r="M98" i="50"/>
  <c r="L98" i="50"/>
  <c r="K98" i="50"/>
  <c r="J98" i="50"/>
  <c r="K96" i="50"/>
  <c r="M96" i="50" s="1"/>
  <c r="J96" i="50"/>
  <c r="M95" i="50"/>
  <c r="K95" i="50"/>
  <c r="L95" i="50" s="1"/>
  <c r="J95" i="50"/>
  <c r="K94" i="50"/>
  <c r="M94" i="50" s="1"/>
  <c r="J94" i="50"/>
  <c r="M91" i="50"/>
  <c r="K91" i="50"/>
  <c r="L91" i="50" s="1"/>
  <c r="J91" i="50"/>
  <c r="M90" i="50"/>
  <c r="L90" i="50"/>
  <c r="K90" i="50"/>
  <c r="J90" i="50"/>
  <c r="K89" i="50"/>
  <c r="M89" i="50" s="1"/>
  <c r="J89" i="50"/>
  <c r="K88" i="50"/>
  <c r="L88" i="50" s="1"/>
  <c r="J88" i="50"/>
  <c r="M87" i="50"/>
  <c r="L87" i="50"/>
  <c r="K87" i="50"/>
  <c r="J87" i="50"/>
  <c r="K85" i="50"/>
  <c r="M85" i="50" s="1"/>
  <c r="J85" i="50"/>
  <c r="M84" i="50"/>
  <c r="L84" i="50"/>
  <c r="K84" i="50"/>
  <c r="J84" i="50"/>
  <c r="M83" i="50"/>
  <c r="K83" i="50"/>
  <c r="L83" i="50" s="1"/>
  <c r="J83" i="50"/>
  <c r="M82" i="50"/>
  <c r="L82" i="50"/>
  <c r="K82" i="50"/>
  <c r="J82" i="50"/>
  <c r="M81" i="50"/>
  <c r="K81" i="50"/>
  <c r="L81" i="50" s="1"/>
  <c r="J81" i="50"/>
  <c r="K78" i="50"/>
  <c r="L78" i="50" s="1"/>
  <c r="M78" i="50" s="1"/>
  <c r="J78" i="50"/>
  <c r="M75" i="50"/>
  <c r="K75" i="50"/>
  <c r="L75" i="50" s="1"/>
  <c r="J75" i="50"/>
  <c r="M73" i="50"/>
  <c r="K73" i="50"/>
  <c r="L73" i="50" s="1"/>
  <c r="J73" i="50"/>
  <c r="M71" i="50"/>
  <c r="K71" i="50"/>
  <c r="L71" i="50" s="1"/>
  <c r="J71" i="50"/>
  <c r="M68" i="50"/>
  <c r="K68" i="50"/>
  <c r="L68" i="50" s="1"/>
  <c r="J68" i="50"/>
  <c r="L66" i="50"/>
  <c r="K66" i="50"/>
  <c r="J66" i="50"/>
  <c r="M66" i="50" s="1"/>
  <c r="K65" i="50"/>
  <c r="M65" i="50" s="1"/>
  <c r="J65" i="50"/>
  <c r="L64" i="50"/>
  <c r="K64" i="50"/>
  <c r="M64" i="50" s="1"/>
  <c r="J64" i="50"/>
  <c r="M63" i="50"/>
  <c r="L63" i="50"/>
  <c r="K63" i="50"/>
  <c r="J63" i="50"/>
  <c r="M62" i="50"/>
  <c r="K62" i="50"/>
  <c r="L62" i="50" s="1"/>
  <c r="J62" i="50"/>
  <c r="M61" i="50"/>
  <c r="K61" i="50"/>
  <c r="L61" i="50" s="1"/>
  <c r="J61" i="50"/>
  <c r="M58" i="50"/>
  <c r="K58" i="50"/>
  <c r="L58" i="50" s="1"/>
  <c r="J58" i="50"/>
  <c r="M57" i="50"/>
  <c r="K57" i="50"/>
  <c r="L57" i="50" s="1"/>
  <c r="J57" i="50"/>
  <c r="K56" i="50"/>
  <c r="M56" i="50" s="1"/>
  <c r="J56" i="50"/>
  <c r="K55" i="50"/>
  <c r="M55" i="50" s="1"/>
  <c r="J55" i="50"/>
  <c r="M54" i="50"/>
  <c r="L54" i="50"/>
  <c r="K54" i="50"/>
  <c r="J54" i="50"/>
  <c r="M53" i="50"/>
  <c r="K53" i="50"/>
  <c r="L53" i="50" s="1"/>
  <c r="J53" i="50"/>
  <c r="M51" i="50"/>
  <c r="K51" i="50"/>
  <c r="L51" i="50" s="1"/>
  <c r="J51" i="50"/>
  <c r="M49" i="50"/>
  <c r="L49" i="50"/>
  <c r="K49" i="50"/>
  <c r="J49" i="50"/>
  <c r="M48" i="50"/>
  <c r="K48" i="50"/>
  <c r="L48" i="50" s="1"/>
  <c r="J48" i="50"/>
  <c r="M45" i="50"/>
  <c r="K45" i="50"/>
  <c r="L45" i="50" s="1"/>
  <c r="J45" i="50"/>
  <c r="M44" i="50"/>
  <c r="L44" i="50"/>
  <c r="K44" i="50"/>
  <c r="J44" i="50"/>
  <c r="M42" i="50"/>
  <c r="K42" i="50"/>
  <c r="L42" i="50" s="1"/>
  <c r="J42" i="50"/>
  <c r="K41" i="50"/>
  <c r="M41" i="50" s="1"/>
  <c r="J41" i="50"/>
  <c r="K39" i="50"/>
  <c r="M39" i="50" s="1"/>
  <c r="J39" i="50"/>
  <c r="M38" i="50"/>
  <c r="L38" i="50"/>
  <c r="K38" i="50"/>
  <c r="J38" i="50"/>
  <c r="K36" i="50"/>
  <c r="M36" i="50" s="1"/>
  <c r="J36" i="50"/>
  <c r="K35" i="50"/>
  <c r="M35" i="50" s="1"/>
  <c r="J35" i="50"/>
  <c r="M34" i="50"/>
  <c r="K34" i="50"/>
  <c r="L34" i="50" s="1"/>
  <c r="J34" i="50"/>
  <c r="M33" i="50"/>
  <c r="L33" i="50"/>
  <c r="K33" i="50"/>
  <c r="J33" i="50"/>
  <c r="M31" i="50"/>
  <c r="K31" i="50"/>
  <c r="L31" i="50" s="1"/>
  <c r="J31" i="50"/>
  <c r="M30" i="50"/>
  <c r="L30" i="50"/>
  <c r="K30" i="50"/>
  <c r="J30" i="50"/>
  <c r="M29" i="50"/>
  <c r="L29" i="50"/>
  <c r="K29" i="50"/>
  <c r="J29" i="50"/>
  <c r="K28" i="50"/>
  <c r="M28" i="50" s="1"/>
  <c r="J28" i="50"/>
  <c r="M27" i="50"/>
  <c r="L27" i="50"/>
  <c r="K27" i="50"/>
  <c r="J27" i="50"/>
  <c r="G27" i="50"/>
  <c r="M26" i="50"/>
  <c r="L26" i="50"/>
  <c r="K26" i="50"/>
  <c r="J26" i="50"/>
  <c r="G26" i="50"/>
  <c r="M25" i="50"/>
  <c r="K25" i="50"/>
  <c r="L25" i="50" s="1"/>
  <c r="J25" i="50"/>
  <c r="G25" i="50"/>
  <c r="M24" i="50"/>
  <c r="K24" i="50"/>
  <c r="L24" i="50" s="1"/>
  <c r="J24" i="50"/>
  <c r="K22" i="50"/>
  <c r="M22" i="50" s="1"/>
  <c r="J22" i="50"/>
  <c r="K21" i="50"/>
  <c r="M21" i="50" s="1"/>
  <c r="J21" i="50"/>
  <c r="M20" i="50"/>
  <c r="L20" i="50"/>
  <c r="K20" i="50"/>
  <c r="J20" i="50"/>
  <c r="M19" i="50"/>
  <c r="L19" i="50"/>
  <c r="K19" i="50"/>
  <c r="J19" i="50"/>
  <c r="K17" i="50"/>
  <c r="M17" i="50" s="1"/>
  <c r="J17" i="50"/>
  <c r="M16" i="50"/>
  <c r="L16" i="50"/>
  <c r="K16" i="50"/>
  <c r="J16" i="50"/>
  <c r="M15" i="50"/>
  <c r="L15" i="50"/>
  <c r="K15" i="50"/>
  <c r="J15" i="50"/>
  <c r="W14" i="50"/>
  <c r="Y13" i="50" s="1"/>
  <c r="K14" i="50"/>
  <c r="M14" i="50" s="1"/>
  <c r="J14" i="50"/>
  <c r="X13" i="50"/>
  <c r="W13" i="50"/>
  <c r="M13" i="50"/>
  <c r="K13" i="50"/>
  <c r="L13" i="50" s="1"/>
  <c r="J13" i="50"/>
  <c r="W12" i="50"/>
  <c r="X14" i="50" s="1"/>
  <c r="M12" i="50"/>
  <c r="K12" i="50"/>
  <c r="L12" i="50" s="1"/>
  <c r="J12" i="50"/>
  <c r="W11" i="50"/>
  <c r="X12" i="50" s="1"/>
  <c r="M11" i="50"/>
  <c r="L11" i="50"/>
  <c r="K11" i="50"/>
  <c r="J11" i="50"/>
  <c r="M5" i="50"/>
  <c r="C94" i="50" s="1"/>
  <c r="E145" i="48"/>
  <c r="E124" i="48"/>
  <c r="L101" i="48"/>
  <c r="K101" i="48"/>
  <c r="M101" i="48" s="1"/>
  <c r="J101" i="48"/>
  <c r="L100" i="48"/>
  <c r="K100" i="48"/>
  <c r="M100" i="48" s="1"/>
  <c r="J100" i="48"/>
  <c r="L99" i="48"/>
  <c r="K99" i="48"/>
  <c r="M99" i="48" s="1"/>
  <c r="J99" i="48"/>
  <c r="M98" i="48"/>
  <c r="K98" i="48"/>
  <c r="L98" i="48" s="1"/>
  <c r="J98" i="48"/>
  <c r="M96" i="48"/>
  <c r="L96" i="48"/>
  <c r="K96" i="48"/>
  <c r="J96" i="48"/>
  <c r="M95" i="48"/>
  <c r="K95" i="48"/>
  <c r="L95" i="48" s="1"/>
  <c r="J95" i="48"/>
  <c r="K94" i="48"/>
  <c r="M94" i="48" s="1"/>
  <c r="J94" i="48"/>
  <c r="K91" i="48"/>
  <c r="L91" i="48" s="1"/>
  <c r="M91" i="48" s="1"/>
  <c r="J91" i="48"/>
  <c r="L90" i="48"/>
  <c r="K90" i="48"/>
  <c r="M90" i="48" s="1"/>
  <c r="J90" i="48"/>
  <c r="K89" i="48"/>
  <c r="M89" i="48" s="1"/>
  <c r="J89" i="48"/>
  <c r="K88" i="48"/>
  <c r="L88" i="48" s="1"/>
  <c r="J88" i="48"/>
  <c r="M87" i="48"/>
  <c r="L87" i="48"/>
  <c r="K87" i="48"/>
  <c r="J87" i="48"/>
  <c r="K85" i="48"/>
  <c r="M85" i="48" s="1"/>
  <c r="J85" i="48"/>
  <c r="M84" i="48"/>
  <c r="L84" i="48"/>
  <c r="K84" i="48"/>
  <c r="J84" i="48"/>
  <c r="M83" i="48"/>
  <c r="K83" i="48"/>
  <c r="L83" i="48" s="1"/>
  <c r="J83" i="48"/>
  <c r="M82" i="48"/>
  <c r="L82" i="48"/>
  <c r="K82" i="48"/>
  <c r="J82" i="48"/>
  <c r="M81" i="48"/>
  <c r="K81" i="48"/>
  <c r="L81" i="48" s="1"/>
  <c r="J81" i="48"/>
  <c r="K78" i="48"/>
  <c r="L78" i="48" s="1"/>
  <c r="M78" i="48" s="1"/>
  <c r="J78" i="48"/>
  <c r="M75" i="48"/>
  <c r="K75" i="48"/>
  <c r="L75" i="48" s="1"/>
  <c r="J75" i="48"/>
  <c r="M73" i="48"/>
  <c r="K73" i="48"/>
  <c r="L73" i="48" s="1"/>
  <c r="J73" i="48"/>
  <c r="M71" i="48"/>
  <c r="L71" i="48"/>
  <c r="K71" i="48"/>
  <c r="J71" i="48"/>
  <c r="M68" i="48"/>
  <c r="L68" i="48"/>
  <c r="K68" i="48"/>
  <c r="J68" i="48"/>
  <c r="L66" i="48"/>
  <c r="K66" i="48"/>
  <c r="M66" i="48" s="1"/>
  <c r="J66" i="48"/>
  <c r="K65" i="48"/>
  <c r="M65" i="48" s="1"/>
  <c r="J65" i="48"/>
  <c r="K64" i="48"/>
  <c r="L64" i="48" s="1"/>
  <c r="J64" i="48"/>
  <c r="L63" i="48"/>
  <c r="K63" i="48"/>
  <c r="M63" i="48" s="1"/>
  <c r="J63" i="48"/>
  <c r="M62" i="48"/>
  <c r="L62" i="48"/>
  <c r="K62" i="48"/>
  <c r="J62" i="48"/>
  <c r="K61" i="48"/>
  <c r="M61" i="48" s="1"/>
  <c r="J61" i="48"/>
  <c r="M58" i="48"/>
  <c r="K58" i="48"/>
  <c r="L58" i="48" s="1"/>
  <c r="J58" i="48"/>
  <c r="M57" i="48"/>
  <c r="K57" i="48"/>
  <c r="L57" i="48" s="1"/>
  <c r="J57" i="48"/>
  <c r="K56" i="48"/>
  <c r="M56" i="48" s="1"/>
  <c r="J56" i="48"/>
  <c r="K55" i="48"/>
  <c r="M55" i="48" s="1"/>
  <c r="J55" i="48"/>
  <c r="M54" i="48"/>
  <c r="L54" i="48"/>
  <c r="K54" i="48"/>
  <c r="J54" i="48"/>
  <c r="M53" i="48"/>
  <c r="K53" i="48"/>
  <c r="L53" i="48" s="1"/>
  <c r="J53" i="48"/>
  <c r="M51" i="48"/>
  <c r="K51" i="48"/>
  <c r="L51" i="48" s="1"/>
  <c r="J51" i="48"/>
  <c r="M49" i="48"/>
  <c r="L49" i="48"/>
  <c r="K49" i="48"/>
  <c r="J49" i="48"/>
  <c r="M48" i="48"/>
  <c r="K48" i="48"/>
  <c r="L48" i="48" s="1"/>
  <c r="J48" i="48"/>
  <c r="M45" i="48"/>
  <c r="K45" i="48"/>
  <c r="L45" i="48" s="1"/>
  <c r="J45" i="48"/>
  <c r="K44" i="48"/>
  <c r="L44" i="48" s="1"/>
  <c r="J44" i="48"/>
  <c r="M42" i="48"/>
  <c r="K42" i="48"/>
  <c r="L42" i="48" s="1"/>
  <c r="J42" i="48"/>
  <c r="K41" i="48"/>
  <c r="M41" i="48" s="1"/>
  <c r="J41" i="48"/>
  <c r="K39" i="48"/>
  <c r="M39" i="48" s="1"/>
  <c r="J39" i="48"/>
  <c r="L38" i="48"/>
  <c r="K38" i="48"/>
  <c r="M38" i="48" s="1"/>
  <c r="J38" i="48"/>
  <c r="K36" i="48"/>
  <c r="M36" i="48" s="1"/>
  <c r="J36" i="48"/>
  <c r="K35" i="48"/>
  <c r="M35" i="48" s="1"/>
  <c r="J35" i="48"/>
  <c r="M34" i="48"/>
  <c r="K34" i="48"/>
  <c r="L34" i="48" s="1"/>
  <c r="J34" i="48"/>
  <c r="M33" i="48"/>
  <c r="L33" i="48"/>
  <c r="K33" i="48"/>
  <c r="J33" i="48"/>
  <c r="K31" i="48"/>
  <c r="M31" i="48" s="1"/>
  <c r="J31" i="48"/>
  <c r="M30" i="48"/>
  <c r="L30" i="48"/>
  <c r="K30" i="48"/>
  <c r="J30" i="48"/>
  <c r="L29" i="48"/>
  <c r="K29" i="48"/>
  <c r="M29" i="48" s="1"/>
  <c r="J29" i="48"/>
  <c r="K28" i="48"/>
  <c r="M28" i="48" s="1"/>
  <c r="J28" i="48"/>
  <c r="M27" i="48"/>
  <c r="L27" i="48"/>
  <c r="K27" i="48"/>
  <c r="J27" i="48"/>
  <c r="G27" i="48"/>
  <c r="L26" i="48"/>
  <c r="K26" i="48"/>
  <c r="M26" i="48" s="1"/>
  <c r="J26" i="48"/>
  <c r="G26" i="48"/>
  <c r="K25" i="48"/>
  <c r="M25" i="48" s="1"/>
  <c r="J25" i="48"/>
  <c r="G25" i="48"/>
  <c r="K24" i="48"/>
  <c r="M24" i="48" s="1"/>
  <c r="J24" i="48"/>
  <c r="K22" i="48"/>
  <c r="M22" i="48" s="1"/>
  <c r="J22" i="48"/>
  <c r="K21" i="48"/>
  <c r="M21" i="48" s="1"/>
  <c r="J21" i="48"/>
  <c r="M20" i="48"/>
  <c r="L20" i="48"/>
  <c r="K20" i="48"/>
  <c r="J20" i="48"/>
  <c r="M19" i="48"/>
  <c r="K19" i="48"/>
  <c r="L19" i="48" s="1"/>
  <c r="J19" i="48"/>
  <c r="L17" i="48"/>
  <c r="K17" i="48"/>
  <c r="J17" i="48"/>
  <c r="M17" i="48" s="1"/>
  <c r="M16" i="48"/>
  <c r="L16" i="48"/>
  <c r="K16" i="48"/>
  <c r="J16" i="48"/>
  <c r="M15" i="48"/>
  <c r="L15" i="48"/>
  <c r="K15" i="48"/>
  <c r="J15" i="48"/>
  <c r="C15" i="48"/>
  <c r="E15" i="48" s="1"/>
  <c r="W14" i="48"/>
  <c r="Y13" i="48" s="1"/>
  <c r="K14" i="48"/>
  <c r="M14" i="48" s="1"/>
  <c r="J14" i="48"/>
  <c r="X13" i="48"/>
  <c r="W13" i="48"/>
  <c r="M13" i="48"/>
  <c r="K13" i="48"/>
  <c r="L13" i="48" s="1"/>
  <c r="J13" i="48"/>
  <c r="W12" i="48"/>
  <c r="X14" i="48" s="1"/>
  <c r="K12" i="48"/>
  <c r="M12" i="48" s="1"/>
  <c r="J12" i="48"/>
  <c r="W11" i="48"/>
  <c r="X12" i="48" s="1"/>
  <c r="M11" i="48"/>
  <c r="K11" i="48"/>
  <c r="L11" i="48" s="1"/>
  <c r="J11" i="48"/>
  <c r="M5" i="48"/>
  <c r="C94" i="48" s="1"/>
  <c r="E145" i="45"/>
  <c r="E124" i="45"/>
  <c r="M101" i="45"/>
  <c r="L101" i="45"/>
  <c r="K101" i="45"/>
  <c r="J101" i="45"/>
  <c r="M100" i="45"/>
  <c r="L100" i="45"/>
  <c r="K100" i="45"/>
  <c r="J100" i="45"/>
  <c r="K99" i="45"/>
  <c r="L99" i="45" s="1"/>
  <c r="J99" i="45"/>
  <c r="M98" i="45"/>
  <c r="K98" i="45"/>
  <c r="L98" i="45" s="1"/>
  <c r="J98" i="45"/>
  <c r="K96" i="45"/>
  <c r="M96" i="45" s="1"/>
  <c r="J96" i="45"/>
  <c r="M95" i="45"/>
  <c r="K95" i="45"/>
  <c r="L95" i="45" s="1"/>
  <c r="J95" i="45"/>
  <c r="L94" i="45"/>
  <c r="K94" i="45"/>
  <c r="M94" i="45" s="1"/>
  <c r="J94" i="45"/>
  <c r="M91" i="45"/>
  <c r="K91" i="45"/>
  <c r="L91" i="45" s="1"/>
  <c r="J91" i="45"/>
  <c r="M90" i="45"/>
  <c r="L90" i="45"/>
  <c r="K90" i="45"/>
  <c r="J90" i="45"/>
  <c r="L89" i="45"/>
  <c r="K89" i="45"/>
  <c r="M89" i="45" s="1"/>
  <c r="J89" i="45"/>
  <c r="K88" i="45"/>
  <c r="L88" i="45" s="1"/>
  <c r="J88" i="45"/>
  <c r="L87" i="45"/>
  <c r="K87" i="45"/>
  <c r="J87" i="45"/>
  <c r="M87" i="45" s="1"/>
  <c r="C87" i="45"/>
  <c r="E91" i="45" s="1"/>
  <c r="G91" i="45" s="1"/>
  <c r="L85" i="45"/>
  <c r="K85" i="45"/>
  <c r="M85" i="45" s="1"/>
  <c r="J85" i="45"/>
  <c r="M84" i="45"/>
  <c r="L84" i="45"/>
  <c r="K84" i="45"/>
  <c r="J84" i="45"/>
  <c r="M83" i="45"/>
  <c r="K83" i="45"/>
  <c r="L83" i="45" s="1"/>
  <c r="J83" i="45"/>
  <c r="M82" i="45"/>
  <c r="L82" i="45"/>
  <c r="K82" i="45"/>
  <c r="J82" i="45"/>
  <c r="M81" i="45"/>
  <c r="K81" i="45"/>
  <c r="L81" i="45" s="1"/>
  <c r="J81" i="45"/>
  <c r="K78" i="45"/>
  <c r="L78" i="45" s="1"/>
  <c r="M78" i="45" s="1"/>
  <c r="J78" i="45"/>
  <c r="M75" i="45"/>
  <c r="K75" i="45"/>
  <c r="L75" i="45" s="1"/>
  <c r="J75" i="45"/>
  <c r="M73" i="45"/>
  <c r="K73" i="45"/>
  <c r="L73" i="45" s="1"/>
  <c r="J73" i="45"/>
  <c r="M71" i="45"/>
  <c r="K71" i="45"/>
  <c r="L71" i="45" s="1"/>
  <c r="J71" i="45"/>
  <c r="M68" i="45"/>
  <c r="K68" i="45"/>
  <c r="L68" i="45" s="1"/>
  <c r="J68" i="45"/>
  <c r="M66" i="45"/>
  <c r="L66" i="45"/>
  <c r="K66" i="45"/>
  <c r="J66" i="45"/>
  <c r="L65" i="45"/>
  <c r="K65" i="45"/>
  <c r="M65" i="45" s="1"/>
  <c r="J65" i="45"/>
  <c r="K64" i="45"/>
  <c r="M64" i="45" s="1"/>
  <c r="J64" i="45"/>
  <c r="M63" i="45"/>
  <c r="L63" i="45"/>
  <c r="K63" i="45"/>
  <c r="J63" i="45"/>
  <c r="M62" i="45"/>
  <c r="K62" i="45"/>
  <c r="L62" i="45" s="1"/>
  <c r="J62" i="45"/>
  <c r="K61" i="45"/>
  <c r="M61" i="45" s="1"/>
  <c r="J61" i="45"/>
  <c r="K58" i="45"/>
  <c r="M58" i="45" s="1"/>
  <c r="J58" i="45"/>
  <c r="M57" i="45"/>
  <c r="K57" i="45"/>
  <c r="L57" i="45" s="1"/>
  <c r="J57" i="45"/>
  <c r="K56" i="45"/>
  <c r="M56" i="45" s="1"/>
  <c r="J56" i="45"/>
  <c r="L55" i="45"/>
  <c r="K55" i="45"/>
  <c r="M55" i="45" s="1"/>
  <c r="J55" i="45"/>
  <c r="L54" i="45"/>
  <c r="K54" i="45"/>
  <c r="J54" i="45"/>
  <c r="M54" i="45" s="1"/>
  <c r="K53" i="45"/>
  <c r="M53" i="45" s="1"/>
  <c r="J53" i="45"/>
  <c r="M51" i="45"/>
  <c r="K51" i="45"/>
  <c r="L51" i="45" s="1"/>
  <c r="J51" i="45"/>
  <c r="M49" i="45"/>
  <c r="L49" i="45"/>
  <c r="K49" i="45"/>
  <c r="J49" i="45"/>
  <c r="K48" i="45"/>
  <c r="M48" i="45" s="1"/>
  <c r="J48" i="45"/>
  <c r="M45" i="45"/>
  <c r="K45" i="45"/>
  <c r="L45" i="45" s="1"/>
  <c r="J45" i="45"/>
  <c r="K44" i="45"/>
  <c r="L44" i="45" s="1"/>
  <c r="J44" i="45"/>
  <c r="K42" i="45"/>
  <c r="M42" i="45" s="1"/>
  <c r="J42" i="45"/>
  <c r="M41" i="45"/>
  <c r="L41" i="45"/>
  <c r="K41" i="45"/>
  <c r="J41" i="45"/>
  <c r="K39" i="45"/>
  <c r="M39" i="45" s="1"/>
  <c r="J39" i="45"/>
  <c r="M38" i="45"/>
  <c r="L38" i="45"/>
  <c r="K38" i="45"/>
  <c r="J38" i="45"/>
  <c r="L36" i="45"/>
  <c r="K36" i="45"/>
  <c r="J36" i="45"/>
  <c r="M36" i="45" s="1"/>
  <c r="K35" i="45"/>
  <c r="M35" i="45" s="1"/>
  <c r="J35" i="45"/>
  <c r="M34" i="45"/>
  <c r="K34" i="45"/>
  <c r="L34" i="45" s="1"/>
  <c r="J34" i="45"/>
  <c r="L33" i="45"/>
  <c r="K33" i="45"/>
  <c r="J33" i="45"/>
  <c r="M33" i="45" s="1"/>
  <c r="C33" i="45"/>
  <c r="E33" i="45" s="1"/>
  <c r="G33" i="45" s="1"/>
  <c r="L31" i="45"/>
  <c r="K31" i="45"/>
  <c r="J31" i="45"/>
  <c r="M31" i="45" s="1"/>
  <c r="L30" i="45"/>
  <c r="K30" i="45"/>
  <c r="J30" i="45"/>
  <c r="M30" i="45" s="1"/>
  <c r="L29" i="45"/>
  <c r="K29" i="45"/>
  <c r="J29" i="45"/>
  <c r="M29" i="45" s="1"/>
  <c r="L28" i="45"/>
  <c r="K28" i="45"/>
  <c r="J28" i="45"/>
  <c r="M28" i="45" s="1"/>
  <c r="L27" i="45"/>
  <c r="K27" i="45"/>
  <c r="J27" i="45"/>
  <c r="M27" i="45" s="1"/>
  <c r="G27" i="45"/>
  <c r="L26" i="45"/>
  <c r="K26" i="45"/>
  <c r="J26" i="45"/>
  <c r="M26" i="45" s="1"/>
  <c r="G26" i="45"/>
  <c r="L25" i="45"/>
  <c r="K25" i="45"/>
  <c r="J25" i="45"/>
  <c r="M25" i="45" s="1"/>
  <c r="G25" i="45"/>
  <c r="L24" i="45"/>
  <c r="K24" i="45"/>
  <c r="J24" i="45"/>
  <c r="M24" i="45" s="1"/>
  <c r="K22" i="45"/>
  <c r="M22" i="45" s="1"/>
  <c r="J22" i="45"/>
  <c r="M21" i="45"/>
  <c r="L21" i="45"/>
  <c r="K21" i="45"/>
  <c r="J21" i="45"/>
  <c r="L20" i="45"/>
  <c r="K20" i="45"/>
  <c r="J20" i="45"/>
  <c r="M20" i="45" s="1"/>
  <c r="M19" i="45"/>
  <c r="K19" i="45"/>
  <c r="L19" i="45" s="1"/>
  <c r="J19" i="45"/>
  <c r="K17" i="45"/>
  <c r="L17" i="45" s="1"/>
  <c r="J17" i="45"/>
  <c r="M17" i="45" s="1"/>
  <c r="L16" i="45"/>
  <c r="K16" i="45"/>
  <c r="J16" i="45"/>
  <c r="M16" i="45" s="1"/>
  <c r="L15" i="45"/>
  <c r="K15" i="45"/>
  <c r="J15" i="45"/>
  <c r="M15" i="45" s="1"/>
  <c r="C15" i="45"/>
  <c r="E15" i="45" s="1"/>
  <c r="W14" i="45"/>
  <c r="L14" i="45"/>
  <c r="K14" i="45"/>
  <c r="J14" i="45"/>
  <c r="M14" i="45" s="1"/>
  <c r="X13" i="45"/>
  <c r="W13" i="45"/>
  <c r="M13" i="45"/>
  <c r="K13" i="45"/>
  <c r="L13" i="45" s="1"/>
  <c r="J13" i="45"/>
  <c r="W12" i="45"/>
  <c r="L12" i="45"/>
  <c r="K12" i="45"/>
  <c r="M12" i="45" s="1"/>
  <c r="J12" i="45"/>
  <c r="W11" i="45"/>
  <c r="Y13" i="45" s="1"/>
  <c r="K11" i="45"/>
  <c r="I11" i="45"/>
  <c r="L11" i="45" s="1"/>
  <c r="H11" i="45"/>
  <c r="J11" i="45" s="1"/>
  <c r="M11" i="45" s="1"/>
  <c r="C11" i="45"/>
  <c r="M5" i="45"/>
  <c r="C94" i="45" s="1"/>
  <c r="E145" i="42"/>
  <c r="E124" i="42"/>
  <c r="M101" i="42"/>
  <c r="K101" i="42"/>
  <c r="L101" i="42" s="1"/>
  <c r="J101" i="42"/>
  <c r="M100" i="42"/>
  <c r="K100" i="42"/>
  <c r="L100" i="42" s="1"/>
  <c r="J100" i="42"/>
  <c r="C100" i="42"/>
  <c r="E100" i="42" s="1"/>
  <c r="K99" i="42"/>
  <c r="L99" i="42" s="1"/>
  <c r="J99" i="42"/>
  <c r="M98" i="42"/>
  <c r="K98" i="42"/>
  <c r="L98" i="42" s="1"/>
  <c r="J98" i="42"/>
  <c r="C98" i="42"/>
  <c r="E98" i="42" s="1"/>
  <c r="G98" i="42" s="1"/>
  <c r="M96" i="42"/>
  <c r="K96" i="42"/>
  <c r="L96" i="42" s="1"/>
  <c r="J96" i="42"/>
  <c r="M95" i="42"/>
  <c r="K95" i="42"/>
  <c r="L95" i="42" s="1"/>
  <c r="J95" i="42"/>
  <c r="L94" i="42"/>
  <c r="K94" i="42"/>
  <c r="M94" i="42" s="1"/>
  <c r="J94" i="42"/>
  <c r="K91" i="42"/>
  <c r="L91" i="42" s="1"/>
  <c r="M91" i="42" s="1"/>
  <c r="J91" i="42"/>
  <c r="M90" i="42"/>
  <c r="K90" i="42"/>
  <c r="L90" i="42" s="1"/>
  <c r="J90" i="42"/>
  <c r="L89" i="42"/>
  <c r="K89" i="42"/>
  <c r="M89" i="42" s="1"/>
  <c r="J89" i="42"/>
  <c r="K88" i="42"/>
  <c r="L88" i="42" s="1"/>
  <c r="J88" i="42"/>
  <c r="L87" i="42"/>
  <c r="K87" i="42"/>
  <c r="J87" i="42"/>
  <c r="M87" i="42" s="1"/>
  <c r="M85" i="42"/>
  <c r="L85" i="42"/>
  <c r="K85" i="42"/>
  <c r="J85" i="42"/>
  <c r="M84" i="42"/>
  <c r="L84" i="42"/>
  <c r="K84" i="42"/>
  <c r="J84" i="42"/>
  <c r="M83" i="42"/>
  <c r="K83" i="42"/>
  <c r="L83" i="42" s="1"/>
  <c r="J83" i="42"/>
  <c r="C83" i="42"/>
  <c r="L82" i="42"/>
  <c r="M82" i="42" s="1"/>
  <c r="K82" i="42"/>
  <c r="J82" i="42"/>
  <c r="M81" i="42"/>
  <c r="K81" i="42"/>
  <c r="L81" i="42" s="1"/>
  <c r="J81" i="42"/>
  <c r="C81" i="42"/>
  <c r="E84" i="42" s="1"/>
  <c r="G84" i="42" s="1"/>
  <c r="K78" i="42"/>
  <c r="L78" i="42" s="1"/>
  <c r="M78" i="42" s="1"/>
  <c r="J78" i="42"/>
  <c r="C78" i="42"/>
  <c r="E78" i="42" s="1"/>
  <c r="G78" i="42" s="1"/>
  <c r="M75" i="42"/>
  <c r="K75" i="42"/>
  <c r="L75" i="42" s="1"/>
  <c r="J75" i="42"/>
  <c r="C75" i="42"/>
  <c r="E75" i="42" s="1"/>
  <c r="G75" i="42" s="1"/>
  <c r="M73" i="42"/>
  <c r="L73" i="42"/>
  <c r="K73" i="42"/>
  <c r="J73" i="42"/>
  <c r="M71" i="42"/>
  <c r="K71" i="42"/>
  <c r="L71" i="42" s="1"/>
  <c r="J71" i="42"/>
  <c r="C71" i="42"/>
  <c r="E71" i="42" s="1"/>
  <c r="G71" i="42" s="1"/>
  <c r="M68" i="42"/>
  <c r="K68" i="42"/>
  <c r="L68" i="42" s="1"/>
  <c r="J68" i="42"/>
  <c r="C68" i="42"/>
  <c r="E68" i="42" s="1"/>
  <c r="G68" i="42" s="1"/>
  <c r="K66" i="42"/>
  <c r="M66" i="42" s="1"/>
  <c r="J66" i="42"/>
  <c r="L65" i="42"/>
  <c r="K65" i="42"/>
  <c r="M65" i="42" s="1"/>
  <c r="J65" i="42"/>
  <c r="K64" i="42"/>
  <c r="L64" i="42" s="1"/>
  <c r="J64" i="42"/>
  <c r="M63" i="42"/>
  <c r="K63" i="42"/>
  <c r="L63" i="42" s="1"/>
  <c r="J63" i="42"/>
  <c r="M62" i="42"/>
  <c r="K62" i="42"/>
  <c r="L62" i="42" s="1"/>
  <c r="J62" i="42"/>
  <c r="M61" i="42"/>
  <c r="L61" i="42"/>
  <c r="K61" i="42"/>
  <c r="J61" i="42"/>
  <c r="M58" i="42"/>
  <c r="K58" i="42"/>
  <c r="L58" i="42" s="1"/>
  <c r="J58" i="42"/>
  <c r="L57" i="42"/>
  <c r="K57" i="42"/>
  <c r="M57" i="42" s="1"/>
  <c r="J57" i="42"/>
  <c r="E57" i="42"/>
  <c r="G57" i="42" s="1"/>
  <c r="L56" i="42"/>
  <c r="K56" i="42"/>
  <c r="J56" i="42"/>
  <c r="M56" i="42" s="1"/>
  <c r="E56" i="42"/>
  <c r="G56" i="42" s="1"/>
  <c r="L55" i="42"/>
  <c r="K55" i="42"/>
  <c r="M55" i="42" s="1"/>
  <c r="J55" i="42"/>
  <c r="L54" i="42"/>
  <c r="K54" i="42"/>
  <c r="J54" i="42"/>
  <c r="M54" i="42" s="1"/>
  <c r="M53" i="42"/>
  <c r="K53" i="42"/>
  <c r="L53" i="42" s="1"/>
  <c r="J53" i="42"/>
  <c r="C53" i="42"/>
  <c r="E54" i="42" s="1"/>
  <c r="G54" i="42" s="1"/>
  <c r="L51" i="42"/>
  <c r="K51" i="42"/>
  <c r="M51" i="42" s="1"/>
  <c r="J51" i="42"/>
  <c r="M49" i="42"/>
  <c r="L49" i="42"/>
  <c r="K49" i="42"/>
  <c r="J49" i="42"/>
  <c r="M48" i="42"/>
  <c r="K48" i="42"/>
  <c r="L48" i="42" s="1"/>
  <c r="J48" i="42"/>
  <c r="C48" i="42"/>
  <c r="E49" i="42" s="1"/>
  <c r="G49" i="42" s="1"/>
  <c r="M45" i="42"/>
  <c r="L45" i="42"/>
  <c r="K45" i="42"/>
  <c r="J45" i="42"/>
  <c r="E45" i="42"/>
  <c r="G45" i="42" s="1"/>
  <c r="M44" i="42"/>
  <c r="K44" i="42"/>
  <c r="L44" i="42" s="1"/>
  <c r="J44" i="42"/>
  <c r="C44" i="42"/>
  <c r="E44" i="42" s="1"/>
  <c r="G44" i="42" s="1"/>
  <c r="M42" i="42"/>
  <c r="K42" i="42"/>
  <c r="L42" i="42" s="1"/>
  <c r="J42" i="42"/>
  <c r="L41" i="42"/>
  <c r="K41" i="42"/>
  <c r="M41" i="42" s="1"/>
  <c r="J41" i="42"/>
  <c r="E41" i="42"/>
  <c r="G41" i="42" s="1"/>
  <c r="C41" i="42"/>
  <c r="E42" i="42" s="1"/>
  <c r="G42" i="42" s="1"/>
  <c r="L39" i="42"/>
  <c r="K39" i="42"/>
  <c r="J39" i="42"/>
  <c r="M39" i="42" s="1"/>
  <c r="E39" i="42"/>
  <c r="G39" i="42" s="1"/>
  <c r="K38" i="42"/>
  <c r="M38" i="42" s="1"/>
  <c r="J38" i="42"/>
  <c r="C38" i="42"/>
  <c r="E38" i="42" s="1"/>
  <c r="G38" i="42" s="1"/>
  <c r="L36" i="42"/>
  <c r="K36" i="42"/>
  <c r="M36" i="42" s="1"/>
  <c r="J36" i="42"/>
  <c r="E36" i="42"/>
  <c r="G36" i="42" s="1"/>
  <c r="C36" i="42"/>
  <c r="M35" i="42"/>
  <c r="L35" i="42"/>
  <c r="K35" i="42"/>
  <c r="J35" i="42"/>
  <c r="L34" i="42"/>
  <c r="K34" i="42"/>
  <c r="M34" i="42" s="1"/>
  <c r="J34" i="42"/>
  <c r="L33" i="42"/>
  <c r="K33" i="42"/>
  <c r="J33" i="42"/>
  <c r="M33" i="42" s="1"/>
  <c r="L31" i="42"/>
  <c r="K31" i="42"/>
  <c r="M31" i="42" s="1"/>
  <c r="J31" i="42"/>
  <c r="E31" i="42"/>
  <c r="G31" i="42" s="1"/>
  <c r="L30" i="42"/>
  <c r="K30" i="42"/>
  <c r="J30" i="42"/>
  <c r="M30" i="42" s="1"/>
  <c r="K29" i="42"/>
  <c r="M29" i="42" s="1"/>
  <c r="J29" i="42"/>
  <c r="G29" i="42"/>
  <c r="L28" i="42"/>
  <c r="K28" i="42"/>
  <c r="M28" i="42" s="1"/>
  <c r="J28" i="42"/>
  <c r="E28" i="42"/>
  <c r="G30" i="42" s="1"/>
  <c r="M27" i="42"/>
  <c r="L27" i="42"/>
  <c r="K27" i="42"/>
  <c r="J27" i="42"/>
  <c r="G27" i="42"/>
  <c r="M26" i="42"/>
  <c r="K26" i="42"/>
  <c r="L26" i="42" s="1"/>
  <c r="J26" i="42"/>
  <c r="G26" i="42"/>
  <c r="L25" i="42"/>
  <c r="K25" i="42"/>
  <c r="M25" i="42" s="1"/>
  <c r="J25" i="42"/>
  <c r="G25" i="42"/>
  <c r="M24" i="42"/>
  <c r="L24" i="42"/>
  <c r="K24" i="42"/>
  <c r="J24" i="42"/>
  <c r="E24" i="42"/>
  <c r="G24" i="42" s="1"/>
  <c r="C24" i="42"/>
  <c r="L22" i="42"/>
  <c r="K22" i="42"/>
  <c r="J22" i="42"/>
  <c r="M22" i="42" s="1"/>
  <c r="E22" i="42"/>
  <c r="G22" i="42" s="1"/>
  <c r="L21" i="42"/>
  <c r="K21" i="42"/>
  <c r="M21" i="42" s="1"/>
  <c r="J21" i="42"/>
  <c r="L20" i="42"/>
  <c r="K20" i="42"/>
  <c r="J20" i="42"/>
  <c r="M20" i="42" s="1"/>
  <c r="M19" i="42"/>
  <c r="K19" i="42"/>
  <c r="L19" i="42" s="1"/>
  <c r="J19" i="42"/>
  <c r="C19" i="42"/>
  <c r="E21" i="42" s="1"/>
  <c r="G21" i="42" s="1"/>
  <c r="M17" i="42"/>
  <c r="K17" i="42"/>
  <c r="L17" i="42" s="1"/>
  <c r="J17" i="42"/>
  <c r="L16" i="42"/>
  <c r="K16" i="42"/>
  <c r="J16" i="42"/>
  <c r="M16" i="42" s="1"/>
  <c r="L15" i="42"/>
  <c r="K15" i="42"/>
  <c r="J15" i="42"/>
  <c r="M15" i="42" s="1"/>
  <c r="W14" i="42"/>
  <c r="Y13" i="42" s="1"/>
  <c r="L14" i="42"/>
  <c r="K14" i="42"/>
  <c r="M14" i="42" s="1"/>
  <c r="J14" i="42"/>
  <c r="E14" i="42"/>
  <c r="G14" i="42" s="1"/>
  <c r="X13" i="42"/>
  <c r="W13" i="42"/>
  <c r="M13" i="42"/>
  <c r="L13" i="42"/>
  <c r="K13" i="42"/>
  <c r="J13" i="42"/>
  <c r="E13" i="42"/>
  <c r="G13" i="42" s="1"/>
  <c r="C13" i="42"/>
  <c r="K12" i="42"/>
  <c r="L12" i="42" s="1"/>
  <c r="J12" i="42"/>
  <c r="W11" i="42"/>
  <c r="X12" i="42" s="1"/>
  <c r="M11" i="42"/>
  <c r="K11" i="42"/>
  <c r="L11" i="42" s="1"/>
  <c r="J11" i="42"/>
  <c r="C11" i="42"/>
  <c r="M5" i="42"/>
  <c r="C94" i="42" s="1"/>
  <c r="E145" i="40"/>
  <c r="E124" i="40"/>
  <c r="M101" i="40"/>
  <c r="K101" i="40"/>
  <c r="L101" i="40" s="1"/>
  <c r="J101" i="40"/>
  <c r="M100" i="40"/>
  <c r="K100" i="40"/>
  <c r="L100" i="40" s="1"/>
  <c r="J100" i="40"/>
  <c r="M99" i="40"/>
  <c r="L99" i="40"/>
  <c r="K99" i="40"/>
  <c r="J99" i="40"/>
  <c r="M98" i="40"/>
  <c r="K98" i="40"/>
  <c r="L98" i="40" s="1"/>
  <c r="J98" i="40"/>
  <c r="C98" i="40"/>
  <c r="E98" i="40" s="1"/>
  <c r="G98" i="40" s="1"/>
  <c r="L96" i="40"/>
  <c r="K96" i="40"/>
  <c r="M96" i="40" s="1"/>
  <c r="J96" i="40"/>
  <c r="M95" i="40"/>
  <c r="K95" i="40"/>
  <c r="L95" i="40" s="1"/>
  <c r="J95" i="40"/>
  <c r="K94" i="40"/>
  <c r="M94" i="40" s="1"/>
  <c r="J94" i="40"/>
  <c r="C94" i="40"/>
  <c r="E96" i="40" s="1"/>
  <c r="G96" i="40" s="1"/>
  <c r="L91" i="40"/>
  <c r="M91" i="40" s="1"/>
  <c r="K91" i="40"/>
  <c r="J91" i="40"/>
  <c r="K90" i="40"/>
  <c r="M90" i="40" s="1"/>
  <c r="J90" i="40"/>
  <c r="K89" i="40"/>
  <c r="M89" i="40" s="1"/>
  <c r="J89" i="40"/>
  <c r="M88" i="40"/>
  <c r="L88" i="40"/>
  <c r="K88" i="40"/>
  <c r="J88" i="40"/>
  <c r="M87" i="40"/>
  <c r="L87" i="40"/>
  <c r="K87" i="40"/>
  <c r="J87" i="40"/>
  <c r="K85" i="40"/>
  <c r="M85" i="40" s="1"/>
  <c r="J85" i="40"/>
  <c r="M84" i="40"/>
  <c r="L84" i="40"/>
  <c r="K84" i="40"/>
  <c r="J84" i="40"/>
  <c r="K83" i="40"/>
  <c r="M83" i="40" s="1"/>
  <c r="J83" i="40"/>
  <c r="C83" i="40"/>
  <c r="M82" i="40"/>
  <c r="L82" i="40"/>
  <c r="K82" i="40"/>
  <c r="J82" i="40"/>
  <c r="K81" i="40"/>
  <c r="L81" i="40" s="1"/>
  <c r="J81" i="40"/>
  <c r="M81" i="40" s="1"/>
  <c r="C81" i="40"/>
  <c r="E84" i="40" s="1"/>
  <c r="G84" i="40" s="1"/>
  <c r="K78" i="40"/>
  <c r="L78" i="40" s="1"/>
  <c r="M78" i="40" s="1"/>
  <c r="J78" i="40"/>
  <c r="C78" i="40"/>
  <c r="E78" i="40" s="1"/>
  <c r="G78" i="40" s="1"/>
  <c r="M75" i="40"/>
  <c r="K75" i="40"/>
  <c r="L75" i="40" s="1"/>
  <c r="J75" i="40"/>
  <c r="C75" i="40"/>
  <c r="E75" i="40" s="1"/>
  <c r="G75" i="40" s="1"/>
  <c r="M73" i="40"/>
  <c r="K73" i="40"/>
  <c r="L73" i="40" s="1"/>
  <c r="J73" i="40"/>
  <c r="C73" i="40"/>
  <c r="E73" i="40" s="1"/>
  <c r="G73" i="40" s="1"/>
  <c r="M71" i="40"/>
  <c r="L71" i="40"/>
  <c r="K71" i="40"/>
  <c r="J71" i="40"/>
  <c r="L68" i="40"/>
  <c r="K68" i="40"/>
  <c r="M68" i="40" s="1"/>
  <c r="J68" i="40"/>
  <c r="K66" i="40"/>
  <c r="M66" i="40" s="1"/>
  <c r="J66" i="40"/>
  <c r="K65" i="40"/>
  <c r="M65" i="40" s="1"/>
  <c r="J65" i="40"/>
  <c r="M64" i="40"/>
  <c r="L64" i="40"/>
  <c r="K64" i="40"/>
  <c r="J64" i="40"/>
  <c r="M63" i="40"/>
  <c r="K63" i="40"/>
  <c r="L63" i="40" s="1"/>
  <c r="J63" i="40"/>
  <c r="M62" i="40"/>
  <c r="L62" i="40"/>
  <c r="K62" i="40"/>
  <c r="J62" i="40"/>
  <c r="M61" i="40"/>
  <c r="L61" i="40"/>
  <c r="K61" i="40"/>
  <c r="J61" i="40"/>
  <c r="K58" i="40"/>
  <c r="M58" i="40" s="1"/>
  <c r="J58" i="40"/>
  <c r="K57" i="40"/>
  <c r="M57" i="40" s="1"/>
  <c r="J57" i="40"/>
  <c r="L56" i="40"/>
  <c r="K56" i="40"/>
  <c r="J56" i="40"/>
  <c r="M56" i="40" s="1"/>
  <c r="K55" i="40"/>
  <c r="M55" i="40" s="1"/>
  <c r="J55" i="40"/>
  <c r="M54" i="40"/>
  <c r="L54" i="40"/>
  <c r="K54" i="40"/>
  <c r="J54" i="40"/>
  <c r="K53" i="40"/>
  <c r="M53" i="40" s="1"/>
  <c r="J53" i="40"/>
  <c r="C53" i="40"/>
  <c r="E56" i="40" s="1"/>
  <c r="G56" i="40" s="1"/>
  <c r="K51" i="40"/>
  <c r="M51" i="40" s="1"/>
  <c r="J51" i="40"/>
  <c r="C51" i="40"/>
  <c r="E51" i="40" s="1"/>
  <c r="G51" i="40" s="1"/>
  <c r="M49" i="40"/>
  <c r="L49" i="40"/>
  <c r="K49" i="40"/>
  <c r="J49" i="40"/>
  <c r="K48" i="40"/>
  <c r="M48" i="40" s="1"/>
  <c r="J48" i="40"/>
  <c r="C48" i="40"/>
  <c r="E49" i="40" s="1"/>
  <c r="G49" i="40" s="1"/>
  <c r="M45" i="40"/>
  <c r="K45" i="40"/>
  <c r="L45" i="40" s="1"/>
  <c r="J45" i="40"/>
  <c r="M44" i="40"/>
  <c r="L44" i="40"/>
  <c r="K44" i="40"/>
  <c r="J44" i="40"/>
  <c r="K42" i="40"/>
  <c r="M42" i="40" s="1"/>
  <c r="J42" i="40"/>
  <c r="K41" i="40"/>
  <c r="M41" i="40" s="1"/>
  <c r="J41" i="40"/>
  <c r="C41" i="40"/>
  <c r="L39" i="40"/>
  <c r="K39" i="40"/>
  <c r="J39" i="40"/>
  <c r="M39" i="40" s="1"/>
  <c r="K38" i="40"/>
  <c r="M38" i="40" s="1"/>
  <c r="J38" i="40"/>
  <c r="K36" i="40"/>
  <c r="M36" i="40" s="1"/>
  <c r="O36" i="40" s="1"/>
  <c r="P36" i="40" s="1"/>
  <c r="J36" i="40"/>
  <c r="C36" i="40"/>
  <c r="E36" i="40" s="1"/>
  <c r="G36" i="40" s="1"/>
  <c r="L35" i="40"/>
  <c r="K35" i="40"/>
  <c r="J35" i="40"/>
  <c r="M35" i="40" s="1"/>
  <c r="K34" i="40"/>
  <c r="J34" i="40"/>
  <c r="C34" i="40"/>
  <c r="E34" i="40" s="1"/>
  <c r="G34" i="40" s="1"/>
  <c r="M33" i="40"/>
  <c r="L33" i="40"/>
  <c r="K33" i="40"/>
  <c r="J33" i="40"/>
  <c r="K31" i="40"/>
  <c r="M31" i="40" s="1"/>
  <c r="J31" i="40"/>
  <c r="M30" i="40"/>
  <c r="L30" i="40"/>
  <c r="K30" i="40"/>
  <c r="J30" i="40"/>
  <c r="K29" i="40"/>
  <c r="J29" i="40"/>
  <c r="K28" i="40"/>
  <c r="M28" i="40" s="1"/>
  <c r="J28" i="40"/>
  <c r="M27" i="40"/>
  <c r="L27" i="40"/>
  <c r="K27" i="40"/>
  <c r="J27" i="40"/>
  <c r="G27" i="40"/>
  <c r="K26" i="40"/>
  <c r="M26" i="40" s="1"/>
  <c r="J26" i="40"/>
  <c r="G26" i="40"/>
  <c r="K25" i="40"/>
  <c r="M25" i="40" s="1"/>
  <c r="J25" i="40"/>
  <c r="G25" i="40"/>
  <c r="K24" i="40"/>
  <c r="M24" i="40" s="1"/>
  <c r="J24" i="40"/>
  <c r="C24" i="40"/>
  <c r="L22" i="40"/>
  <c r="K22" i="40"/>
  <c r="J22" i="40"/>
  <c r="M22" i="40" s="1"/>
  <c r="K21" i="40"/>
  <c r="M21" i="40" s="1"/>
  <c r="J21" i="40"/>
  <c r="M20" i="40"/>
  <c r="L20" i="40"/>
  <c r="K20" i="40"/>
  <c r="J20" i="40"/>
  <c r="K19" i="40"/>
  <c r="M19" i="40" s="1"/>
  <c r="J19" i="40"/>
  <c r="C19" i="40"/>
  <c r="E22" i="40" s="1"/>
  <c r="G22" i="40" s="1"/>
  <c r="L17" i="40"/>
  <c r="K17" i="40"/>
  <c r="M17" i="40" s="1"/>
  <c r="J17" i="40"/>
  <c r="M16" i="40"/>
  <c r="L16" i="40"/>
  <c r="K16" i="40"/>
  <c r="J16" i="40"/>
  <c r="M15" i="40"/>
  <c r="L15" i="40"/>
  <c r="K15" i="40"/>
  <c r="J15" i="40"/>
  <c r="W14" i="40"/>
  <c r="K14" i="40"/>
  <c r="M14" i="40" s="1"/>
  <c r="J14" i="40"/>
  <c r="E14" i="40"/>
  <c r="G14" i="40" s="1"/>
  <c r="Y13" i="40"/>
  <c r="W13" i="40"/>
  <c r="K13" i="40"/>
  <c r="L13" i="40" s="1"/>
  <c r="J13" i="40"/>
  <c r="C13" i="40"/>
  <c r="E13" i="40" s="1"/>
  <c r="G13" i="40" s="1"/>
  <c r="M12" i="40"/>
  <c r="L12" i="40"/>
  <c r="K12" i="40"/>
  <c r="J12" i="40"/>
  <c r="W11" i="40"/>
  <c r="X13" i="40" s="1"/>
  <c r="K11" i="40"/>
  <c r="M11" i="40" s="1"/>
  <c r="J11" i="40"/>
  <c r="C11" i="40"/>
  <c r="M5" i="40"/>
  <c r="C71" i="40" s="1"/>
  <c r="E71" i="40" s="1"/>
  <c r="G71" i="40" s="1"/>
  <c r="O36" i="28" l="1"/>
  <c r="P36" i="28" s="1"/>
  <c r="N36" i="28"/>
  <c r="O51" i="28"/>
  <c r="N51" i="28"/>
  <c r="N50" i="28" s="1"/>
  <c r="O73" i="28"/>
  <c r="N73" i="28"/>
  <c r="N72" i="28" s="1"/>
  <c r="O41" i="28"/>
  <c r="N41" i="28"/>
  <c r="N40" i="28" s="1"/>
  <c r="N78" i="28"/>
  <c r="N77" i="28" s="1"/>
  <c r="N76" i="28" s="1"/>
  <c r="O78" i="28"/>
  <c r="O34" i="28"/>
  <c r="P34" i="28" s="1"/>
  <c r="N34" i="28"/>
  <c r="O44" i="28"/>
  <c r="N44" i="28"/>
  <c r="N43" i="28" s="1"/>
  <c r="O99" i="28"/>
  <c r="P99" i="28" s="1"/>
  <c r="N99" i="28"/>
  <c r="P71" i="28"/>
  <c r="O70" i="28"/>
  <c r="E62" i="28"/>
  <c r="G62" i="28" s="1"/>
  <c r="E61" i="28"/>
  <c r="G61" i="28" s="1"/>
  <c r="E63" i="28"/>
  <c r="G63" i="28" s="1"/>
  <c r="E64" i="28"/>
  <c r="C102" i="28"/>
  <c r="O13" i="28"/>
  <c r="P13" i="28" s="1"/>
  <c r="N13" i="28"/>
  <c r="N24" i="28"/>
  <c r="N23" i="28" s="1"/>
  <c r="P68" i="28"/>
  <c r="O67" i="28"/>
  <c r="P67" i="28" s="1"/>
  <c r="N75" i="28"/>
  <c r="N74" i="28" s="1"/>
  <c r="O75" i="28"/>
  <c r="N98" i="28"/>
  <c r="O98" i="28"/>
  <c r="E11" i="28"/>
  <c r="W12" i="28"/>
  <c r="X14" i="28" s="1"/>
  <c r="Y14" i="28" s="1"/>
  <c r="C15" i="28"/>
  <c r="E15" i="28" s="1"/>
  <c r="E19" i="28"/>
  <c r="G19" i="28" s="1"/>
  <c r="G28" i="28"/>
  <c r="C33" i="28"/>
  <c r="E33" i="28" s="1"/>
  <c r="G33" i="28" s="1"/>
  <c r="L38" i="28"/>
  <c r="E48" i="28"/>
  <c r="G48" i="28" s="1"/>
  <c r="E53" i="28"/>
  <c r="G53" i="28" s="1"/>
  <c r="L66" i="28"/>
  <c r="E81" i="28"/>
  <c r="G81" i="28" s="1"/>
  <c r="E83" i="28"/>
  <c r="G83" i="28" s="1"/>
  <c r="C87" i="28"/>
  <c r="E95" i="28"/>
  <c r="G95" i="28" s="1"/>
  <c r="O94" i="28" s="1"/>
  <c r="E85" i="28"/>
  <c r="G85" i="28" s="1"/>
  <c r="E20" i="28"/>
  <c r="G20" i="28" s="1"/>
  <c r="E54" i="28"/>
  <c r="G54" i="28" s="1"/>
  <c r="E82" i="28"/>
  <c r="G82" i="28" s="1"/>
  <c r="E12" i="28"/>
  <c r="G12" i="28" s="1"/>
  <c r="G30" i="28"/>
  <c r="O24" i="28" s="1"/>
  <c r="L96" i="28"/>
  <c r="L21" i="28"/>
  <c r="L31" i="28"/>
  <c r="L36" i="28"/>
  <c r="C38" i="28"/>
  <c r="L41" i="28"/>
  <c r="L55" i="28"/>
  <c r="E57" i="28"/>
  <c r="L65" i="28"/>
  <c r="L85" i="28"/>
  <c r="L89" i="28"/>
  <c r="L94" i="28"/>
  <c r="C100" i="28"/>
  <c r="E100" i="28" s="1"/>
  <c r="E55" i="28"/>
  <c r="G55" i="28" s="1"/>
  <c r="C35" i="28"/>
  <c r="E35" i="28" s="1"/>
  <c r="G35" i="28" s="1"/>
  <c r="N68" i="28"/>
  <c r="N67" i="28" s="1"/>
  <c r="N71" i="28"/>
  <c r="N70" i="28" s="1"/>
  <c r="E96" i="53"/>
  <c r="G96" i="53" s="1"/>
  <c r="E95" i="53"/>
  <c r="G95" i="53" s="1"/>
  <c r="E94" i="53"/>
  <c r="G94" i="53" s="1"/>
  <c r="C11" i="53"/>
  <c r="Y14" i="53"/>
  <c r="C19" i="53"/>
  <c r="C48" i="53"/>
  <c r="C53" i="53"/>
  <c r="M64" i="53"/>
  <c r="C75" i="53"/>
  <c r="E75" i="53" s="1"/>
  <c r="G75" i="53" s="1"/>
  <c r="C78" i="53"/>
  <c r="E78" i="53" s="1"/>
  <c r="G78" i="53" s="1"/>
  <c r="C81" i="53"/>
  <c r="C83" i="53"/>
  <c r="M88" i="53"/>
  <c r="C98" i="53"/>
  <c r="E98" i="53" s="1"/>
  <c r="G98" i="53" s="1"/>
  <c r="L22" i="53"/>
  <c r="L35" i="53"/>
  <c r="L39" i="53"/>
  <c r="C44" i="53"/>
  <c r="L56" i="53"/>
  <c r="C99" i="53"/>
  <c r="E99" i="53" s="1"/>
  <c r="G99" i="53" s="1"/>
  <c r="C13" i="53"/>
  <c r="C34" i="53"/>
  <c r="E34" i="53" s="1"/>
  <c r="G34" i="53" s="1"/>
  <c r="C51" i="53"/>
  <c r="E51" i="53" s="1"/>
  <c r="G51" i="53" s="1"/>
  <c r="C73" i="53"/>
  <c r="E73" i="53" s="1"/>
  <c r="G73" i="53" s="1"/>
  <c r="C15" i="53"/>
  <c r="E15" i="53" s="1"/>
  <c r="C87" i="53"/>
  <c r="L14" i="53"/>
  <c r="L21" i="53"/>
  <c r="L25" i="53"/>
  <c r="L28" i="53"/>
  <c r="L31" i="53"/>
  <c r="L36" i="53"/>
  <c r="C38" i="53"/>
  <c r="L41" i="53"/>
  <c r="L55" i="53"/>
  <c r="L65" i="53"/>
  <c r="L85" i="53"/>
  <c r="L89" i="53"/>
  <c r="L94" i="53"/>
  <c r="C100" i="53"/>
  <c r="E100" i="53" s="1"/>
  <c r="C33" i="53"/>
  <c r="E33" i="53" s="1"/>
  <c r="G33" i="53" s="1"/>
  <c r="C35" i="53"/>
  <c r="E35" i="53" s="1"/>
  <c r="G35" i="53" s="1"/>
  <c r="C61" i="53"/>
  <c r="C68" i="53"/>
  <c r="E68" i="53" s="1"/>
  <c r="G68" i="53" s="1"/>
  <c r="C71" i="53"/>
  <c r="E71" i="53" s="1"/>
  <c r="G71" i="53" s="1"/>
  <c r="C24" i="53"/>
  <c r="C36" i="53"/>
  <c r="E36" i="53" s="1"/>
  <c r="G36" i="53" s="1"/>
  <c r="C41" i="53"/>
  <c r="O71" i="52"/>
  <c r="N71" i="52"/>
  <c r="N70" i="52" s="1"/>
  <c r="N75" i="52"/>
  <c r="N74" i="52" s="1"/>
  <c r="O75" i="52"/>
  <c r="E62" i="52"/>
  <c r="G62" i="52" s="1"/>
  <c r="E61" i="52"/>
  <c r="G61" i="52" s="1"/>
  <c r="E63" i="52"/>
  <c r="G63" i="52" s="1"/>
  <c r="E64" i="52"/>
  <c r="O94" i="52"/>
  <c r="N94" i="52"/>
  <c r="N93" i="52" s="1"/>
  <c r="O13" i="52"/>
  <c r="P13" i="52" s="1"/>
  <c r="N13" i="52"/>
  <c r="O51" i="52"/>
  <c r="N51" i="52"/>
  <c r="N50" i="52" s="1"/>
  <c r="O99" i="52"/>
  <c r="P99" i="52" s="1"/>
  <c r="N99" i="52"/>
  <c r="O34" i="52"/>
  <c r="P34" i="52" s="1"/>
  <c r="N34" i="52"/>
  <c r="O68" i="52"/>
  <c r="N68" i="52"/>
  <c r="N67" i="52" s="1"/>
  <c r="O73" i="52"/>
  <c r="N73" i="52"/>
  <c r="N72" i="52" s="1"/>
  <c r="N78" i="52"/>
  <c r="N77" i="52" s="1"/>
  <c r="N76" i="52" s="1"/>
  <c r="O78" i="52"/>
  <c r="N98" i="52"/>
  <c r="O98" i="52"/>
  <c r="O36" i="52"/>
  <c r="P36" i="52" s="1"/>
  <c r="N36" i="52"/>
  <c r="N24" i="52"/>
  <c r="N23" i="52" s="1"/>
  <c r="O41" i="52"/>
  <c r="N41" i="52"/>
  <c r="N40" i="52" s="1"/>
  <c r="E21" i="52"/>
  <c r="G21" i="52" s="1"/>
  <c r="E85" i="52"/>
  <c r="G85" i="52" s="1"/>
  <c r="E11" i="52"/>
  <c r="W12" i="52"/>
  <c r="X14" i="52" s="1"/>
  <c r="Y14" i="52" s="1"/>
  <c r="C15" i="52"/>
  <c r="E15" i="52" s="1"/>
  <c r="E19" i="52"/>
  <c r="G19" i="52" s="1"/>
  <c r="L26" i="52"/>
  <c r="G28" i="52"/>
  <c r="O24" i="52" s="1"/>
  <c r="L29" i="52"/>
  <c r="C33" i="52"/>
  <c r="E33" i="52" s="1"/>
  <c r="G33" i="52" s="1"/>
  <c r="L38" i="52"/>
  <c r="E48" i="52"/>
  <c r="G48" i="52" s="1"/>
  <c r="E53" i="52"/>
  <c r="G53" i="52" s="1"/>
  <c r="L66" i="52"/>
  <c r="E81" i="52"/>
  <c r="G81" i="52" s="1"/>
  <c r="E83" i="52"/>
  <c r="G83" i="52" s="1"/>
  <c r="C87" i="52"/>
  <c r="E95" i="52"/>
  <c r="G95" i="52" s="1"/>
  <c r="L100" i="52"/>
  <c r="E20" i="52"/>
  <c r="G20" i="52" s="1"/>
  <c r="E54" i="52"/>
  <c r="G54" i="52" s="1"/>
  <c r="E82" i="52"/>
  <c r="G82" i="52" s="1"/>
  <c r="E12" i="52"/>
  <c r="G12" i="52" s="1"/>
  <c r="L17" i="52"/>
  <c r="G30" i="52"/>
  <c r="E44" i="52"/>
  <c r="G44" i="52" s="1"/>
  <c r="L96" i="52"/>
  <c r="L14" i="52"/>
  <c r="L21" i="52"/>
  <c r="L24" i="52"/>
  <c r="L25" i="52"/>
  <c r="L28" i="52"/>
  <c r="L36" i="52"/>
  <c r="C38" i="52"/>
  <c r="L41" i="52"/>
  <c r="L55" i="52"/>
  <c r="E57" i="52"/>
  <c r="L65" i="52"/>
  <c r="L89" i="52"/>
  <c r="L94" i="52"/>
  <c r="C100" i="52"/>
  <c r="E100" i="52" s="1"/>
  <c r="E55" i="52"/>
  <c r="G55" i="52" s="1"/>
  <c r="C35" i="52"/>
  <c r="E35" i="52" s="1"/>
  <c r="G35" i="52" s="1"/>
  <c r="O13" i="51"/>
  <c r="P13" i="51" s="1"/>
  <c r="N13" i="51"/>
  <c r="O51" i="51"/>
  <c r="N51" i="51"/>
  <c r="N50" i="51" s="1"/>
  <c r="O36" i="51"/>
  <c r="P36" i="51" s="1"/>
  <c r="N36" i="51"/>
  <c r="O24" i="51"/>
  <c r="N24" i="51"/>
  <c r="N23" i="51" s="1"/>
  <c r="O41" i="51"/>
  <c r="N41" i="51"/>
  <c r="N40" i="51" s="1"/>
  <c r="O68" i="51"/>
  <c r="N68" i="51"/>
  <c r="N67" i="51" s="1"/>
  <c r="O73" i="51"/>
  <c r="N73" i="51"/>
  <c r="N72" i="51" s="1"/>
  <c r="E62" i="51"/>
  <c r="G62" i="51" s="1"/>
  <c r="E61" i="51"/>
  <c r="G61" i="51" s="1"/>
  <c r="E63" i="51"/>
  <c r="G63" i="51" s="1"/>
  <c r="E64" i="51"/>
  <c r="N78" i="51"/>
  <c r="N77" i="51" s="1"/>
  <c r="N76" i="51" s="1"/>
  <c r="O78" i="51"/>
  <c r="O99" i="51"/>
  <c r="P99" i="51" s="1"/>
  <c r="N99" i="51"/>
  <c r="N75" i="51"/>
  <c r="N74" i="51" s="1"/>
  <c r="O75" i="51"/>
  <c r="O34" i="51"/>
  <c r="P34" i="51" s="1"/>
  <c r="N34" i="51"/>
  <c r="O71" i="51"/>
  <c r="N71" i="51"/>
  <c r="N70" i="51" s="1"/>
  <c r="O94" i="51"/>
  <c r="N94" i="51"/>
  <c r="N93" i="51" s="1"/>
  <c r="N98" i="51"/>
  <c r="O98" i="51"/>
  <c r="E55" i="51"/>
  <c r="G55" i="51" s="1"/>
  <c r="E85" i="51"/>
  <c r="G85" i="51" s="1"/>
  <c r="E11" i="51"/>
  <c r="W12" i="51"/>
  <c r="X14" i="51" s="1"/>
  <c r="Y14" i="51" s="1"/>
  <c r="C15" i="51"/>
  <c r="E15" i="51" s="1"/>
  <c r="E19" i="51"/>
  <c r="G19" i="51" s="1"/>
  <c r="L26" i="51"/>
  <c r="G28" i="51"/>
  <c r="L29" i="51"/>
  <c r="C33" i="51"/>
  <c r="E33" i="51" s="1"/>
  <c r="G33" i="51" s="1"/>
  <c r="L38" i="51"/>
  <c r="E48" i="51"/>
  <c r="G48" i="51" s="1"/>
  <c r="E53" i="51"/>
  <c r="G53" i="51" s="1"/>
  <c r="L66" i="51"/>
  <c r="E81" i="51"/>
  <c r="G81" i="51" s="1"/>
  <c r="E83" i="51"/>
  <c r="G83" i="51" s="1"/>
  <c r="C87" i="51"/>
  <c r="E95" i="51"/>
  <c r="G95" i="51" s="1"/>
  <c r="E21" i="51"/>
  <c r="G21" i="51" s="1"/>
  <c r="X12" i="51"/>
  <c r="E20" i="51"/>
  <c r="G20" i="51" s="1"/>
  <c r="E54" i="51"/>
  <c r="G54" i="51" s="1"/>
  <c r="E82" i="51"/>
  <c r="G82" i="51" s="1"/>
  <c r="E12" i="51"/>
  <c r="G12" i="51" s="1"/>
  <c r="L17" i="51"/>
  <c r="G30" i="51"/>
  <c r="E44" i="51"/>
  <c r="G44" i="51" s="1"/>
  <c r="L96" i="51"/>
  <c r="L14" i="51"/>
  <c r="L21" i="51"/>
  <c r="L24" i="51"/>
  <c r="L25" i="51"/>
  <c r="L28" i="51"/>
  <c r="L31" i="51"/>
  <c r="L36" i="51"/>
  <c r="C38" i="51"/>
  <c r="L41" i="51"/>
  <c r="L55" i="51"/>
  <c r="E57" i="51"/>
  <c r="L65" i="51"/>
  <c r="L85" i="51"/>
  <c r="L89" i="51"/>
  <c r="L94" i="51"/>
  <c r="C100" i="51"/>
  <c r="E100" i="51" s="1"/>
  <c r="C35" i="51"/>
  <c r="E35" i="51" s="1"/>
  <c r="G35" i="51" s="1"/>
  <c r="Y13" i="51"/>
  <c r="E96" i="50"/>
  <c r="G96" i="50" s="1"/>
  <c r="E95" i="50"/>
  <c r="G95" i="50" s="1"/>
  <c r="E94" i="50"/>
  <c r="G94" i="50" s="1"/>
  <c r="C24" i="50"/>
  <c r="C36" i="50"/>
  <c r="E36" i="50" s="1"/>
  <c r="G36" i="50" s="1"/>
  <c r="C11" i="50"/>
  <c r="Y14" i="50"/>
  <c r="C19" i="50"/>
  <c r="C48" i="50"/>
  <c r="C53" i="50"/>
  <c r="C75" i="50"/>
  <c r="E75" i="50" s="1"/>
  <c r="G75" i="50" s="1"/>
  <c r="C78" i="50"/>
  <c r="E78" i="50" s="1"/>
  <c r="G78" i="50" s="1"/>
  <c r="C81" i="50"/>
  <c r="C83" i="50"/>
  <c r="M88" i="50"/>
  <c r="C98" i="50"/>
  <c r="E98" i="50" s="1"/>
  <c r="G98" i="50" s="1"/>
  <c r="M99" i="50"/>
  <c r="C15" i="50"/>
  <c r="E15" i="50" s="1"/>
  <c r="C33" i="50"/>
  <c r="E33" i="50" s="1"/>
  <c r="G33" i="50" s="1"/>
  <c r="L22" i="50"/>
  <c r="L35" i="50"/>
  <c r="L39" i="50"/>
  <c r="C44" i="50"/>
  <c r="L56" i="50"/>
  <c r="C99" i="50"/>
  <c r="E99" i="50" s="1"/>
  <c r="G99" i="50" s="1"/>
  <c r="C87" i="50"/>
  <c r="C34" i="50"/>
  <c r="E34" i="50" s="1"/>
  <c r="G34" i="50" s="1"/>
  <c r="C51" i="50"/>
  <c r="E51" i="50" s="1"/>
  <c r="G51" i="50" s="1"/>
  <c r="C73" i="50"/>
  <c r="E73" i="50" s="1"/>
  <c r="G73" i="50" s="1"/>
  <c r="L96" i="50"/>
  <c r="C13" i="50"/>
  <c r="L17" i="50"/>
  <c r="L14" i="50"/>
  <c r="L21" i="50"/>
  <c r="L28" i="50"/>
  <c r="L36" i="50"/>
  <c r="C38" i="50"/>
  <c r="L41" i="50"/>
  <c r="L55" i="50"/>
  <c r="L65" i="50"/>
  <c r="L85" i="50"/>
  <c r="L89" i="50"/>
  <c r="L94" i="50"/>
  <c r="C100" i="50"/>
  <c r="E100" i="50" s="1"/>
  <c r="C35" i="50"/>
  <c r="E35" i="50" s="1"/>
  <c r="G35" i="50" s="1"/>
  <c r="C61" i="50"/>
  <c r="C68" i="50"/>
  <c r="E68" i="50" s="1"/>
  <c r="G68" i="50" s="1"/>
  <c r="C71" i="50"/>
  <c r="E71" i="50" s="1"/>
  <c r="G71" i="50" s="1"/>
  <c r="C41" i="50"/>
  <c r="E96" i="48"/>
  <c r="G96" i="48" s="1"/>
  <c r="E95" i="48"/>
  <c r="G95" i="48" s="1"/>
  <c r="E94" i="48"/>
  <c r="G94" i="48" s="1"/>
  <c r="G16" i="48"/>
  <c r="G15" i="48"/>
  <c r="G17" i="48"/>
  <c r="L12" i="48"/>
  <c r="C11" i="48"/>
  <c r="Y14" i="48"/>
  <c r="C19" i="48"/>
  <c r="M44" i="48"/>
  <c r="C48" i="48"/>
  <c r="C53" i="48"/>
  <c r="M64" i="48"/>
  <c r="C75" i="48"/>
  <c r="E75" i="48" s="1"/>
  <c r="G75" i="48" s="1"/>
  <c r="C78" i="48"/>
  <c r="E78" i="48" s="1"/>
  <c r="G78" i="48" s="1"/>
  <c r="C81" i="48"/>
  <c r="C83" i="48"/>
  <c r="M88" i="48"/>
  <c r="C98" i="48"/>
  <c r="E98" i="48" s="1"/>
  <c r="G98" i="48" s="1"/>
  <c r="L22" i="48"/>
  <c r="L35" i="48"/>
  <c r="L39" i="48"/>
  <c r="C44" i="48"/>
  <c r="L56" i="48"/>
  <c r="L61" i="48"/>
  <c r="C99" i="48"/>
  <c r="E99" i="48" s="1"/>
  <c r="G99" i="48" s="1"/>
  <c r="C87" i="48"/>
  <c r="C13" i="48"/>
  <c r="C34" i="48"/>
  <c r="E34" i="48" s="1"/>
  <c r="G34" i="48" s="1"/>
  <c r="C51" i="48"/>
  <c r="E51" i="48" s="1"/>
  <c r="G51" i="48" s="1"/>
  <c r="C73" i="48"/>
  <c r="E73" i="48" s="1"/>
  <c r="G73" i="48" s="1"/>
  <c r="L14" i="48"/>
  <c r="L21" i="48"/>
  <c r="L24" i="48"/>
  <c r="L25" i="48"/>
  <c r="L28" i="48"/>
  <c r="L31" i="48"/>
  <c r="L36" i="48"/>
  <c r="C38" i="48"/>
  <c r="L41" i="48"/>
  <c r="L55" i="48"/>
  <c r="L65" i="48"/>
  <c r="L85" i="48"/>
  <c r="L89" i="48"/>
  <c r="L94" i="48"/>
  <c r="C100" i="48"/>
  <c r="E100" i="48" s="1"/>
  <c r="C33" i="48"/>
  <c r="E33" i="48" s="1"/>
  <c r="G33" i="48" s="1"/>
  <c r="C35" i="48"/>
  <c r="E35" i="48" s="1"/>
  <c r="G35" i="48" s="1"/>
  <c r="C61" i="48"/>
  <c r="C68" i="48"/>
  <c r="E68" i="48" s="1"/>
  <c r="G68" i="48" s="1"/>
  <c r="C71" i="48"/>
  <c r="E71" i="48" s="1"/>
  <c r="G71" i="48" s="1"/>
  <c r="C24" i="48"/>
  <c r="C36" i="48"/>
  <c r="E36" i="48" s="1"/>
  <c r="G36" i="48" s="1"/>
  <c r="C41" i="48"/>
  <c r="E96" i="45"/>
  <c r="G96" i="45" s="1"/>
  <c r="E95" i="45"/>
  <c r="G95" i="45" s="1"/>
  <c r="E94" i="45"/>
  <c r="G94" i="45" s="1"/>
  <c r="G16" i="45"/>
  <c r="G15" i="45"/>
  <c r="G17" i="45"/>
  <c r="O33" i="45"/>
  <c r="N33" i="45"/>
  <c r="E11" i="45"/>
  <c r="X14" i="45"/>
  <c r="Y14" i="45" s="1"/>
  <c r="C24" i="45"/>
  <c r="L64" i="45"/>
  <c r="C19" i="45"/>
  <c r="M44" i="45"/>
  <c r="C48" i="45"/>
  <c r="C53" i="45"/>
  <c r="C75" i="45"/>
  <c r="E75" i="45" s="1"/>
  <c r="G75" i="45" s="1"/>
  <c r="C78" i="45"/>
  <c r="E78" i="45" s="1"/>
  <c r="G78" i="45" s="1"/>
  <c r="C81" i="45"/>
  <c r="C83" i="45"/>
  <c r="M88" i="45"/>
  <c r="C98" i="45"/>
  <c r="E98" i="45" s="1"/>
  <c r="G98" i="45" s="1"/>
  <c r="M99" i="45"/>
  <c r="L22" i="45"/>
  <c r="L35" i="45"/>
  <c r="C44" i="45"/>
  <c r="L56" i="45"/>
  <c r="L61" i="45"/>
  <c r="E87" i="45"/>
  <c r="G87" i="45" s="1"/>
  <c r="C99" i="45"/>
  <c r="E99" i="45" s="1"/>
  <c r="G99" i="45" s="1"/>
  <c r="X12" i="45"/>
  <c r="L39" i="45"/>
  <c r="E12" i="45"/>
  <c r="G12" i="45" s="1"/>
  <c r="C13" i="45"/>
  <c r="C34" i="45"/>
  <c r="E34" i="45" s="1"/>
  <c r="G34" i="45" s="1"/>
  <c r="C51" i="45"/>
  <c r="E51" i="45" s="1"/>
  <c r="G51" i="45" s="1"/>
  <c r="C73" i="45"/>
  <c r="E73" i="45" s="1"/>
  <c r="G73" i="45" s="1"/>
  <c r="E88" i="45"/>
  <c r="L96" i="45"/>
  <c r="C38" i="45"/>
  <c r="C100" i="45"/>
  <c r="E100" i="45" s="1"/>
  <c r="C35" i="45"/>
  <c r="E35" i="45" s="1"/>
  <c r="G35" i="45" s="1"/>
  <c r="L42" i="45"/>
  <c r="L48" i="45"/>
  <c r="L53" i="45"/>
  <c r="L58" i="45"/>
  <c r="C61" i="45"/>
  <c r="C68" i="45"/>
  <c r="E68" i="45" s="1"/>
  <c r="G68" i="45" s="1"/>
  <c r="C71" i="45"/>
  <c r="E71" i="45" s="1"/>
  <c r="G71" i="45" s="1"/>
  <c r="C36" i="45"/>
  <c r="E36" i="45" s="1"/>
  <c r="G36" i="45" s="1"/>
  <c r="C41" i="45"/>
  <c r="O36" i="42"/>
  <c r="P36" i="42" s="1"/>
  <c r="N36" i="42"/>
  <c r="O71" i="42"/>
  <c r="N71" i="42"/>
  <c r="N70" i="42" s="1"/>
  <c r="N75" i="42"/>
  <c r="N74" i="42" s="1"/>
  <c r="O75" i="42"/>
  <c r="N98" i="42"/>
  <c r="O98" i="42"/>
  <c r="O38" i="42"/>
  <c r="N38" i="42"/>
  <c r="N37" i="42" s="1"/>
  <c r="O41" i="42"/>
  <c r="N41" i="42"/>
  <c r="N40" i="42" s="1"/>
  <c r="E96" i="42"/>
  <c r="G96" i="42" s="1"/>
  <c r="E95" i="42"/>
  <c r="G95" i="42" s="1"/>
  <c r="E94" i="42"/>
  <c r="G94" i="42" s="1"/>
  <c r="O44" i="42"/>
  <c r="N44" i="42"/>
  <c r="N43" i="42" s="1"/>
  <c r="O68" i="42"/>
  <c r="N68" i="42"/>
  <c r="N67" i="42" s="1"/>
  <c r="N78" i="42"/>
  <c r="N77" i="42" s="1"/>
  <c r="N76" i="42" s="1"/>
  <c r="O78" i="42"/>
  <c r="O13" i="42"/>
  <c r="P13" i="42" s="1"/>
  <c r="N13" i="42"/>
  <c r="G101" i="42"/>
  <c r="G100" i="42"/>
  <c r="E85" i="42"/>
  <c r="G85" i="42" s="1"/>
  <c r="M88" i="42"/>
  <c r="M99" i="42"/>
  <c r="E11" i="42"/>
  <c r="W12" i="42"/>
  <c r="X14" i="42" s="1"/>
  <c r="Y14" i="42" s="1"/>
  <c r="C15" i="42"/>
  <c r="E15" i="42" s="1"/>
  <c r="E19" i="42"/>
  <c r="G19" i="42" s="1"/>
  <c r="G28" i="42"/>
  <c r="O24" i="42" s="1"/>
  <c r="L29" i="42"/>
  <c r="C33" i="42"/>
  <c r="E33" i="42" s="1"/>
  <c r="G33" i="42" s="1"/>
  <c r="L38" i="42"/>
  <c r="E48" i="42"/>
  <c r="G48" i="42" s="1"/>
  <c r="E53" i="42"/>
  <c r="G53" i="42" s="1"/>
  <c r="L66" i="42"/>
  <c r="E81" i="42"/>
  <c r="G81" i="42" s="1"/>
  <c r="E83" i="42"/>
  <c r="G83" i="42" s="1"/>
  <c r="C87" i="42"/>
  <c r="M12" i="42"/>
  <c r="E55" i="42"/>
  <c r="G55" i="42" s="1"/>
  <c r="M64" i="42"/>
  <c r="E20" i="42"/>
  <c r="G20" i="42" s="1"/>
  <c r="G58" i="42"/>
  <c r="E82" i="42"/>
  <c r="G82" i="42" s="1"/>
  <c r="C99" i="42"/>
  <c r="E99" i="42" s="1"/>
  <c r="G99" i="42" s="1"/>
  <c r="E12" i="42"/>
  <c r="G12" i="42" s="1"/>
  <c r="C34" i="42"/>
  <c r="E34" i="42" s="1"/>
  <c r="G34" i="42" s="1"/>
  <c r="C51" i="42"/>
  <c r="E51" i="42" s="1"/>
  <c r="G51" i="42" s="1"/>
  <c r="C73" i="42"/>
  <c r="E73" i="42" s="1"/>
  <c r="G73" i="42" s="1"/>
  <c r="C35" i="42"/>
  <c r="E35" i="42" s="1"/>
  <c r="G35" i="42" s="1"/>
  <c r="C61" i="42"/>
  <c r="E41" i="40"/>
  <c r="G41" i="40" s="1"/>
  <c r="E42" i="40"/>
  <c r="G42" i="40" s="1"/>
  <c r="N75" i="40"/>
  <c r="N74" i="40" s="1"/>
  <c r="O75" i="40"/>
  <c r="N98" i="40"/>
  <c r="O98" i="40"/>
  <c r="E24" i="40"/>
  <c r="G24" i="40" s="1"/>
  <c r="E31" i="40"/>
  <c r="G31" i="40" s="1"/>
  <c r="E28" i="40"/>
  <c r="L34" i="40"/>
  <c r="M34" i="40"/>
  <c r="N34" i="40" s="1"/>
  <c r="O73" i="40"/>
  <c r="N73" i="40"/>
  <c r="N72" i="40" s="1"/>
  <c r="N78" i="40"/>
  <c r="N77" i="40" s="1"/>
  <c r="N76" i="40" s="1"/>
  <c r="O78" i="40"/>
  <c r="O34" i="40"/>
  <c r="P34" i="40" s="1"/>
  <c r="M29" i="40"/>
  <c r="O13" i="40"/>
  <c r="P13" i="40" s="1"/>
  <c r="N13" i="40"/>
  <c r="O51" i="40"/>
  <c r="N51" i="40"/>
  <c r="N50" i="40" s="1"/>
  <c r="O71" i="40"/>
  <c r="N71" i="40"/>
  <c r="N70" i="40" s="1"/>
  <c r="M13" i="40"/>
  <c r="N36" i="40"/>
  <c r="L51" i="40"/>
  <c r="E55" i="40"/>
  <c r="G55" i="40" s="1"/>
  <c r="L57" i="40"/>
  <c r="E85" i="40"/>
  <c r="G85" i="40" s="1"/>
  <c r="E94" i="40"/>
  <c r="G94" i="40" s="1"/>
  <c r="E11" i="40"/>
  <c r="W12" i="40"/>
  <c r="X14" i="40" s="1"/>
  <c r="Y14" i="40" s="1"/>
  <c r="C15" i="40"/>
  <c r="E15" i="40" s="1"/>
  <c r="E19" i="40"/>
  <c r="G19" i="40" s="1"/>
  <c r="L26" i="40"/>
  <c r="L29" i="40"/>
  <c r="C33" i="40"/>
  <c r="E33" i="40" s="1"/>
  <c r="G33" i="40" s="1"/>
  <c r="L38" i="40"/>
  <c r="E48" i="40"/>
  <c r="G48" i="40" s="1"/>
  <c r="E53" i="40"/>
  <c r="G53" i="40" s="1"/>
  <c r="L66" i="40"/>
  <c r="E81" i="40"/>
  <c r="G81" i="40" s="1"/>
  <c r="E83" i="40"/>
  <c r="G83" i="40" s="1"/>
  <c r="C87" i="40"/>
  <c r="L90" i="40"/>
  <c r="E95" i="40"/>
  <c r="G95" i="40" s="1"/>
  <c r="E21" i="40"/>
  <c r="G21" i="40" s="1"/>
  <c r="X12" i="40"/>
  <c r="E20" i="40"/>
  <c r="G20" i="40" s="1"/>
  <c r="C44" i="40"/>
  <c r="E54" i="40"/>
  <c r="G54" i="40" s="1"/>
  <c r="E82" i="40"/>
  <c r="G82" i="40" s="1"/>
  <c r="C99" i="40"/>
  <c r="E99" i="40" s="1"/>
  <c r="G99" i="40" s="1"/>
  <c r="L14" i="40"/>
  <c r="L21" i="40"/>
  <c r="L24" i="40"/>
  <c r="L25" i="40"/>
  <c r="L28" i="40"/>
  <c r="L31" i="40"/>
  <c r="L36" i="40"/>
  <c r="C38" i="40"/>
  <c r="L41" i="40"/>
  <c r="L55" i="40"/>
  <c r="E57" i="40"/>
  <c r="L65" i="40"/>
  <c r="L85" i="40"/>
  <c r="L89" i="40"/>
  <c r="L94" i="40"/>
  <c r="C100" i="40"/>
  <c r="E100" i="40" s="1"/>
  <c r="L11" i="40"/>
  <c r="L19" i="40"/>
  <c r="C35" i="40"/>
  <c r="E35" i="40" s="1"/>
  <c r="G35" i="40" s="1"/>
  <c r="L42" i="40"/>
  <c r="L48" i="40"/>
  <c r="L53" i="40"/>
  <c r="L58" i="40"/>
  <c r="C61" i="40"/>
  <c r="L83" i="40"/>
  <c r="E12" i="40"/>
  <c r="G12" i="40" s="1"/>
  <c r="C68" i="40"/>
  <c r="E68" i="40" s="1"/>
  <c r="G68" i="40" s="1"/>
  <c r="F52" i="19"/>
  <c r="F21" i="19"/>
  <c r="P24" i="28" l="1"/>
  <c r="O23" i="28"/>
  <c r="P23" i="28" s="1"/>
  <c r="P94" i="28"/>
  <c r="O93" i="28"/>
  <c r="N48" i="28"/>
  <c r="N47" i="28" s="1"/>
  <c r="O48" i="28"/>
  <c r="P51" i="28"/>
  <c r="O50" i="28"/>
  <c r="P50" i="28" s="1"/>
  <c r="P70" i="28"/>
  <c r="O77" i="28"/>
  <c r="P78" i="28"/>
  <c r="N33" i="28"/>
  <c r="O33" i="28"/>
  <c r="N94" i="28"/>
  <c r="N93" i="28" s="1"/>
  <c r="N69" i="28"/>
  <c r="E91" i="28"/>
  <c r="G91" i="28" s="1"/>
  <c r="E88" i="28"/>
  <c r="E87" i="28"/>
  <c r="G87" i="28" s="1"/>
  <c r="G57" i="28"/>
  <c r="N53" i="28" s="1"/>
  <c r="N52" i="28" s="1"/>
  <c r="G58" i="28"/>
  <c r="N19" i="28"/>
  <c r="N18" i="28" s="1"/>
  <c r="O19" i="28"/>
  <c r="O74" i="28"/>
  <c r="P74" i="28" s="1"/>
  <c r="P75" i="28"/>
  <c r="P44" i="28"/>
  <c r="O43" i="28"/>
  <c r="P43" i="28" s="1"/>
  <c r="P73" i="28"/>
  <c r="O72" i="28"/>
  <c r="P72" i="28" s="1"/>
  <c r="P98" i="28"/>
  <c r="N83" i="28"/>
  <c r="O83" i="28"/>
  <c r="P83" i="28" s="1"/>
  <c r="O40" i="28"/>
  <c r="P40" i="28" s="1"/>
  <c r="P41" i="28"/>
  <c r="O35" i="28"/>
  <c r="P35" i="28" s="1"/>
  <c r="N35" i="28"/>
  <c r="N81" i="28"/>
  <c r="N80" i="28" s="1"/>
  <c r="O81" i="28"/>
  <c r="G16" i="28"/>
  <c r="G15" i="28"/>
  <c r="G17" i="28"/>
  <c r="G66" i="28"/>
  <c r="G64" i="28"/>
  <c r="N61" i="28" s="1"/>
  <c r="N60" i="28" s="1"/>
  <c r="N59" i="28" s="1"/>
  <c r="G65" i="28"/>
  <c r="G101" i="28"/>
  <c r="G100" i="28"/>
  <c r="E39" i="28"/>
  <c r="G39" i="28" s="1"/>
  <c r="E38" i="28"/>
  <c r="G38" i="28" s="1"/>
  <c r="G11" i="28"/>
  <c r="O61" i="28"/>
  <c r="O51" i="53"/>
  <c r="N51" i="53"/>
  <c r="N50" i="53" s="1"/>
  <c r="E56" i="53"/>
  <c r="G56" i="53" s="1"/>
  <c r="E57" i="53"/>
  <c r="E53" i="53"/>
  <c r="G53" i="53" s="1"/>
  <c r="E54" i="53"/>
  <c r="G54" i="53" s="1"/>
  <c r="E55" i="53"/>
  <c r="G55" i="53" s="1"/>
  <c r="E31" i="53"/>
  <c r="G31" i="53" s="1"/>
  <c r="E28" i="53"/>
  <c r="E24" i="53"/>
  <c r="G24" i="53" s="1"/>
  <c r="O34" i="53"/>
  <c r="P34" i="53" s="1"/>
  <c r="N34" i="53"/>
  <c r="N98" i="53"/>
  <c r="O98" i="53"/>
  <c r="E48" i="53"/>
  <c r="G48" i="53" s="1"/>
  <c r="E49" i="53"/>
  <c r="G49" i="53" s="1"/>
  <c r="O36" i="53"/>
  <c r="P36" i="53" s="1"/>
  <c r="N36" i="53"/>
  <c r="O71" i="53"/>
  <c r="N71" i="53"/>
  <c r="N70" i="53" s="1"/>
  <c r="N69" i="53" s="1"/>
  <c r="E13" i="53"/>
  <c r="G13" i="53" s="1"/>
  <c r="E14" i="53"/>
  <c r="G14" i="53" s="1"/>
  <c r="E22" i="53"/>
  <c r="G22" i="53" s="1"/>
  <c r="E19" i="53"/>
  <c r="G19" i="53" s="1"/>
  <c r="E20" i="53"/>
  <c r="G20" i="53" s="1"/>
  <c r="E21" i="53"/>
  <c r="G21" i="53" s="1"/>
  <c r="O68" i="53"/>
  <c r="N68" i="53"/>
  <c r="N67" i="53" s="1"/>
  <c r="N99" i="53"/>
  <c r="O99" i="53"/>
  <c r="P99" i="53" s="1"/>
  <c r="G101" i="53"/>
  <c r="G100" i="53"/>
  <c r="C102" i="53"/>
  <c r="E12" i="53"/>
  <c r="G12" i="53" s="1"/>
  <c r="E11" i="53"/>
  <c r="O35" i="53"/>
  <c r="P35" i="53" s="1"/>
  <c r="N35" i="53"/>
  <c r="E91" i="53"/>
  <c r="G91" i="53" s="1"/>
  <c r="E88" i="53"/>
  <c r="E87" i="53"/>
  <c r="G87" i="53" s="1"/>
  <c r="E45" i="53"/>
  <c r="G45" i="53" s="1"/>
  <c r="E44" i="53"/>
  <c r="G44" i="53" s="1"/>
  <c r="N78" i="53"/>
  <c r="N77" i="53" s="1"/>
  <c r="N76" i="53" s="1"/>
  <c r="O78" i="53"/>
  <c r="O94" i="53"/>
  <c r="N94" i="53"/>
  <c r="N93" i="53" s="1"/>
  <c r="E42" i="53"/>
  <c r="G42" i="53" s="1"/>
  <c r="E41" i="53"/>
  <c r="G41" i="53" s="1"/>
  <c r="O73" i="53"/>
  <c r="N73" i="53"/>
  <c r="N72" i="53" s="1"/>
  <c r="E62" i="53"/>
  <c r="G62" i="53" s="1"/>
  <c r="E61" i="53"/>
  <c r="G61" i="53" s="1"/>
  <c r="E63" i="53"/>
  <c r="G63" i="53" s="1"/>
  <c r="E64" i="53"/>
  <c r="E81" i="53"/>
  <c r="G81" i="53" s="1"/>
  <c r="E83" i="53"/>
  <c r="G83" i="53" s="1"/>
  <c r="E84" i="53"/>
  <c r="G84" i="53" s="1"/>
  <c r="E82" i="53"/>
  <c r="G82" i="53" s="1"/>
  <c r="E85" i="53"/>
  <c r="G85" i="53" s="1"/>
  <c r="O33" i="53"/>
  <c r="N33" i="53"/>
  <c r="E39" i="53"/>
  <c r="G39" i="53" s="1"/>
  <c r="E38" i="53"/>
  <c r="G38" i="53" s="1"/>
  <c r="G16" i="53"/>
  <c r="G15" i="53"/>
  <c r="G17" i="53"/>
  <c r="N75" i="53"/>
  <c r="N74" i="53" s="1"/>
  <c r="O75" i="53"/>
  <c r="O23" i="52"/>
  <c r="P23" i="52" s="1"/>
  <c r="P24" i="52"/>
  <c r="N19" i="52"/>
  <c r="N18" i="52" s="1"/>
  <c r="O19" i="52"/>
  <c r="G57" i="52"/>
  <c r="G58" i="52"/>
  <c r="N53" i="52"/>
  <c r="N52" i="52" s="1"/>
  <c r="O53" i="52"/>
  <c r="G16" i="52"/>
  <c r="G15" i="52"/>
  <c r="G17" i="52"/>
  <c r="P73" i="52"/>
  <c r="O72" i="52"/>
  <c r="P72" i="52" s="1"/>
  <c r="P51" i="52"/>
  <c r="O50" i="52"/>
  <c r="P50" i="52" s="1"/>
  <c r="O61" i="52"/>
  <c r="N48" i="52"/>
  <c r="N47" i="52" s="1"/>
  <c r="O48" i="52"/>
  <c r="O35" i="52"/>
  <c r="P35" i="52" s="1"/>
  <c r="N35" i="52"/>
  <c r="G11" i="52"/>
  <c r="P68" i="52"/>
  <c r="O67" i="52"/>
  <c r="P67" i="52" s="1"/>
  <c r="O74" i="52"/>
  <c r="P74" i="52" s="1"/>
  <c r="P75" i="52"/>
  <c r="N81" i="52"/>
  <c r="O81" i="52"/>
  <c r="G66" i="52"/>
  <c r="G64" i="52"/>
  <c r="N61" i="52" s="1"/>
  <c r="N60" i="52" s="1"/>
  <c r="N59" i="52" s="1"/>
  <c r="G65" i="52"/>
  <c r="E39" i="52"/>
  <c r="G39" i="52" s="1"/>
  <c r="E38" i="52"/>
  <c r="G38" i="52" s="1"/>
  <c r="O44" i="52"/>
  <c r="N44" i="52"/>
  <c r="N43" i="52" s="1"/>
  <c r="N33" i="52"/>
  <c r="N32" i="52" s="1"/>
  <c r="O33" i="52"/>
  <c r="P98" i="52"/>
  <c r="C102" i="52"/>
  <c r="O40" i="52"/>
  <c r="P40" i="52" s="1"/>
  <c r="P41" i="52"/>
  <c r="G101" i="52"/>
  <c r="G100" i="52"/>
  <c r="E91" i="52"/>
  <c r="G91" i="52" s="1"/>
  <c r="E88" i="52"/>
  <c r="E87" i="52"/>
  <c r="G87" i="52" s="1"/>
  <c r="N69" i="52"/>
  <c r="N83" i="52"/>
  <c r="O83" i="52"/>
  <c r="P83" i="52" s="1"/>
  <c r="O77" i="52"/>
  <c r="P78" i="52"/>
  <c r="O93" i="52"/>
  <c r="P94" i="52"/>
  <c r="P71" i="52"/>
  <c r="O70" i="52"/>
  <c r="N19" i="51"/>
  <c r="N18" i="51" s="1"/>
  <c r="O19" i="51"/>
  <c r="O35" i="51"/>
  <c r="P35" i="51" s="1"/>
  <c r="N35" i="51"/>
  <c r="O93" i="51"/>
  <c r="P94" i="51"/>
  <c r="O23" i="51"/>
  <c r="P23" i="51" s="1"/>
  <c r="P24" i="51"/>
  <c r="G101" i="51"/>
  <c r="G100" i="51"/>
  <c r="E39" i="51"/>
  <c r="G39" i="51" s="1"/>
  <c r="E38" i="51"/>
  <c r="G38" i="51" s="1"/>
  <c r="N48" i="51"/>
  <c r="N47" i="51" s="1"/>
  <c r="O48" i="51"/>
  <c r="N69" i="51"/>
  <c r="P71" i="51"/>
  <c r="O70" i="51"/>
  <c r="O74" i="51"/>
  <c r="P74" i="51" s="1"/>
  <c r="P75" i="51"/>
  <c r="G17" i="51"/>
  <c r="G16" i="51"/>
  <c r="G15" i="51"/>
  <c r="P73" i="51"/>
  <c r="O72" i="51"/>
  <c r="P72" i="51" s="1"/>
  <c r="O33" i="51"/>
  <c r="N33" i="51"/>
  <c r="N32" i="51" s="1"/>
  <c r="O77" i="51"/>
  <c r="P78" i="51"/>
  <c r="E91" i="51"/>
  <c r="G91" i="51" s="1"/>
  <c r="E88" i="51"/>
  <c r="E87" i="51"/>
  <c r="G87" i="51" s="1"/>
  <c r="P68" i="51"/>
  <c r="O67" i="51"/>
  <c r="P67" i="51" s="1"/>
  <c r="P51" i="51"/>
  <c r="O50" i="51"/>
  <c r="P50" i="51" s="1"/>
  <c r="O44" i="51"/>
  <c r="N44" i="51"/>
  <c r="N43" i="51" s="1"/>
  <c r="E102" i="51"/>
  <c r="G11" i="51"/>
  <c r="N83" i="51"/>
  <c r="O83" i="51"/>
  <c r="P83" i="51" s="1"/>
  <c r="P98" i="51"/>
  <c r="G66" i="51"/>
  <c r="G64" i="51"/>
  <c r="N61" i="51" s="1"/>
  <c r="N60" i="51" s="1"/>
  <c r="N59" i="51" s="1"/>
  <c r="G65" i="51"/>
  <c r="G57" i="51"/>
  <c r="N53" i="51" s="1"/>
  <c r="N52" i="51" s="1"/>
  <c r="G58" i="51"/>
  <c r="N81" i="51"/>
  <c r="N80" i="51" s="1"/>
  <c r="O81" i="51"/>
  <c r="C102" i="51"/>
  <c r="O40" i="51"/>
  <c r="P40" i="51" s="1"/>
  <c r="P41" i="51"/>
  <c r="N98" i="50"/>
  <c r="O98" i="50"/>
  <c r="E13" i="50"/>
  <c r="G13" i="50" s="1"/>
  <c r="E14" i="50"/>
  <c r="G14" i="50" s="1"/>
  <c r="E45" i="50"/>
  <c r="G45" i="50" s="1"/>
  <c r="E44" i="50"/>
  <c r="G44" i="50" s="1"/>
  <c r="E62" i="50"/>
  <c r="G62" i="50" s="1"/>
  <c r="E61" i="50"/>
  <c r="G61" i="50" s="1"/>
  <c r="E63" i="50"/>
  <c r="G63" i="50" s="1"/>
  <c r="E64" i="50"/>
  <c r="E12" i="50"/>
  <c r="G12" i="50" s="1"/>
  <c r="C102" i="50"/>
  <c r="E11" i="50"/>
  <c r="O68" i="50"/>
  <c r="N68" i="50"/>
  <c r="N67" i="50" s="1"/>
  <c r="O35" i="50"/>
  <c r="P35" i="50" s="1"/>
  <c r="N35" i="50"/>
  <c r="E39" i="50"/>
  <c r="G39" i="50" s="1"/>
  <c r="E38" i="50"/>
  <c r="G38" i="50" s="1"/>
  <c r="O73" i="50"/>
  <c r="N73" i="50"/>
  <c r="N72" i="50" s="1"/>
  <c r="E83" i="50"/>
  <c r="G83" i="50" s="1"/>
  <c r="E84" i="50"/>
  <c r="G84" i="50" s="1"/>
  <c r="E82" i="50"/>
  <c r="G82" i="50" s="1"/>
  <c r="E81" i="50"/>
  <c r="G81" i="50" s="1"/>
  <c r="E85" i="50"/>
  <c r="G85" i="50" s="1"/>
  <c r="O36" i="50"/>
  <c r="P36" i="50" s="1"/>
  <c r="N36" i="50"/>
  <c r="O71" i="50"/>
  <c r="N71" i="50"/>
  <c r="N70" i="50" s="1"/>
  <c r="E22" i="50"/>
  <c r="G22" i="50" s="1"/>
  <c r="E19" i="50"/>
  <c r="G19" i="50" s="1"/>
  <c r="E20" i="50"/>
  <c r="G20" i="50" s="1"/>
  <c r="E21" i="50"/>
  <c r="G21" i="50" s="1"/>
  <c r="N78" i="50"/>
  <c r="N77" i="50" s="1"/>
  <c r="N76" i="50" s="1"/>
  <c r="O78" i="50"/>
  <c r="O34" i="50"/>
  <c r="P34" i="50" s="1"/>
  <c r="N34" i="50"/>
  <c r="O33" i="50"/>
  <c r="N33" i="50"/>
  <c r="N32" i="50" s="1"/>
  <c r="N75" i="50"/>
  <c r="N74" i="50" s="1"/>
  <c r="O75" i="50"/>
  <c r="O94" i="50"/>
  <c r="N94" i="50"/>
  <c r="N93" i="50" s="1"/>
  <c r="G101" i="50"/>
  <c r="G100" i="50"/>
  <c r="O51" i="50"/>
  <c r="N51" i="50"/>
  <c r="N50" i="50" s="1"/>
  <c r="E31" i="50"/>
  <c r="G31" i="50" s="1"/>
  <c r="E28" i="50"/>
  <c r="E24" i="50"/>
  <c r="G24" i="50" s="1"/>
  <c r="E91" i="50"/>
  <c r="G91" i="50" s="1"/>
  <c r="E88" i="50"/>
  <c r="E87" i="50"/>
  <c r="G87" i="50" s="1"/>
  <c r="G15" i="50"/>
  <c r="G16" i="50"/>
  <c r="G17" i="50"/>
  <c r="E56" i="50"/>
  <c r="G56" i="50" s="1"/>
  <c r="E57" i="50"/>
  <c r="E53" i="50"/>
  <c r="G53" i="50" s="1"/>
  <c r="E54" i="50"/>
  <c r="G54" i="50" s="1"/>
  <c r="E55" i="50"/>
  <c r="G55" i="50" s="1"/>
  <c r="E42" i="50"/>
  <c r="G42" i="50" s="1"/>
  <c r="E41" i="50"/>
  <c r="G41" i="50" s="1"/>
  <c r="N99" i="50"/>
  <c r="O99" i="50"/>
  <c r="P99" i="50" s="1"/>
  <c r="E48" i="50"/>
  <c r="G48" i="50" s="1"/>
  <c r="E49" i="50"/>
  <c r="G49" i="50" s="1"/>
  <c r="O33" i="48"/>
  <c r="N33" i="48"/>
  <c r="E39" i="48"/>
  <c r="G39" i="48" s="1"/>
  <c r="E38" i="48"/>
  <c r="G38" i="48" s="1"/>
  <c r="O73" i="48"/>
  <c r="N73" i="48"/>
  <c r="N72" i="48" s="1"/>
  <c r="E45" i="48"/>
  <c r="G45" i="48" s="1"/>
  <c r="E44" i="48"/>
  <c r="G44" i="48" s="1"/>
  <c r="N78" i="48"/>
  <c r="N77" i="48" s="1"/>
  <c r="N76" i="48" s="1"/>
  <c r="O78" i="48"/>
  <c r="E11" i="48"/>
  <c r="C102" i="48"/>
  <c r="E12" i="48"/>
  <c r="G12" i="48" s="1"/>
  <c r="E42" i="48"/>
  <c r="G42" i="48" s="1"/>
  <c r="E41" i="48"/>
  <c r="G41" i="48" s="1"/>
  <c r="G101" i="48"/>
  <c r="G100" i="48"/>
  <c r="O51" i="48"/>
  <c r="N51" i="48"/>
  <c r="N50" i="48" s="1"/>
  <c r="N75" i="48"/>
  <c r="N74" i="48" s="1"/>
  <c r="O75" i="48"/>
  <c r="O36" i="48"/>
  <c r="P36" i="48" s="1"/>
  <c r="N36" i="48"/>
  <c r="O34" i="48"/>
  <c r="P34" i="48" s="1"/>
  <c r="N34" i="48"/>
  <c r="E31" i="48"/>
  <c r="G31" i="48" s="1"/>
  <c r="E28" i="48"/>
  <c r="E24" i="48"/>
  <c r="G24" i="48" s="1"/>
  <c r="E13" i="48"/>
  <c r="G13" i="48" s="1"/>
  <c r="E14" i="48"/>
  <c r="G14" i="48" s="1"/>
  <c r="E56" i="48"/>
  <c r="G56" i="48" s="1"/>
  <c r="E57" i="48"/>
  <c r="E53" i="48"/>
  <c r="G53" i="48" s="1"/>
  <c r="E54" i="48"/>
  <c r="G54" i="48" s="1"/>
  <c r="E55" i="48"/>
  <c r="G55" i="48" s="1"/>
  <c r="O15" i="48"/>
  <c r="P15" i="48" s="1"/>
  <c r="N15" i="48"/>
  <c r="O71" i="48"/>
  <c r="N71" i="48"/>
  <c r="N70" i="48" s="1"/>
  <c r="E91" i="48"/>
  <c r="G91" i="48" s="1"/>
  <c r="E88" i="48"/>
  <c r="E87" i="48"/>
  <c r="G87" i="48" s="1"/>
  <c r="N98" i="48"/>
  <c r="O98" i="48"/>
  <c r="E48" i="48"/>
  <c r="G48" i="48" s="1"/>
  <c r="E49" i="48"/>
  <c r="G49" i="48" s="1"/>
  <c r="O68" i="48"/>
  <c r="N68" i="48"/>
  <c r="N67" i="48" s="1"/>
  <c r="N99" i="48"/>
  <c r="O99" i="48"/>
  <c r="P99" i="48" s="1"/>
  <c r="O94" i="48"/>
  <c r="N94" i="48"/>
  <c r="N93" i="48" s="1"/>
  <c r="E62" i="48"/>
  <c r="G62" i="48" s="1"/>
  <c r="E61" i="48"/>
  <c r="G61" i="48" s="1"/>
  <c r="E63" i="48"/>
  <c r="G63" i="48" s="1"/>
  <c r="E64" i="48"/>
  <c r="E22" i="48"/>
  <c r="G22" i="48" s="1"/>
  <c r="E19" i="48"/>
  <c r="G19" i="48" s="1"/>
  <c r="E20" i="48"/>
  <c r="G20" i="48" s="1"/>
  <c r="E21" i="48"/>
  <c r="G21" i="48" s="1"/>
  <c r="O35" i="48"/>
  <c r="P35" i="48" s="1"/>
  <c r="N35" i="48"/>
  <c r="E83" i="48"/>
  <c r="G83" i="48" s="1"/>
  <c r="E84" i="48"/>
  <c r="G84" i="48" s="1"/>
  <c r="E82" i="48"/>
  <c r="G82" i="48" s="1"/>
  <c r="E81" i="48"/>
  <c r="G81" i="48" s="1"/>
  <c r="E85" i="48"/>
  <c r="G85" i="48" s="1"/>
  <c r="N99" i="45"/>
  <c r="O99" i="45"/>
  <c r="P99" i="45" s="1"/>
  <c r="O51" i="45"/>
  <c r="N51" i="45"/>
  <c r="N50" i="45" s="1"/>
  <c r="O15" i="45"/>
  <c r="P15" i="45" s="1"/>
  <c r="N15" i="45"/>
  <c r="E22" i="45"/>
  <c r="G22" i="45" s="1"/>
  <c r="E20" i="45"/>
  <c r="G20" i="45" s="1"/>
  <c r="E19" i="45"/>
  <c r="G19" i="45" s="1"/>
  <c r="E21" i="45"/>
  <c r="G21" i="45" s="1"/>
  <c r="E42" i="45"/>
  <c r="G42" i="45" s="1"/>
  <c r="E41" i="45"/>
  <c r="G41" i="45" s="1"/>
  <c r="O34" i="45"/>
  <c r="P34" i="45" s="1"/>
  <c r="N34" i="45"/>
  <c r="N32" i="45" s="1"/>
  <c r="E84" i="45"/>
  <c r="G84" i="45" s="1"/>
  <c r="E82" i="45"/>
  <c r="G82" i="45" s="1"/>
  <c r="E83" i="45"/>
  <c r="G83" i="45" s="1"/>
  <c r="E81" i="45"/>
  <c r="G81" i="45" s="1"/>
  <c r="E85" i="45"/>
  <c r="G85" i="45" s="1"/>
  <c r="O73" i="45"/>
  <c r="N73" i="45"/>
  <c r="N72" i="45" s="1"/>
  <c r="O36" i="45"/>
  <c r="P36" i="45" s="1"/>
  <c r="N36" i="45"/>
  <c r="O35" i="45"/>
  <c r="P35" i="45" s="1"/>
  <c r="N35" i="45"/>
  <c r="E13" i="45"/>
  <c r="G13" i="45" s="1"/>
  <c r="E14" i="45"/>
  <c r="G14" i="45" s="1"/>
  <c r="E45" i="45"/>
  <c r="G45" i="45" s="1"/>
  <c r="E44" i="45"/>
  <c r="G44" i="45" s="1"/>
  <c r="N78" i="45"/>
  <c r="N77" i="45" s="1"/>
  <c r="N76" i="45" s="1"/>
  <c r="O78" i="45"/>
  <c r="E31" i="45"/>
  <c r="G31" i="45" s="1"/>
  <c r="E28" i="45"/>
  <c r="E24" i="45"/>
  <c r="G24" i="45" s="1"/>
  <c r="C102" i="45"/>
  <c r="P33" i="45"/>
  <c r="O71" i="45"/>
  <c r="N71" i="45"/>
  <c r="N70" i="45" s="1"/>
  <c r="G101" i="45"/>
  <c r="G100" i="45"/>
  <c r="N75" i="45"/>
  <c r="N74" i="45" s="1"/>
  <c r="O75" i="45"/>
  <c r="O94" i="45"/>
  <c r="N94" i="45"/>
  <c r="N93" i="45" s="1"/>
  <c r="G90" i="45"/>
  <c r="G88" i="45"/>
  <c r="O87" i="45" s="1"/>
  <c r="G89" i="45"/>
  <c r="O68" i="45"/>
  <c r="N68" i="45"/>
  <c r="N67" i="45" s="1"/>
  <c r="E39" i="45"/>
  <c r="G39" i="45" s="1"/>
  <c r="E38" i="45"/>
  <c r="G38" i="45" s="1"/>
  <c r="E56" i="45"/>
  <c r="G56" i="45" s="1"/>
  <c r="E57" i="45"/>
  <c r="E53" i="45"/>
  <c r="G53" i="45" s="1"/>
  <c r="E54" i="45"/>
  <c r="G54" i="45" s="1"/>
  <c r="E55" i="45"/>
  <c r="G55" i="45" s="1"/>
  <c r="G11" i="45"/>
  <c r="N98" i="45"/>
  <c r="O98" i="45"/>
  <c r="E62" i="45"/>
  <c r="G62" i="45" s="1"/>
  <c r="E61" i="45"/>
  <c r="G61" i="45" s="1"/>
  <c r="E63" i="45"/>
  <c r="G63" i="45" s="1"/>
  <c r="E64" i="45"/>
  <c r="E48" i="45"/>
  <c r="G48" i="45" s="1"/>
  <c r="E49" i="45"/>
  <c r="G49" i="45" s="1"/>
  <c r="O23" i="42"/>
  <c r="P23" i="42" s="1"/>
  <c r="P24" i="42"/>
  <c r="O74" i="42"/>
  <c r="P74" i="42" s="1"/>
  <c r="P75" i="42"/>
  <c r="O34" i="42"/>
  <c r="P34" i="42" s="1"/>
  <c r="N34" i="42"/>
  <c r="N33" i="42"/>
  <c r="N32" i="42" s="1"/>
  <c r="O33" i="42"/>
  <c r="N48" i="42"/>
  <c r="N47" i="42" s="1"/>
  <c r="O48" i="42"/>
  <c r="E91" i="42"/>
  <c r="G91" i="42" s="1"/>
  <c r="E88" i="42"/>
  <c r="E87" i="42"/>
  <c r="G87" i="42" s="1"/>
  <c r="P68" i="42"/>
  <c r="O67" i="42"/>
  <c r="P67" i="42" s="1"/>
  <c r="O77" i="42"/>
  <c r="P78" i="42"/>
  <c r="O99" i="42"/>
  <c r="P99" i="42" s="1"/>
  <c r="N99" i="42"/>
  <c r="N97" i="42" s="1"/>
  <c r="N83" i="42"/>
  <c r="O83" i="42"/>
  <c r="P83" i="42" s="1"/>
  <c r="O100" i="42"/>
  <c r="P100" i="42" s="1"/>
  <c r="N100" i="42"/>
  <c r="N24" i="42"/>
  <c r="N23" i="42" s="1"/>
  <c r="O40" i="42"/>
  <c r="P40" i="42" s="1"/>
  <c r="P41" i="42"/>
  <c r="P71" i="42"/>
  <c r="O70" i="42"/>
  <c r="O73" i="42"/>
  <c r="N73" i="42"/>
  <c r="N72" i="42" s="1"/>
  <c r="N69" i="42" s="1"/>
  <c r="O94" i="42"/>
  <c r="N94" i="42"/>
  <c r="N93" i="42" s="1"/>
  <c r="N81" i="42"/>
  <c r="O81" i="42"/>
  <c r="N19" i="42"/>
  <c r="N18" i="42" s="1"/>
  <c r="O19" i="42"/>
  <c r="C102" i="42"/>
  <c r="O51" i="42"/>
  <c r="N51" i="42"/>
  <c r="N50" i="42" s="1"/>
  <c r="E62" i="42"/>
  <c r="G62" i="42" s="1"/>
  <c r="E61" i="42"/>
  <c r="G61" i="42" s="1"/>
  <c r="E63" i="42"/>
  <c r="G63" i="42" s="1"/>
  <c r="E64" i="42"/>
  <c r="G16" i="42"/>
  <c r="G15" i="42"/>
  <c r="G17" i="42"/>
  <c r="P38" i="42"/>
  <c r="O37" i="42"/>
  <c r="P37" i="42" s="1"/>
  <c r="E102" i="42"/>
  <c r="G11" i="42"/>
  <c r="O35" i="42"/>
  <c r="P35" i="42" s="1"/>
  <c r="N35" i="42"/>
  <c r="N53" i="42"/>
  <c r="N52" i="42" s="1"/>
  <c r="O53" i="42"/>
  <c r="P44" i="42"/>
  <c r="O43" i="42"/>
  <c r="P43" i="42" s="1"/>
  <c r="P98" i="42"/>
  <c r="E61" i="40"/>
  <c r="G61" i="40" s="1"/>
  <c r="E64" i="40"/>
  <c r="E63" i="40"/>
  <c r="G63" i="40" s="1"/>
  <c r="E62" i="40"/>
  <c r="G62" i="40" s="1"/>
  <c r="E39" i="40"/>
  <c r="G39" i="40" s="1"/>
  <c r="E38" i="40"/>
  <c r="G38" i="40" s="1"/>
  <c r="N24" i="40"/>
  <c r="N23" i="40" s="1"/>
  <c r="O24" i="40"/>
  <c r="E91" i="40"/>
  <c r="G91" i="40" s="1"/>
  <c r="E88" i="40"/>
  <c r="E87" i="40"/>
  <c r="G87" i="40" s="1"/>
  <c r="P51" i="40"/>
  <c r="O50" i="40"/>
  <c r="P50" i="40" s="1"/>
  <c r="P98" i="40"/>
  <c r="O70" i="40"/>
  <c r="P71" i="40"/>
  <c r="O77" i="40"/>
  <c r="P78" i="40"/>
  <c r="N83" i="40"/>
  <c r="O83" i="40"/>
  <c r="P83" i="40" s="1"/>
  <c r="N94" i="40"/>
  <c r="N93" i="40" s="1"/>
  <c r="O94" i="40"/>
  <c r="E44" i="40"/>
  <c r="G44" i="40" s="1"/>
  <c r="E45" i="40"/>
  <c r="G45" i="40" s="1"/>
  <c r="N81" i="40"/>
  <c r="N80" i="40" s="1"/>
  <c r="O81" i="40"/>
  <c r="O19" i="40"/>
  <c r="N19" i="40"/>
  <c r="N18" i="40" s="1"/>
  <c r="P73" i="40"/>
  <c r="O72" i="40"/>
  <c r="P72" i="40" s="1"/>
  <c r="O74" i="40"/>
  <c r="P74" i="40" s="1"/>
  <c r="P75" i="40"/>
  <c r="O99" i="40"/>
  <c r="P99" i="40" s="1"/>
  <c r="N99" i="40"/>
  <c r="G15" i="40"/>
  <c r="G16" i="40"/>
  <c r="G17" i="40"/>
  <c r="C102" i="40"/>
  <c r="G101" i="40"/>
  <c r="G100" i="40"/>
  <c r="O68" i="40"/>
  <c r="N68" i="40"/>
  <c r="N67" i="40" s="1"/>
  <c r="O35" i="40"/>
  <c r="P35" i="40" s="1"/>
  <c r="N35" i="40"/>
  <c r="G57" i="40"/>
  <c r="N53" i="40" s="1"/>
  <c r="N52" i="40" s="1"/>
  <c r="G58" i="40"/>
  <c r="N33" i="40"/>
  <c r="N32" i="40" s="1"/>
  <c r="O33" i="40"/>
  <c r="O48" i="40"/>
  <c r="N48" i="40"/>
  <c r="N47" i="40" s="1"/>
  <c r="E102" i="40"/>
  <c r="G11" i="40"/>
  <c r="N69" i="40"/>
  <c r="G29" i="40"/>
  <c r="G30" i="40"/>
  <c r="G28" i="40"/>
  <c r="N41" i="40"/>
  <c r="N40" i="40" s="1"/>
  <c r="O41" i="40"/>
  <c r="O38" i="28" l="1"/>
  <c r="N38" i="28"/>
  <c r="N37" i="28" s="1"/>
  <c r="N15" i="28"/>
  <c r="O15" i="28"/>
  <c r="P15" i="28" s="1"/>
  <c r="O100" i="28"/>
  <c r="N100" i="28"/>
  <c r="N97" i="28" s="1"/>
  <c r="N92" i="28" s="1"/>
  <c r="O80" i="28"/>
  <c r="P81" i="28"/>
  <c r="O18" i="28"/>
  <c r="P18" i="28" s="1"/>
  <c r="P19" i="28"/>
  <c r="N11" i="28"/>
  <c r="N10" i="28" s="1"/>
  <c r="O11" i="28"/>
  <c r="O47" i="28"/>
  <c r="P48" i="28"/>
  <c r="E102" i="28"/>
  <c r="N46" i="28"/>
  <c r="O53" i="28"/>
  <c r="P77" i="28"/>
  <c r="O76" i="28"/>
  <c r="P76" i="28" s="1"/>
  <c r="P93" i="28"/>
  <c r="P61" i="28"/>
  <c r="O60" i="28"/>
  <c r="O32" i="28"/>
  <c r="P32" i="28" s="1"/>
  <c r="P33" i="28"/>
  <c r="N32" i="28"/>
  <c r="G90" i="28"/>
  <c r="G88" i="28"/>
  <c r="G89" i="28"/>
  <c r="O87" i="28" s="1"/>
  <c r="O69" i="28"/>
  <c r="P69" i="28" s="1"/>
  <c r="P51" i="53"/>
  <c r="O50" i="53"/>
  <c r="P50" i="53" s="1"/>
  <c r="N83" i="53"/>
  <c r="O83" i="53"/>
  <c r="P83" i="53" s="1"/>
  <c r="O41" i="53"/>
  <c r="N41" i="53"/>
  <c r="N40" i="53" s="1"/>
  <c r="O100" i="53"/>
  <c r="P100" i="53" s="1"/>
  <c r="N100" i="53"/>
  <c r="N97" i="53" s="1"/>
  <c r="N92" i="53" s="1"/>
  <c r="N19" i="53"/>
  <c r="N18" i="53" s="1"/>
  <c r="O19" i="53"/>
  <c r="O38" i="53"/>
  <c r="N38" i="53"/>
  <c r="N37" i="53" s="1"/>
  <c r="N81" i="53"/>
  <c r="N80" i="53" s="1"/>
  <c r="O81" i="53"/>
  <c r="G90" i="53"/>
  <c r="G88" i="53"/>
  <c r="O87" i="53" s="1"/>
  <c r="G89" i="53"/>
  <c r="N48" i="53"/>
  <c r="N47" i="53" s="1"/>
  <c r="O48" i="53"/>
  <c r="G29" i="53"/>
  <c r="G28" i="53"/>
  <c r="O24" i="53" s="1"/>
  <c r="G30" i="53"/>
  <c r="G66" i="53"/>
  <c r="G65" i="53"/>
  <c r="O61" i="53" s="1"/>
  <c r="G64" i="53"/>
  <c r="P98" i="53"/>
  <c r="O15" i="53"/>
  <c r="P15" i="53" s="1"/>
  <c r="N15" i="53"/>
  <c r="O72" i="53"/>
  <c r="P72" i="53" s="1"/>
  <c r="P73" i="53"/>
  <c r="N32" i="53"/>
  <c r="O93" i="53"/>
  <c r="P94" i="53"/>
  <c r="O13" i="53"/>
  <c r="P13" i="53" s="1"/>
  <c r="N13" i="53"/>
  <c r="O53" i="53"/>
  <c r="O32" i="53"/>
  <c r="P32" i="53" s="1"/>
  <c r="P33" i="53"/>
  <c r="O77" i="53"/>
  <c r="P78" i="53"/>
  <c r="G57" i="53"/>
  <c r="G58" i="53"/>
  <c r="N53" i="53" s="1"/>
  <c r="N52" i="53" s="1"/>
  <c r="E102" i="53"/>
  <c r="G11" i="53"/>
  <c r="P68" i="53"/>
  <c r="O67" i="53"/>
  <c r="P67" i="53" s="1"/>
  <c r="P71" i="53"/>
  <c r="O70" i="53"/>
  <c r="O74" i="53"/>
  <c r="P74" i="53" s="1"/>
  <c r="P75" i="53"/>
  <c r="N44" i="53"/>
  <c r="N43" i="53" s="1"/>
  <c r="O44" i="53"/>
  <c r="G90" i="52"/>
  <c r="G88" i="52"/>
  <c r="O87" i="52" s="1"/>
  <c r="G89" i="52"/>
  <c r="N11" i="52"/>
  <c r="N10" i="52" s="1"/>
  <c r="G102" i="52"/>
  <c r="O11" i="52"/>
  <c r="P77" i="52"/>
  <c r="O76" i="52"/>
  <c r="P76" i="52" s="1"/>
  <c r="O32" i="52"/>
  <c r="P32" i="52" s="1"/>
  <c r="P33" i="52"/>
  <c r="E102" i="52"/>
  <c r="O100" i="52"/>
  <c r="N100" i="52"/>
  <c r="N97" i="52" s="1"/>
  <c r="N92" i="52" s="1"/>
  <c r="O80" i="52"/>
  <c r="P81" i="52"/>
  <c r="N80" i="52"/>
  <c r="O18" i="52"/>
  <c r="P18" i="52" s="1"/>
  <c r="P19" i="52"/>
  <c r="O52" i="52"/>
  <c r="P52" i="52" s="1"/>
  <c r="P53" i="52"/>
  <c r="P70" i="52"/>
  <c r="O69" i="52"/>
  <c r="P69" i="52" s="1"/>
  <c r="P44" i="52"/>
  <c r="O43" i="52"/>
  <c r="P43" i="52" s="1"/>
  <c r="O47" i="52"/>
  <c r="P48" i="52"/>
  <c r="P93" i="52"/>
  <c r="O38" i="52"/>
  <c r="N38" i="52"/>
  <c r="N37" i="52" s="1"/>
  <c r="N46" i="52"/>
  <c r="N15" i="52"/>
  <c r="O15" i="52"/>
  <c r="P15" i="52" s="1"/>
  <c r="P61" i="52"/>
  <c r="O60" i="52"/>
  <c r="P77" i="51"/>
  <c r="O76" i="51"/>
  <c r="P76" i="51" s="1"/>
  <c r="O61" i="51"/>
  <c r="N46" i="51"/>
  <c r="P93" i="51"/>
  <c r="N11" i="51"/>
  <c r="N10" i="51" s="1"/>
  <c r="N9" i="51" s="1"/>
  <c r="O11" i="51"/>
  <c r="O32" i="51"/>
  <c r="P32" i="51" s="1"/>
  <c r="P33" i="51"/>
  <c r="P70" i="51"/>
  <c r="O69" i="51"/>
  <c r="P69" i="51" s="1"/>
  <c r="O38" i="51"/>
  <c r="N38" i="51"/>
  <c r="N37" i="51" s="1"/>
  <c r="G90" i="51"/>
  <c r="N87" i="51" s="1"/>
  <c r="N86" i="51" s="1"/>
  <c r="N79" i="51" s="1"/>
  <c r="G88" i="51"/>
  <c r="G102" i="51" s="1"/>
  <c r="G89" i="51"/>
  <c r="O47" i="51"/>
  <c r="P48" i="51"/>
  <c r="O53" i="51"/>
  <c r="O100" i="51"/>
  <c r="N100" i="51"/>
  <c r="N97" i="51" s="1"/>
  <c r="N92" i="51" s="1"/>
  <c r="O18" i="51"/>
  <c r="P18" i="51" s="1"/>
  <c r="P19" i="51"/>
  <c r="O80" i="51"/>
  <c r="P81" i="51"/>
  <c r="P44" i="51"/>
  <c r="O43" i="51"/>
  <c r="P43" i="51" s="1"/>
  <c r="N15" i="51"/>
  <c r="O15" i="51"/>
  <c r="P15" i="51" s="1"/>
  <c r="O41" i="50"/>
  <c r="N41" i="50"/>
  <c r="N40" i="50" s="1"/>
  <c r="O19" i="50"/>
  <c r="N19" i="50"/>
  <c r="N18" i="50" s="1"/>
  <c r="P98" i="50"/>
  <c r="O15" i="50"/>
  <c r="P15" i="50" s="1"/>
  <c r="N15" i="50"/>
  <c r="P51" i="50"/>
  <c r="O50" i="50"/>
  <c r="P50" i="50" s="1"/>
  <c r="O32" i="50"/>
  <c r="P32" i="50" s="1"/>
  <c r="P33" i="50"/>
  <c r="N97" i="50"/>
  <c r="N92" i="50" s="1"/>
  <c r="O100" i="50"/>
  <c r="P100" i="50" s="1"/>
  <c r="N100" i="50"/>
  <c r="N69" i="50"/>
  <c r="N83" i="50"/>
  <c r="O83" i="50"/>
  <c r="P83" i="50" s="1"/>
  <c r="P71" i="50"/>
  <c r="O70" i="50"/>
  <c r="N44" i="50"/>
  <c r="N43" i="50" s="1"/>
  <c r="O44" i="50"/>
  <c r="O77" i="50"/>
  <c r="P78" i="50"/>
  <c r="N48" i="50"/>
  <c r="N47" i="50" s="1"/>
  <c r="O48" i="50"/>
  <c r="G57" i="50"/>
  <c r="O53" i="50" s="1"/>
  <c r="G58" i="50"/>
  <c r="O93" i="50"/>
  <c r="P94" i="50"/>
  <c r="N38" i="50"/>
  <c r="N37" i="50" s="1"/>
  <c r="O38" i="50"/>
  <c r="G90" i="50"/>
  <c r="G88" i="50"/>
  <c r="N87" i="50" s="1"/>
  <c r="N86" i="50" s="1"/>
  <c r="G89" i="50"/>
  <c r="P68" i="50"/>
  <c r="O67" i="50"/>
  <c r="P67" i="50" s="1"/>
  <c r="P73" i="50"/>
  <c r="O72" i="50"/>
  <c r="P72" i="50" s="1"/>
  <c r="E102" i="50"/>
  <c r="G11" i="50"/>
  <c r="G29" i="50"/>
  <c r="G28" i="50"/>
  <c r="O24" i="50" s="1"/>
  <c r="G30" i="50"/>
  <c r="O74" i="50"/>
  <c r="P74" i="50" s="1"/>
  <c r="P75" i="50"/>
  <c r="O13" i="50"/>
  <c r="P13" i="50" s="1"/>
  <c r="N13" i="50"/>
  <c r="N53" i="50"/>
  <c r="N52" i="50" s="1"/>
  <c r="N81" i="50"/>
  <c r="N80" i="50" s="1"/>
  <c r="O81" i="50"/>
  <c r="G66" i="50"/>
  <c r="G64" i="50"/>
  <c r="O61" i="50" s="1"/>
  <c r="G65" i="50"/>
  <c r="N61" i="50" s="1"/>
  <c r="N60" i="50" s="1"/>
  <c r="N59" i="50" s="1"/>
  <c r="P71" i="48"/>
  <c r="O70" i="48"/>
  <c r="N19" i="48"/>
  <c r="N18" i="48" s="1"/>
  <c r="O19" i="48"/>
  <c r="O50" i="48"/>
  <c r="P50" i="48" s="1"/>
  <c r="P51" i="48"/>
  <c r="N32" i="48"/>
  <c r="O100" i="48"/>
  <c r="P100" i="48" s="1"/>
  <c r="N100" i="48"/>
  <c r="G66" i="48"/>
  <c r="G64" i="48"/>
  <c r="O61" i="48" s="1"/>
  <c r="G65" i="48"/>
  <c r="G57" i="48"/>
  <c r="N53" i="48" s="1"/>
  <c r="N52" i="48" s="1"/>
  <c r="G58" i="48"/>
  <c r="O53" i="48" s="1"/>
  <c r="N44" i="48"/>
  <c r="N43" i="48" s="1"/>
  <c r="O44" i="48"/>
  <c r="N81" i="48"/>
  <c r="O81" i="48"/>
  <c r="O77" i="48"/>
  <c r="P78" i="48"/>
  <c r="G90" i="48"/>
  <c r="G88" i="48"/>
  <c r="N87" i="48" s="1"/>
  <c r="N86" i="48" s="1"/>
  <c r="G89" i="48"/>
  <c r="O87" i="48" s="1"/>
  <c r="O32" i="48"/>
  <c r="P32" i="48" s="1"/>
  <c r="P33" i="48"/>
  <c r="N83" i="48"/>
  <c r="O83" i="48"/>
  <c r="P83" i="48" s="1"/>
  <c r="P68" i="48"/>
  <c r="O67" i="48"/>
  <c r="P67" i="48" s="1"/>
  <c r="N69" i="48"/>
  <c r="O41" i="48"/>
  <c r="N41" i="48"/>
  <c r="N40" i="48" s="1"/>
  <c r="N48" i="48"/>
  <c r="N47" i="48" s="1"/>
  <c r="O48" i="48"/>
  <c r="O13" i="48"/>
  <c r="P13" i="48" s="1"/>
  <c r="N13" i="48"/>
  <c r="O74" i="48"/>
  <c r="P74" i="48" s="1"/>
  <c r="P75" i="48"/>
  <c r="P98" i="48"/>
  <c r="O38" i="48"/>
  <c r="N38" i="48"/>
  <c r="N37" i="48" s="1"/>
  <c r="P73" i="48"/>
  <c r="O72" i="48"/>
  <c r="P72" i="48" s="1"/>
  <c r="O93" i="48"/>
  <c r="P94" i="48"/>
  <c r="N97" i="48"/>
  <c r="N92" i="48" s="1"/>
  <c r="G29" i="48"/>
  <c r="G30" i="48"/>
  <c r="G28" i="48"/>
  <c r="O24" i="48" s="1"/>
  <c r="E102" i="48"/>
  <c r="G11" i="48"/>
  <c r="O86" i="45"/>
  <c r="P86" i="45" s="1"/>
  <c r="P87" i="45"/>
  <c r="O97" i="45"/>
  <c r="P97" i="45" s="1"/>
  <c r="P98" i="45"/>
  <c r="O38" i="45"/>
  <c r="N38" i="45"/>
  <c r="N37" i="45" s="1"/>
  <c r="O93" i="45"/>
  <c r="P94" i="45"/>
  <c r="O32" i="45"/>
  <c r="P32" i="45" s="1"/>
  <c r="P73" i="45"/>
  <c r="O72" i="45"/>
  <c r="P72" i="45" s="1"/>
  <c r="O41" i="45"/>
  <c r="N41" i="45"/>
  <c r="N40" i="45" s="1"/>
  <c r="O11" i="45"/>
  <c r="N11" i="45"/>
  <c r="O74" i="45"/>
  <c r="P74" i="45" s="1"/>
  <c r="P75" i="45"/>
  <c r="P51" i="45"/>
  <c r="O50" i="45"/>
  <c r="P50" i="45" s="1"/>
  <c r="N48" i="45"/>
  <c r="N47" i="45" s="1"/>
  <c r="O48" i="45"/>
  <c r="E102" i="45"/>
  <c r="O13" i="45"/>
  <c r="P13" i="45" s="1"/>
  <c r="N13" i="45"/>
  <c r="N81" i="45"/>
  <c r="O81" i="45"/>
  <c r="N87" i="45"/>
  <c r="N86" i="45" s="1"/>
  <c r="P71" i="45"/>
  <c r="O70" i="45"/>
  <c r="N44" i="45"/>
  <c r="N43" i="45" s="1"/>
  <c r="O44" i="45"/>
  <c r="G66" i="45"/>
  <c r="G64" i="45"/>
  <c r="O61" i="45" s="1"/>
  <c r="G65" i="45"/>
  <c r="P68" i="45"/>
  <c r="O67" i="45"/>
  <c r="P67" i="45" s="1"/>
  <c r="O100" i="45"/>
  <c r="P100" i="45" s="1"/>
  <c r="N100" i="45"/>
  <c r="N97" i="45" s="1"/>
  <c r="N92" i="45" s="1"/>
  <c r="G29" i="45"/>
  <c r="G30" i="45"/>
  <c r="G28" i="45"/>
  <c r="G102" i="45" s="1"/>
  <c r="N83" i="45"/>
  <c r="O83" i="45"/>
  <c r="P83" i="45" s="1"/>
  <c r="N19" i="45"/>
  <c r="N18" i="45" s="1"/>
  <c r="O19" i="45"/>
  <c r="G57" i="45"/>
  <c r="G58" i="45"/>
  <c r="N53" i="45" s="1"/>
  <c r="N52" i="45" s="1"/>
  <c r="O53" i="45"/>
  <c r="N69" i="45"/>
  <c r="O77" i="45"/>
  <c r="P78" i="45"/>
  <c r="P51" i="42"/>
  <c r="O50" i="42"/>
  <c r="P50" i="42" s="1"/>
  <c r="O18" i="42"/>
  <c r="P18" i="42" s="1"/>
  <c r="P19" i="42"/>
  <c r="P70" i="42"/>
  <c r="N87" i="42"/>
  <c r="N86" i="42" s="1"/>
  <c r="O87" i="42"/>
  <c r="G66" i="42"/>
  <c r="G64" i="42"/>
  <c r="G65" i="42"/>
  <c r="G102" i="42" s="1"/>
  <c r="G90" i="42"/>
  <c r="G88" i="42"/>
  <c r="G89" i="42"/>
  <c r="P73" i="42"/>
  <c r="O72" i="42"/>
  <c r="P72" i="42" s="1"/>
  <c r="N11" i="42"/>
  <c r="N10" i="42" s="1"/>
  <c r="N9" i="42" s="1"/>
  <c r="O11" i="42"/>
  <c r="O80" i="42"/>
  <c r="P81" i="42"/>
  <c r="O97" i="42"/>
  <c r="P97" i="42" s="1"/>
  <c r="O61" i="42"/>
  <c r="N61" i="42"/>
  <c r="N60" i="42" s="1"/>
  <c r="N59" i="42" s="1"/>
  <c r="N80" i="42"/>
  <c r="O47" i="42"/>
  <c r="P48" i="42"/>
  <c r="O15" i="42"/>
  <c r="P15" i="42" s="1"/>
  <c r="N15" i="42"/>
  <c r="N92" i="42"/>
  <c r="P77" i="42"/>
  <c r="O76" i="42"/>
  <c r="P76" i="42" s="1"/>
  <c r="N46" i="42"/>
  <c r="O52" i="42"/>
  <c r="P52" i="42" s="1"/>
  <c r="P53" i="42"/>
  <c r="O93" i="42"/>
  <c r="P94" i="42"/>
  <c r="O32" i="42"/>
  <c r="P32" i="42" s="1"/>
  <c r="P33" i="42"/>
  <c r="O40" i="40"/>
  <c r="P40" i="40" s="1"/>
  <c r="P41" i="40"/>
  <c r="N46" i="40"/>
  <c r="O38" i="40"/>
  <c r="N38" i="40"/>
  <c r="N37" i="40" s="1"/>
  <c r="O93" i="40"/>
  <c r="P94" i="40"/>
  <c r="O18" i="40"/>
  <c r="P18" i="40" s="1"/>
  <c r="P19" i="40"/>
  <c r="O47" i="40"/>
  <c r="P48" i="40"/>
  <c r="P33" i="40"/>
  <c r="O32" i="40"/>
  <c r="P32" i="40" s="1"/>
  <c r="O80" i="40"/>
  <c r="P81" i="40"/>
  <c r="O23" i="40"/>
  <c r="P23" i="40" s="1"/>
  <c r="P24" i="40"/>
  <c r="O87" i="40"/>
  <c r="N87" i="40"/>
  <c r="N86" i="40" s="1"/>
  <c r="N79" i="40" s="1"/>
  <c r="N15" i="40"/>
  <c r="O15" i="40"/>
  <c r="P15" i="40" s="1"/>
  <c r="O67" i="40"/>
  <c r="P67" i="40" s="1"/>
  <c r="P68" i="40"/>
  <c r="O53" i="40"/>
  <c r="O100" i="40"/>
  <c r="P100" i="40" s="1"/>
  <c r="N100" i="40"/>
  <c r="N97" i="40" s="1"/>
  <c r="N92" i="40" s="1"/>
  <c r="O76" i="40"/>
  <c r="P76" i="40" s="1"/>
  <c r="P77" i="40"/>
  <c r="G90" i="40"/>
  <c r="G88" i="40"/>
  <c r="G89" i="40"/>
  <c r="G66" i="40"/>
  <c r="G64" i="40"/>
  <c r="G65" i="40"/>
  <c r="O11" i="40"/>
  <c r="G102" i="40"/>
  <c r="N11" i="40"/>
  <c r="P70" i="40"/>
  <c r="O69" i="40"/>
  <c r="P69" i="40" s="1"/>
  <c r="O44" i="40"/>
  <c r="N44" i="40"/>
  <c r="N43" i="40" s="1"/>
  <c r="O61" i="40"/>
  <c r="N61" i="40"/>
  <c r="N60" i="40" s="1"/>
  <c r="N59" i="40" s="1"/>
  <c r="O86" i="28" l="1"/>
  <c r="P86" i="28" s="1"/>
  <c r="P87" i="28"/>
  <c r="P80" i="28"/>
  <c r="O79" i="28"/>
  <c r="P79" i="28" s="1"/>
  <c r="N87" i="28"/>
  <c r="N86" i="28" s="1"/>
  <c r="N79" i="28" s="1"/>
  <c r="G102" i="28"/>
  <c r="O10" i="28"/>
  <c r="P11" i="28"/>
  <c r="N9" i="28"/>
  <c r="P100" i="28"/>
  <c r="O97" i="28"/>
  <c r="O52" i="28"/>
  <c r="P52" i="28" s="1"/>
  <c r="P53" i="28"/>
  <c r="P47" i="28"/>
  <c r="O59" i="28"/>
  <c r="P59" i="28" s="1"/>
  <c r="P60" i="28"/>
  <c r="P38" i="28"/>
  <c r="O37" i="28"/>
  <c r="P37" i="28" s="1"/>
  <c r="O86" i="53"/>
  <c r="P86" i="53" s="1"/>
  <c r="P87" i="53"/>
  <c r="P61" i="53"/>
  <c r="O60" i="53"/>
  <c r="O23" i="53"/>
  <c r="P23" i="53" s="1"/>
  <c r="P24" i="53"/>
  <c r="N87" i="53"/>
  <c r="N86" i="53" s="1"/>
  <c r="N79" i="53"/>
  <c r="N24" i="53"/>
  <c r="N23" i="53" s="1"/>
  <c r="N61" i="53"/>
  <c r="N60" i="53" s="1"/>
  <c r="N59" i="53" s="1"/>
  <c r="O80" i="53"/>
  <c r="P81" i="53"/>
  <c r="P77" i="53"/>
  <c r="O76" i="53"/>
  <c r="P76" i="53" s="1"/>
  <c r="O97" i="53"/>
  <c r="P97" i="53" s="1"/>
  <c r="O47" i="53"/>
  <c r="P48" i="53"/>
  <c r="P38" i="53"/>
  <c r="O37" i="53"/>
  <c r="P37" i="53" s="1"/>
  <c r="O40" i="53"/>
  <c r="P40" i="53" s="1"/>
  <c r="P41" i="53"/>
  <c r="O52" i="53"/>
  <c r="P52" i="53" s="1"/>
  <c r="P53" i="53"/>
  <c r="P70" i="53"/>
  <c r="O69" i="53"/>
  <c r="P69" i="53" s="1"/>
  <c r="P44" i="53"/>
  <c r="O43" i="53"/>
  <c r="P43" i="53" s="1"/>
  <c r="G102" i="53"/>
  <c r="O11" i="53"/>
  <c r="N11" i="53"/>
  <c r="N10" i="53" s="1"/>
  <c r="P93" i="53"/>
  <c r="O92" i="53"/>
  <c r="P92" i="53" s="1"/>
  <c r="N46" i="53"/>
  <c r="O18" i="53"/>
  <c r="P18" i="53" s="1"/>
  <c r="P19" i="53"/>
  <c r="O86" i="52"/>
  <c r="P86" i="52" s="1"/>
  <c r="P87" i="52"/>
  <c r="P80" i="52"/>
  <c r="P100" i="52"/>
  <c r="O97" i="52"/>
  <c r="P60" i="52"/>
  <c r="O59" i="52"/>
  <c r="P59" i="52" s="1"/>
  <c r="P47" i="52"/>
  <c r="O46" i="52"/>
  <c r="P46" i="52" s="1"/>
  <c r="N87" i="52"/>
  <c r="N86" i="52" s="1"/>
  <c r="N79" i="52" s="1"/>
  <c r="O10" i="52"/>
  <c r="P11" i="52"/>
  <c r="P38" i="52"/>
  <c r="O37" i="52"/>
  <c r="P37" i="52" s="1"/>
  <c r="N9" i="52"/>
  <c r="P80" i="51"/>
  <c r="P47" i="51"/>
  <c r="O46" i="51"/>
  <c r="P46" i="51" s="1"/>
  <c r="O87" i="51"/>
  <c r="O52" i="51"/>
  <c r="P52" i="51" s="1"/>
  <c r="P53" i="51"/>
  <c r="P61" i="51"/>
  <c r="O60" i="51"/>
  <c r="N4" i="51"/>
  <c r="P100" i="51"/>
  <c r="O97" i="51"/>
  <c r="P38" i="51"/>
  <c r="O37" i="51"/>
  <c r="P37" i="51" s="1"/>
  <c r="O10" i="51"/>
  <c r="P11" i="51"/>
  <c r="P61" i="50"/>
  <c r="O60" i="50"/>
  <c r="O23" i="50"/>
  <c r="P23" i="50" s="1"/>
  <c r="P24" i="50"/>
  <c r="O52" i="50"/>
  <c r="P52" i="50" s="1"/>
  <c r="P53" i="50"/>
  <c r="P70" i="50"/>
  <c r="O69" i="50"/>
  <c r="P69" i="50" s="1"/>
  <c r="N46" i="50"/>
  <c r="O97" i="50"/>
  <c r="P97" i="50" s="1"/>
  <c r="O87" i="50"/>
  <c r="O47" i="50"/>
  <c r="P48" i="50"/>
  <c r="N11" i="50"/>
  <c r="N10" i="50" s="1"/>
  <c r="N9" i="50" s="1"/>
  <c r="N4" i="50" s="1"/>
  <c r="G102" i="50"/>
  <c r="O11" i="50"/>
  <c r="P38" i="50"/>
  <c r="O37" i="50"/>
  <c r="P37" i="50" s="1"/>
  <c r="O80" i="50"/>
  <c r="P81" i="50"/>
  <c r="P93" i="50"/>
  <c r="O92" i="50"/>
  <c r="P92" i="50" s="1"/>
  <c r="P77" i="50"/>
  <c r="O76" i="50"/>
  <c r="P76" i="50" s="1"/>
  <c r="O18" i="50"/>
  <c r="P18" i="50" s="1"/>
  <c r="P19" i="50"/>
  <c r="N79" i="50"/>
  <c r="N24" i="50"/>
  <c r="N23" i="50" s="1"/>
  <c r="P44" i="50"/>
  <c r="O43" i="50"/>
  <c r="P43" i="50" s="1"/>
  <c r="O40" i="50"/>
  <c r="P40" i="50" s="1"/>
  <c r="P41" i="50"/>
  <c r="O52" i="48"/>
  <c r="P52" i="48" s="1"/>
  <c r="P53" i="48"/>
  <c r="P61" i="48"/>
  <c r="O60" i="48"/>
  <c r="O23" i="48"/>
  <c r="P23" i="48" s="1"/>
  <c r="P24" i="48"/>
  <c r="O86" i="48"/>
  <c r="P86" i="48" s="1"/>
  <c r="P87" i="48"/>
  <c r="P93" i="48"/>
  <c r="O97" i="48"/>
  <c r="P97" i="48" s="1"/>
  <c r="N61" i="48"/>
  <c r="N60" i="48" s="1"/>
  <c r="N59" i="48" s="1"/>
  <c r="O80" i="48"/>
  <c r="P81" i="48"/>
  <c r="N46" i="48"/>
  <c r="P77" i="48"/>
  <c r="O76" i="48"/>
  <c r="P76" i="48" s="1"/>
  <c r="G102" i="48"/>
  <c r="O11" i="48"/>
  <c r="N11" i="48"/>
  <c r="N10" i="48" s="1"/>
  <c r="N80" i="48"/>
  <c r="N79" i="48" s="1"/>
  <c r="P44" i="48"/>
  <c r="O43" i="48"/>
  <c r="P43" i="48" s="1"/>
  <c r="O40" i="48"/>
  <c r="P40" i="48" s="1"/>
  <c r="P41" i="48"/>
  <c r="P38" i="48"/>
  <c r="O37" i="48"/>
  <c r="P37" i="48" s="1"/>
  <c r="O18" i="48"/>
  <c r="P18" i="48" s="1"/>
  <c r="P19" i="48"/>
  <c r="N24" i="48"/>
  <c r="N23" i="48" s="1"/>
  <c r="O47" i="48"/>
  <c r="P48" i="48"/>
  <c r="P70" i="48"/>
  <c r="O69" i="48"/>
  <c r="P69" i="48" s="1"/>
  <c r="P61" i="45"/>
  <c r="O60" i="45"/>
  <c r="P44" i="45"/>
  <c r="O43" i="45"/>
  <c r="P43" i="45" s="1"/>
  <c r="O18" i="45"/>
  <c r="P18" i="45" s="1"/>
  <c r="P19" i="45"/>
  <c r="N24" i="45"/>
  <c r="N23" i="45" s="1"/>
  <c r="O40" i="45"/>
  <c r="P40" i="45" s="1"/>
  <c r="P41" i="45"/>
  <c r="O52" i="45"/>
  <c r="P52" i="45" s="1"/>
  <c r="P53" i="45"/>
  <c r="P38" i="45"/>
  <c r="O37" i="45"/>
  <c r="P37" i="45" s="1"/>
  <c r="N61" i="45"/>
  <c r="N60" i="45" s="1"/>
  <c r="N59" i="45" s="1"/>
  <c r="O69" i="45"/>
  <c r="P69" i="45" s="1"/>
  <c r="P70" i="45"/>
  <c r="O24" i="45"/>
  <c r="N10" i="45"/>
  <c r="N9" i="45" s="1"/>
  <c r="N4" i="45" s="1"/>
  <c r="O47" i="45"/>
  <c r="P48" i="45"/>
  <c r="P11" i="45"/>
  <c r="O10" i="45"/>
  <c r="O80" i="45"/>
  <c r="P81" i="45"/>
  <c r="N46" i="45"/>
  <c r="P77" i="45"/>
  <c r="O76" i="45"/>
  <c r="P76" i="45" s="1"/>
  <c r="N80" i="45"/>
  <c r="N79" i="45" s="1"/>
  <c r="P93" i="45"/>
  <c r="O92" i="45"/>
  <c r="P92" i="45" s="1"/>
  <c r="O69" i="42"/>
  <c r="P69" i="42" s="1"/>
  <c r="P61" i="42"/>
  <c r="O60" i="42"/>
  <c r="O86" i="42"/>
  <c r="P86" i="42" s="1"/>
  <c r="P87" i="42"/>
  <c r="P80" i="42"/>
  <c r="O79" i="42"/>
  <c r="P79" i="42" s="1"/>
  <c r="O10" i="42"/>
  <c r="P11" i="42"/>
  <c r="P47" i="42"/>
  <c r="O46" i="42"/>
  <c r="P46" i="42" s="1"/>
  <c r="P93" i="42"/>
  <c r="O92" i="42"/>
  <c r="P92" i="42" s="1"/>
  <c r="N79" i="42"/>
  <c r="N4" i="42" s="1"/>
  <c r="P93" i="40"/>
  <c r="P38" i="40"/>
  <c r="O37" i="40"/>
  <c r="P37" i="40" s="1"/>
  <c r="P61" i="40"/>
  <c r="O60" i="40"/>
  <c r="O52" i="40"/>
  <c r="P52" i="40" s="1"/>
  <c r="P53" i="40"/>
  <c r="O10" i="40"/>
  <c r="P11" i="40"/>
  <c r="O86" i="40"/>
  <c r="P86" i="40" s="1"/>
  <c r="P87" i="40"/>
  <c r="P47" i="40"/>
  <c r="O97" i="40"/>
  <c r="P97" i="40" s="1"/>
  <c r="P44" i="40"/>
  <c r="O43" i="40"/>
  <c r="P43" i="40" s="1"/>
  <c r="N10" i="40"/>
  <c r="N9" i="40" s="1"/>
  <c r="N4" i="40" s="1"/>
  <c r="O79" i="40"/>
  <c r="P79" i="40" s="1"/>
  <c r="P80" i="40"/>
  <c r="O46" i="28" l="1"/>
  <c r="P46" i="28" s="1"/>
  <c r="P10" i="28"/>
  <c r="O9" i="28"/>
  <c r="P97" i="28"/>
  <c r="O92" i="28"/>
  <c r="P92" i="28" s="1"/>
  <c r="N4" i="28"/>
  <c r="O10" i="53"/>
  <c r="P11" i="53"/>
  <c r="P47" i="53"/>
  <c r="O46" i="53"/>
  <c r="P46" i="53" s="1"/>
  <c r="N9" i="53"/>
  <c r="N4" i="53" s="1"/>
  <c r="P80" i="53"/>
  <c r="O79" i="53"/>
  <c r="P79" i="53" s="1"/>
  <c r="P60" i="53"/>
  <c r="O59" i="53"/>
  <c r="P59" i="53" s="1"/>
  <c r="P97" i="52"/>
  <c r="O92" i="52"/>
  <c r="P92" i="52" s="1"/>
  <c r="O79" i="52"/>
  <c r="P79" i="52" s="1"/>
  <c r="P10" i="52"/>
  <c r="O9" i="52"/>
  <c r="N4" i="52"/>
  <c r="P10" i="51"/>
  <c r="O9" i="51"/>
  <c r="P97" i="51"/>
  <c r="O92" i="51"/>
  <c r="P92" i="51" s="1"/>
  <c r="O86" i="51"/>
  <c r="P87" i="51"/>
  <c r="P60" i="51"/>
  <c r="O59" i="51"/>
  <c r="P59" i="51" s="1"/>
  <c r="P80" i="50"/>
  <c r="P47" i="50"/>
  <c r="O46" i="50"/>
  <c r="P46" i="50" s="1"/>
  <c r="O86" i="50"/>
  <c r="P86" i="50" s="1"/>
  <c r="P87" i="50"/>
  <c r="P60" i="50"/>
  <c r="O59" i="50"/>
  <c r="P59" i="50" s="1"/>
  <c r="O10" i="50"/>
  <c r="P11" i="50"/>
  <c r="N9" i="48"/>
  <c r="N4" i="48" s="1"/>
  <c r="P80" i="48"/>
  <c r="O79" i="48"/>
  <c r="P79" i="48" s="1"/>
  <c r="O10" i="48"/>
  <c r="P11" i="48"/>
  <c r="P47" i="48"/>
  <c r="O46" i="48"/>
  <c r="P46" i="48" s="1"/>
  <c r="P60" i="48"/>
  <c r="O59" i="48"/>
  <c r="P59" i="48" s="1"/>
  <c r="O92" i="48"/>
  <c r="P92" i="48" s="1"/>
  <c r="O23" i="45"/>
  <c r="P23" i="45" s="1"/>
  <c r="P24" i="45"/>
  <c r="O9" i="45"/>
  <c r="P10" i="45"/>
  <c r="P60" i="45"/>
  <c r="O59" i="45"/>
  <c r="P59" i="45" s="1"/>
  <c r="P80" i="45"/>
  <c r="O79" i="45"/>
  <c r="P79" i="45" s="1"/>
  <c r="P47" i="45"/>
  <c r="O46" i="45"/>
  <c r="P46" i="45" s="1"/>
  <c r="P60" i="42"/>
  <c r="O59" i="42"/>
  <c r="P59" i="42" s="1"/>
  <c r="P10" i="42"/>
  <c r="O9" i="42"/>
  <c r="P60" i="40"/>
  <c r="O59" i="40"/>
  <c r="P59" i="40" s="1"/>
  <c r="O46" i="40"/>
  <c r="P46" i="40" s="1"/>
  <c r="O92" i="40"/>
  <c r="P92" i="40" s="1"/>
  <c r="O9" i="40"/>
  <c r="P10" i="40"/>
  <c r="O4" i="28" l="1"/>
  <c r="P4" i="28" s="1"/>
  <c r="P9" i="28"/>
  <c r="O9" i="53"/>
  <c r="P10" i="53"/>
  <c r="O4" i="52"/>
  <c r="P4" i="52" s="1"/>
  <c r="P9" i="52"/>
  <c r="P86" i="51"/>
  <c r="O79" i="51"/>
  <c r="P79" i="51" s="1"/>
  <c r="P9" i="51"/>
  <c r="P10" i="50"/>
  <c r="O9" i="50"/>
  <c r="O79" i="50"/>
  <c r="P79" i="50" s="1"/>
  <c r="O9" i="48"/>
  <c r="P10" i="48"/>
  <c r="O4" i="45"/>
  <c r="P4" i="45" s="1"/>
  <c r="P9" i="45"/>
  <c r="O4" i="42"/>
  <c r="P4" i="42" s="1"/>
  <c r="P9" i="42"/>
  <c r="P9" i="40"/>
  <c r="O4" i="40"/>
  <c r="P4" i="40" s="1"/>
  <c r="P9" i="53" l="1"/>
  <c r="O4" i="53"/>
  <c r="P4" i="53" s="1"/>
  <c r="O4" i="51"/>
  <c r="P4" i="51" s="1"/>
  <c r="O4" i="50"/>
  <c r="P4" i="50" s="1"/>
  <c r="P9" i="50"/>
  <c r="P9" i="48"/>
  <c r="O4" i="48"/>
  <c r="P4" i="48" s="1"/>
  <c r="F101" i="2" l="1"/>
  <c r="F100" i="2"/>
  <c r="F99" i="2"/>
  <c r="F98" i="2"/>
  <c r="E21" i="25" s="1"/>
  <c r="F95" i="2"/>
  <c r="F94" i="2"/>
  <c r="E20" i="25" s="1"/>
  <c r="F93" i="2"/>
  <c r="F84" i="2"/>
  <c r="F82" i="2"/>
  <c r="F81" i="2"/>
  <c r="F79" i="2"/>
  <c r="F78" i="2"/>
  <c r="F77" i="2"/>
  <c r="F76" i="2"/>
  <c r="F74" i="2"/>
  <c r="F73" i="2"/>
  <c r="F72" i="2"/>
  <c r="F71" i="2"/>
  <c r="F69" i="2"/>
  <c r="F68" i="2"/>
  <c r="F62" i="2"/>
  <c r="F61" i="2"/>
  <c r="F60" i="2"/>
  <c r="F54" i="2"/>
  <c r="F53" i="2"/>
  <c r="F49" i="2"/>
  <c r="F48" i="2"/>
  <c r="F45" i="2"/>
  <c r="F44" i="2"/>
  <c r="F42" i="2"/>
  <c r="F41" i="2"/>
  <c r="F39" i="2"/>
  <c r="F36" i="2"/>
  <c r="F37" i="2"/>
  <c r="F38" i="2"/>
  <c r="F35" i="2"/>
  <c r="F34" i="2"/>
  <c r="F33" i="2"/>
  <c r="F25" i="2"/>
  <c r="F24" i="2"/>
  <c r="F20" i="2"/>
  <c r="F19" i="2"/>
  <c r="F16" i="2"/>
  <c r="F14" i="2"/>
  <c r="F12" i="2"/>
  <c r="F11" i="2"/>
  <c r="E3" i="17" s="1"/>
  <c r="E2" i="25" s="1"/>
  <c r="F10" i="2"/>
  <c r="E2" i="17" s="1"/>
  <c r="B4" i="24" s="1"/>
  <c r="F75" i="2" l="1"/>
  <c r="F87" i="2" l="1"/>
  <c r="F88" i="2"/>
  <c r="F80" i="2" l="1"/>
  <c r="K15" i="19" l="1"/>
  <c r="K14" i="19"/>
  <c r="K12" i="19"/>
  <c r="L13" i="19" s="1"/>
  <c r="L14" i="19" l="1"/>
  <c r="M14" i="19"/>
  <c r="K13" i="19"/>
  <c r="L15" i="19" s="1"/>
  <c r="M15" i="19" s="1"/>
  <c r="E20" i="17" l="1"/>
  <c r="E16" i="25" s="1"/>
  <c r="J15" i="2"/>
  <c r="J14" i="2"/>
  <c r="J12" i="2"/>
  <c r="K14" i="2" s="1"/>
  <c r="J13" i="2" l="1"/>
  <c r="K15" i="2" s="1"/>
  <c r="L15" i="2" s="1"/>
  <c r="L14" i="2"/>
  <c r="K13" i="2"/>
  <c r="E11" i="17" l="1"/>
  <c r="E9" i="25" s="1"/>
  <c r="E8" i="17" l="1"/>
  <c r="E7" i="25" s="1"/>
  <c r="F51" i="2" l="1"/>
  <c r="F52" i="2"/>
  <c r="F47" i="2" l="1"/>
  <c r="E6" i="17" l="1"/>
  <c r="E5" i="25" s="1"/>
  <c r="E16" i="17" l="1"/>
  <c r="E13" i="25" s="1"/>
  <c r="E7" i="17"/>
  <c r="E6" i="25" s="1"/>
  <c r="E5" i="17"/>
  <c r="E4" i="25" s="1"/>
  <c r="E4" i="17" l="1"/>
  <c r="E3" i="25" s="1"/>
  <c r="E13" i="17" l="1"/>
  <c r="E11" i="25" s="1"/>
  <c r="E19" i="17" l="1"/>
  <c r="E15" i="25" s="1"/>
  <c r="E27" i="17" l="1"/>
  <c r="E22" i="25" s="1"/>
  <c r="E12" i="17"/>
  <c r="E10" i="25" s="1"/>
  <c r="E10" i="17" l="1"/>
  <c r="B5" i="24" s="1"/>
  <c r="E24" i="17" l="1"/>
  <c r="E18" i="25" s="1"/>
  <c r="E18" i="17" l="1"/>
  <c r="E14" i="25" s="1"/>
  <c r="F70" i="2" l="1"/>
  <c r="E17" i="17" s="1"/>
  <c r="B7" i="24" s="1"/>
  <c r="E14" i="17" l="1"/>
  <c r="B6" i="24" s="1"/>
  <c r="E25" i="17"/>
  <c r="E19" i="25" s="1"/>
  <c r="E23" i="17"/>
  <c r="B9" i="24" s="1"/>
  <c r="E28" i="17"/>
  <c r="E23" i="25" s="1"/>
  <c r="E26" i="17"/>
  <c r="B10" i="24" s="1"/>
  <c r="E15" i="17" l="1"/>
  <c r="E12" i="25" s="1"/>
  <c r="E9" i="17"/>
  <c r="E8" i="25" s="1"/>
  <c r="E22" i="17" l="1"/>
  <c r="E17" i="25" s="1"/>
  <c r="F6" i="2"/>
  <c r="E21" i="17"/>
  <c r="B8" i="2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HP</author>
  </authors>
  <commentList>
    <comment ref="H19" authorId="0" shapeId="0" xr:uid="{8DC3D2B8-4ADA-4AC6-9CD3-14DDD4A83E34}">
      <text>
        <r>
          <rPr>
            <b/>
            <sz val="9"/>
            <color indexed="81"/>
            <rFont val="Tahoma"/>
            <family val="2"/>
          </rPr>
          <t>HP:</t>
        </r>
        <r>
          <rPr>
            <sz val="9"/>
            <color indexed="81"/>
            <rFont val="Tahoma"/>
            <family val="2"/>
          </rPr>
          <t xml:space="preserve">
2017;Botswana National commission on UNESCO</t>
        </r>
      </text>
    </comment>
  </commentList>
</comments>
</file>

<file path=xl/sharedStrings.xml><?xml version="1.0" encoding="utf-8"?>
<sst xmlns="http://schemas.openxmlformats.org/spreadsheetml/2006/main" count="4261" uniqueCount="679">
  <si>
    <t>ASPIRATION 1:  A PROSPEROUS AFRICA BASED ON INCLUSIVE GROWTH AND SUSTAINABLE DEVELOPMENT</t>
  </si>
  <si>
    <t>Goal 1: A High Standard of Living, Quality of Life and Well Being for All</t>
  </si>
  <si>
    <t>Priority Area</t>
  </si>
  <si>
    <t>Agenda 2063 Target</t>
  </si>
  <si>
    <t>1. Incomes, Jobs and decent work</t>
  </si>
  <si>
    <t>GNI per capita</t>
  </si>
  <si>
    <t>2. Poverty, Inequality and Hunger</t>
  </si>
  <si>
    <t>b) Prevalence of underweight among children under 5</t>
  </si>
  <si>
    <t>% of population with access to safe drinking water</t>
  </si>
  <si>
    <t>3. Modern and Liveable Habitats and Basic Quality Services</t>
  </si>
  <si>
    <t>c)% of population with access to internet</t>
  </si>
  <si>
    <t>Goal 2: Well Educated Citizens and Skills revolution underpinned by Science, Technology and Innovation</t>
  </si>
  <si>
    <t xml:space="preserve">1. Education and STI driven Skills Revolution   </t>
  </si>
  <si>
    <t>Goal 3: Healthy and Well-Nourished Citizens</t>
  </si>
  <si>
    <t>1. Health and Nutrition</t>
  </si>
  <si>
    <t xml:space="preserve">a) Maternal mortality ratio                                                                                 </t>
  </si>
  <si>
    <t>b) Neo-natal mortality rate</t>
  </si>
  <si>
    <t xml:space="preserve">c) Under five mortality rate  </t>
  </si>
  <si>
    <t>Goal 4: Transformed Economies and Job Creation</t>
  </si>
  <si>
    <t xml:space="preserve">1. Sustainable inclusive economic growth </t>
  </si>
  <si>
    <t>2. STI driven Manufacturing / Industrialization and Value Addition</t>
  </si>
  <si>
    <t xml:space="preserve">Manufacturing value added as % of GDP </t>
  </si>
  <si>
    <t>3. Economic diversification and resilience</t>
  </si>
  <si>
    <t>Research and development expenditure as a proportion of GDP</t>
  </si>
  <si>
    <t xml:space="preserve">4. Hospitality / Tourism </t>
  </si>
  <si>
    <t>Tourism value added as a proportion of GDP</t>
  </si>
  <si>
    <t>Goal 5: Modern Agriculture for increased productivity and production</t>
  </si>
  <si>
    <t>1. Agricultural  productivity and production</t>
  </si>
  <si>
    <t>Goal 6: Blue/ ocean economy for accelerated economic growth</t>
  </si>
  <si>
    <t>1. Marine resources  and Energy</t>
  </si>
  <si>
    <t>Fishery Sector value added ( as share of GDP)</t>
  </si>
  <si>
    <t>Marine biotechnology value added as a % of GDP</t>
  </si>
  <si>
    <t>Goal 7: Environmentally sustainable climate resilient economies and communities</t>
  </si>
  <si>
    <t>1. Bio-diversity, conservation and sustainable natural resource management.</t>
  </si>
  <si>
    <t>% of agricultural land placed under sustainable land management practice.</t>
  </si>
  <si>
    <t xml:space="preserve">a) % of terrestrial and inland water areas preserved.                                                         </t>
  </si>
  <si>
    <t>ASPIRATION 2:  AN INTEGRATED CONTINENT, POLITICALLY UNITED AND BASED ON THE IDEALS OF PAN-AFRICANISM AND A VISION OF AFRICAN RENAISSANCE</t>
  </si>
  <si>
    <t>Goal 8:  United Africa (Federal or Confederate)</t>
  </si>
  <si>
    <t>1. Political and economic integration</t>
  </si>
  <si>
    <t>Goal 9: Key Continental Financial and Monetary Institutions established and functional</t>
  </si>
  <si>
    <t>Goal 10: World Class Infrastructure criss-crosses Africa</t>
  </si>
  <si>
    <t>% of the progress made on the implementation of Trans-African Highway Missing link</t>
  </si>
  <si>
    <t xml:space="preserve">%  of the progress made on the implementation the African High Speed Rail Network </t>
  </si>
  <si>
    <t>No. of protocols on African open skies Implemented</t>
  </si>
  <si>
    <t>No. of Mega Watts added into the national grid</t>
  </si>
  <si>
    <t xml:space="preserve"> Proportion of population using mobile phones</t>
  </si>
  <si>
    <t>% of ICT contribution to GDP</t>
  </si>
  <si>
    <t>ASPIRATION 3: AN AFRICA OF GOOD GOVERNANCE, DEMOCRACY, RESPECT FOR HUMAN RIGHTS, JUSTICE AND THE RULE OF LAW</t>
  </si>
  <si>
    <t>Goal 11:  Democratic values, practices, universal principles of human rights, justice and the rule of law entrenched</t>
  </si>
  <si>
    <t>1. Democratic Values and Practices are the Norm</t>
  </si>
  <si>
    <t>% of people who believe that there are effective mechanisms and oversight institutions to hold their leaders accountable</t>
  </si>
  <si>
    <t xml:space="preserve">% of people who believe that the elections are free, fair and transparent.                     </t>
  </si>
  <si>
    <t>- Signed</t>
  </si>
  <si>
    <t>- Ratified</t>
  </si>
  <si>
    <t xml:space="preserve">- Integrated the African Charter on democracy </t>
  </si>
  <si>
    <t>Goal 12: Capable institutions and transformed leadership in place at all levels</t>
  </si>
  <si>
    <t>1. Institutions and Leadership</t>
  </si>
  <si>
    <t>Proportion of persons who had at least one contact with  a public official and who paid a bribe to a public official or were asked for a bribe by these public officials during the previous twelve months</t>
  </si>
  <si>
    <t>ASPIRATION 4.  A PEACEFUL AND SECURE AFRICA</t>
  </si>
  <si>
    <t>Goal 13: Peace, Security and Stability are preserved</t>
  </si>
  <si>
    <t>Maintenance and Restoration of Peace and Security</t>
  </si>
  <si>
    <t xml:space="preserve">Conflict related deaths per 100,000 population </t>
  </si>
  <si>
    <t xml:space="preserve">1. Institutional Structure for AU Instruments on Peace and Security </t>
  </si>
  <si>
    <t xml:space="preserve">Number of armed conflicts </t>
  </si>
  <si>
    <t>Goal 15: A Fully Functional and Operational African Peace and Security Architecture</t>
  </si>
  <si>
    <t>1. Operationalization of APSA Pillars</t>
  </si>
  <si>
    <t>Existence of a national peace council.</t>
  </si>
  <si>
    <t>ASPIRATION 5:   AFRICA WITH A STRONG CULTURAL IDENTITY, COMMON HERITAGE, VALUES AND ETHICS</t>
  </si>
  <si>
    <t>Goal 16: African Cultural Renaissance is pre-eminent</t>
  </si>
  <si>
    <t>1. Values and  Ideals of Pan Africanism</t>
  </si>
  <si>
    <t>Proportion of the content of the curricula on indigenous African culture, values and language in primary and secondary schools</t>
  </si>
  <si>
    <t>ASPIRATION 6. AN AFRICA WHOSE DEVELOPMENT IS PEOPLE DRIVEN, RELYING ON THE POTENTIAL OF THE AFRICAN PEOPLE</t>
  </si>
  <si>
    <t>Goal 17:  Full Gender Equality in All Spheres of Life</t>
  </si>
  <si>
    <t>1. Women Empowerment</t>
  </si>
  <si>
    <t>Proportion of seats held by women in national parliaments, regional and local bodies</t>
  </si>
  <si>
    <t>Goal 18: Engaged and Empowered Youth and Children</t>
  </si>
  <si>
    <t>1. Youth Empowerment and Children’s Rights</t>
  </si>
  <si>
    <t>% of children engaged in  child labour</t>
  </si>
  <si>
    <t>% of children engaged in child marriage</t>
  </si>
  <si>
    <t xml:space="preserve">%  of children who are victims of human trafficking </t>
  </si>
  <si>
    <t xml:space="preserve"> Level of implementation of the provisions of the African Charter on the Rights of the Youth by Member States</t>
  </si>
  <si>
    <t>ASPIRATION 7:   AFRICA AS A STRONG AND INFLUENTIAL GLOBAL PARTNER</t>
  </si>
  <si>
    <t>Goal 19: Africa as a major partner in global affairs and peaceful co-existence</t>
  </si>
  <si>
    <t>1. Africa’s place in global affairs</t>
  </si>
  <si>
    <t>Existence of formal institutional arrangements for the coordination of the compilation of official statistics</t>
  </si>
  <si>
    <t>Goal 20: Africa takes full responsibility for financing her development</t>
  </si>
  <si>
    <t>1. Capital Markets</t>
  </si>
  <si>
    <t xml:space="preserve">2. Fiscal system and Public Sector Revenues </t>
  </si>
  <si>
    <t>3. Development Assistance</t>
  </si>
  <si>
    <t>Total ODA as a percentage of the national budget</t>
  </si>
  <si>
    <t>Resources raised through innovative financing mechanisms as a % of national budget</t>
  </si>
  <si>
    <t xml:space="preserve">Indicator Performance (IP) </t>
  </si>
  <si>
    <t>P- Weight</t>
  </si>
  <si>
    <t>Corresponding SDG Indicator</t>
  </si>
  <si>
    <t>T1 - Weight</t>
  </si>
  <si>
    <t>NIL</t>
  </si>
  <si>
    <t>I1 - Weight</t>
  </si>
  <si>
    <t>8.1.1 Annual growth rate of real GDP per capita</t>
  </si>
  <si>
    <t>8.5.2 Unemployment rate, by sex, age group and persons with disabilities</t>
  </si>
  <si>
    <t>10.2.1 Proportion of people living below 50 per cent of median income, by age, sex and persons with disabilities</t>
  </si>
  <si>
    <t>6.1.1 Percentage of population using safely managed drinking water services</t>
  </si>
  <si>
    <t>7.1.1 Proportion of population with access to electricity</t>
  </si>
  <si>
    <t>A63 Indicators</t>
  </si>
  <si>
    <t>Remarks</t>
  </si>
  <si>
    <t>Expected Performance by 2019</t>
  </si>
  <si>
    <t>Performance Rating</t>
  </si>
  <si>
    <t>Priority Area Dashboard</t>
  </si>
  <si>
    <t>Expected Increase / Reduction by 2019</t>
  </si>
  <si>
    <t>1. Communications and Infrastructure Connectivity</t>
  </si>
  <si>
    <t>Baseline</t>
  </si>
  <si>
    <t>Data Sources</t>
  </si>
  <si>
    <t>1.1.1 Increase 2013 per capita income by at least 30%</t>
  </si>
  <si>
    <t>1.1.2 Reduce 2013 unemployment rate by at least  25%</t>
  </si>
  <si>
    <t>1.3.1 Increase access and use of electricity and internet by at least 50% of the 2013 levels</t>
  </si>
  <si>
    <t>2.1.1 Enrolment rate for early childhood education is at least 300% of the 2013 rate</t>
  </si>
  <si>
    <t xml:space="preserve">3.1.1 Increase 2013 levels of access to sexual and reproductive health services to women by at least 30% </t>
  </si>
  <si>
    <t>3.1.3 Reduce the  2013 incidence  of HIV/AIDs, Malaria and TB by at least 80%</t>
  </si>
  <si>
    <t>3.1.4 Access to Anti-Retroviral (ARV) drugs  is 100%</t>
  </si>
  <si>
    <t>4.2.1 Real value of manufacturing in GDP is 50% more than the 2013 level.</t>
  </si>
  <si>
    <t>4.3.1 At least 1% of GDP is allocated to science, technology and innovation research and STI driven entrepreneurship development.</t>
  </si>
  <si>
    <t>5.1.1 Double  agricultural total factor productivity</t>
  </si>
  <si>
    <t>6.1.1 At least 50% increase in value addition in the fishery sector  in real term is attained by 2023</t>
  </si>
  <si>
    <t>6.1.2 Marine bio-technology contribution to GDP is increased in real terms by at least 50% from the 2013 levels</t>
  </si>
  <si>
    <t>7.1.1 At least 30% of agricultural land is placed under sustainable land management practice</t>
  </si>
  <si>
    <t>7.1.2 At least 17%  of terrestrial and inland water and 10%  of coastal and marine areas are preserved</t>
  </si>
  <si>
    <t>8.1.1 Active member of the African Free Trade Area</t>
  </si>
  <si>
    <t>8.1.2 Volume of intra-African trade is at least three times the 2013 level</t>
  </si>
  <si>
    <t>10.1.1 At least national readiness for implementation of the trans African Highway Missing link is achieved</t>
  </si>
  <si>
    <t>10.1.2 At least national readiness for in country connectivity to the African High Speed Rail Network is achieved by 2019</t>
  </si>
  <si>
    <t xml:space="preserve">10.1.3 Skies fully opened to African airlines </t>
  </si>
  <si>
    <t xml:space="preserve">10.1.4 Increase electricity generation and distribution by at least 50% by 2020  </t>
  </si>
  <si>
    <t>10.1.5 Double ICT penetration and contribution to GDP</t>
  </si>
  <si>
    <t xml:space="preserve">
16.5.1 Proportion of persons who had at least one contact with a public official and who paid a bribe to a public official, or were asked for a bribe by those public officials, during the previous 12 months</t>
  </si>
  <si>
    <t>11.1.1 At least 70% of the people believe that they are empowered and are holding their leaders accountable</t>
  </si>
  <si>
    <t>11.1.2 At least 70% of  the people perceive that the press / information is free and freedom of expression  pertains</t>
  </si>
  <si>
    <t>11.1.3 At least 70% of the public perceive elections are free, fair and transparent</t>
  </si>
  <si>
    <t>11.1.4 African Charter on Democracy is signed, ratified and domesticated by 2020</t>
  </si>
  <si>
    <t>12.1.1 At least 70% of the public acknowledge  the public service to be professional, efficient, responsive, accountable, impartial  and corruption free</t>
  </si>
  <si>
    <t xml:space="preserve">13.1.1 Level of conflict emanating from ethnicity, all forms of exclusion, religious and political differences is at most 50% of 2013 levels. </t>
  </si>
  <si>
    <t>14.1.1 Silence All Guns by 2020</t>
  </si>
  <si>
    <t>15.1.1 National Peace Council is established by 2016</t>
  </si>
  <si>
    <t>16.1.1 At least 60% of content in educational curriculum is on indigenous African culture, values and language targeting primary and secondary schools</t>
  </si>
  <si>
    <t>2. Violence &amp; Discrimination
against Women and Girls</t>
  </si>
  <si>
    <t>Proportion of women and girls subjected to sexual and physical violence</t>
  </si>
  <si>
    <t>Proportion of children whose births are registered in the first year</t>
  </si>
  <si>
    <t>17.2.1 Reduce 2013 levels of violence against women and Girls by at least 20%</t>
  </si>
  <si>
    <t>17.2.2 Reduce by 50% all harmful social norms and customary practices against women and girls and those that promote violence and discrimination against women and girls</t>
  </si>
  <si>
    <t>17.2.3 Eliminate all barriers to quality education, health and social services for Women and Girls by 2020</t>
  </si>
  <si>
    <t>Number of New HIV infections per 1000 population</t>
  </si>
  <si>
    <t>TB incedence per 1000 persons per year</t>
  </si>
  <si>
    <t>Malaria incidence per 1000 per year</t>
  </si>
  <si>
    <t>Calculating expected values for  2% annual decrease</t>
  </si>
  <si>
    <t xml:space="preserve">2.1.2 Enrolment rate for basic education is 100% </t>
  </si>
  <si>
    <t>2.1.3 Increase the number of qualified teachers by at least 30% with focus on STEM</t>
  </si>
  <si>
    <t xml:space="preserve">2.1.4 Universal secondary school (including technical high schools) with enrolment rate of 100% </t>
  </si>
  <si>
    <t xml:space="preserve">Proportion of teachers qualified in Science or Technology or Engineering or Mathematics by Sex and Level (Primary and Secondary)  </t>
  </si>
  <si>
    <t>Secondary school net enrolment rate by Sex</t>
  </si>
  <si>
    <t>5.1.2 At least 10% of small-scale farmers graduate into small-scale commercial farming and those graduating at least 30% should be women.</t>
  </si>
  <si>
    <t>3.1.2 Reduce 2013 maternal mortality rates by at least 50%</t>
  </si>
  <si>
    <t xml:space="preserve">18.1.1 Reduce 2013 rate of youth unemployment by at least 25%; in particular female youth </t>
  </si>
  <si>
    <t>18.1.2 End all forms of violence, child labour exploitation, child marriage and human trafficking</t>
  </si>
  <si>
    <t>18.1.3 Full implementation of the provision of African Charter on the Rights of the Youth is attained</t>
  </si>
  <si>
    <t>17.8.1 Proportion of individuals using the Internet</t>
  </si>
  <si>
    <t>4.2.2 Participation rate in organized learning (one year before the official primary entry age), by sex</t>
  </si>
  <si>
    <t>4.1.1 Proportion of children: (b) at the end of primary; and achieving at least a minimum proficiency level in (i) reading and (ii) mathematics, by sex</t>
  </si>
  <si>
    <t>4.c.1 Proportion of teachers in: (a) pre-primary; (b) primary; (c) lower secondary; and (d) upper secondary education who have received at least the minimum organized teacher training (e.g. pedagogical training) pre-service or in-service required for teaching at the relevant level in a given country</t>
  </si>
  <si>
    <t>3.7.1 Proportion of women of reproductive age (aged 15–49 years) who have their need for family planning satisfied with modern methods</t>
  </si>
  <si>
    <t>3.1.1 Maternal mortality ratio</t>
  </si>
  <si>
    <t>3.2.2 Neonatal mortality rate</t>
  </si>
  <si>
    <t>3.2.1 Under‑5 mortality rate</t>
  </si>
  <si>
    <t>3.3.1 Number of new HIV infections per 1,000 uninfected population, by sex, age and key populations</t>
  </si>
  <si>
    <t>3.3.2 Tuberculosis incidence per 100,000 population</t>
  </si>
  <si>
    <t>3.3.3 Malaria incidence per 1,000 population</t>
  </si>
  <si>
    <t>9.2.1 Manufacturing value added as a proportion of GDP and per capita</t>
  </si>
  <si>
    <t>9.5.1 Research and development expenditure as a proportion of GDP</t>
  </si>
  <si>
    <t>8.9.1 Tourism direct GDP as a proportion of total GDP and in growth rate</t>
  </si>
  <si>
    <t>2.3.1 Volume of production per labour unit by classes of farming/pastoral/forestry enterprise size</t>
  </si>
  <si>
    <t>14.7.1 Sustainable fisheries as a proportion of GDP in small island developing States, least developed countries and all countries</t>
  </si>
  <si>
    <t>2.4.1 Proportion of agricultural area under productive and sustainable agriculture</t>
  </si>
  <si>
    <t>15.1.2 Proportion of important sites for terrestrial and freshwater biodiversity that are covered by protected areas, by ecosystem type</t>
  </si>
  <si>
    <t>5.b.1 Proportion of individuals who own a mobile telephone, by sex</t>
  </si>
  <si>
    <t>16.7.2 Proportion of population who believe decision-making is inclusive and responsive, by sex, age, disability and population group</t>
  </si>
  <si>
    <t>16.10.1 Number of verified cases of killing, kidnapping, enforced disappearance, arbitrary detention and torture of journalists, associated media personnel, trade unionists and human rights advocates in the previous 12 months</t>
  </si>
  <si>
    <t>16.1.2 Conflict-related deaths per 100,000 population, by sex, age and cause</t>
  </si>
  <si>
    <t>5.2.1 Proportion of ever-partnered women and girls aged 15 years and older subjected to physical, sexual or psychological violence by a current or former intimate partner in the previous 12 months, by form of violence and by age</t>
  </si>
  <si>
    <t>5.3.2 Proportion of girls and women aged 15–49 years who have undergone female genital mutilation/cutting, by age</t>
  </si>
  <si>
    <t>8.5.2 Unemployment rate, by sex, age and persons with disabilities</t>
  </si>
  <si>
    <t>8.7.1 Proportion and number of children aged 5–17 years engaged in child labour, by sex and age</t>
  </si>
  <si>
    <t>5.3.1 Proportion of women aged 20–24 years who were married or in a union before age 15 and before age 18</t>
  </si>
  <si>
    <t>16.2.2 Number of victims of human trafficking per 100,000 population, by sex, age and form of exploitation</t>
  </si>
  <si>
    <t>17.18.2 Number of countries that have national statistical legislation that complies with the Fundamental Principles of Official Statistics</t>
  </si>
  <si>
    <t>17.18.3 Number of countries with a national statistical plan that is fully funded and under implementation, by source of funding</t>
  </si>
  <si>
    <t>17.1.2 Proportion of domestic budget funded by domestic taxes</t>
  </si>
  <si>
    <t>17.3.1 Foreign direct investment (FDI), official development assistance and South-South cooperation as a proportion of total domestic budget</t>
  </si>
  <si>
    <t>Total</t>
  </si>
  <si>
    <t>Member State</t>
  </si>
  <si>
    <t>Member States</t>
  </si>
  <si>
    <t>Algeria</t>
  </si>
  <si>
    <t>Burkina Faso</t>
  </si>
  <si>
    <t>Cameroon</t>
  </si>
  <si>
    <t>Central Africa Republic</t>
  </si>
  <si>
    <t>Chad</t>
  </si>
  <si>
    <t>Congo (Republic of the)</t>
  </si>
  <si>
    <t>Cote D'Ivoire</t>
  </si>
  <si>
    <t>Eswatini</t>
  </si>
  <si>
    <t>Ghana</t>
  </si>
  <si>
    <t>Lesotho</t>
  </si>
  <si>
    <t>Mauritania</t>
  </si>
  <si>
    <t>Mauritius</t>
  </si>
  <si>
    <t>Rwanda</t>
  </si>
  <si>
    <t>Sierra Leone</t>
  </si>
  <si>
    <t>South Africa</t>
  </si>
  <si>
    <t>Tunisia</t>
  </si>
  <si>
    <t>Egypt</t>
  </si>
  <si>
    <t>19.1.1 National statistical system fully functional</t>
  </si>
  <si>
    <t xml:space="preserve">20.1.1 National capital market finances  at least 10% of development expenditure </t>
  </si>
  <si>
    <t>20.1.2 Tax and non-tax revenue of all levels of government should cover at least 75% of current and development expenditure</t>
  </si>
  <si>
    <t>20.1.3 Proportion of aid in the national budget is at most  25% of 2013 level</t>
  </si>
  <si>
    <t>Current Indicator Value</t>
  </si>
  <si>
    <t>Base value (2013)</t>
  </si>
  <si>
    <t>b) % of households using electricity</t>
  </si>
  <si>
    <t>a)% of households with access to electricity</t>
  </si>
  <si>
    <t>% of children of pre-school age attending pre school</t>
  </si>
  <si>
    <t>% of eligible population with HIV having access to Anti-Retroviral Treatment</t>
  </si>
  <si>
    <t>Agricultural total factor productivity</t>
  </si>
  <si>
    <t xml:space="preserve">% of small-scale farmers graduating into small-scale commercial farming by Sex </t>
  </si>
  <si>
    <t>1. Financial and Monetary Institutions</t>
  </si>
  <si>
    <t>Angola</t>
  </si>
  <si>
    <t>Benin</t>
  </si>
  <si>
    <t>Botswana</t>
  </si>
  <si>
    <t>Burundi</t>
  </si>
  <si>
    <t>Cabo Verde</t>
  </si>
  <si>
    <t>Comoros</t>
  </si>
  <si>
    <t>Democratic Republic of Congo</t>
  </si>
  <si>
    <t>Djibouti</t>
  </si>
  <si>
    <t>Equatorial Guinea</t>
  </si>
  <si>
    <t>Ethiopia</t>
  </si>
  <si>
    <t>Gabon</t>
  </si>
  <si>
    <t>Gambia</t>
  </si>
  <si>
    <t>Guinea</t>
  </si>
  <si>
    <t>Guinea Bissau</t>
  </si>
  <si>
    <t>Kenya</t>
  </si>
  <si>
    <t>Liberia</t>
  </si>
  <si>
    <t>Libya</t>
  </si>
  <si>
    <t>Madagascar</t>
  </si>
  <si>
    <t>Malawi</t>
  </si>
  <si>
    <t>Mali</t>
  </si>
  <si>
    <t>Morocco</t>
  </si>
  <si>
    <t>Mozambique</t>
  </si>
  <si>
    <t>Namibia</t>
  </si>
  <si>
    <t>Niger</t>
  </si>
  <si>
    <t>Nigeria</t>
  </si>
  <si>
    <t>Sao Tome and Principe</t>
  </si>
  <si>
    <t>Senegal</t>
  </si>
  <si>
    <t>Seychelles</t>
  </si>
  <si>
    <t>Somalia</t>
  </si>
  <si>
    <t>South Sudan</t>
  </si>
  <si>
    <t>Sudan</t>
  </si>
  <si>
    <t>Togo</t>
  </si>
  <si>
    <t>Uganda</t>
  </si>
  <si>
    <t>Tanzania</t>
  </si>
  <si>
    <t>Zambia</t>
  </si>
  <si>
    <t>Zimbabwe</t>
  </si>
  <si>
    <t>Eritrea</t>
  </si>
  <si>
    <t>Sahrawi Arab Democratic Republic</t>
  </si>
  <si>
    <t>Net enrolment rate by sex  and age in primary school</t>
  </si>
  <si>
    <t>Existence of a Continental Free Trade Area  that is ratified by all Member States</t>
  </si>
  <si>
    <t>17.1.1 Equal economic rights for women, including the rights to own and inherit property, sign a contract, save, register and manage a business and own and operate a bank account by 2026</t>
  </si>
  <si>
    <t>17.1.2 At least 30% of all elected officials at local, regional and national levels are Women as well as in judicial institutions</t>
  </si>
  <si>
    <t>Adoption of statistical legislation that complies with fundamental principles of official statistics</t>
  </si>
  <si>
    <t>Proportion of national budget for the implementation of functional statistical system</t>
  </si>
  <si>
    <t>Total tax revenue as a % of GDP</t>
  </si>
  <si>
    <t>9.1.1 Fast Track realization of the Continental Free Trade Area</t>
  </si>
  <si>
    <t>1.2.1 Reduce stunting in children to 10% and underweight to 5%.</t>
  </si>
  <si>
    <t>1.2.2 Reduce 2013 level of proportion of the population without access to safe drinking water by 95%.</t>
  </si>
  <si>
    <t>4.4.1 Contribution of tourism to GDP in real terms is increased by at least 100%.</t>
  </si>
  <si>
    <t xml:space="preserve">% of people who perceive that there is freedom of the press. </t>
  </si>
  <si>
    <r>
      <t>Goal 14:  A Stable and Peaceful Africa</t>
    </r>
    <r>
      <rPr>
        <sz val="9"/>
        <rFont val="Arial"/>
        <family val="2"/>
      </rPr>
      <t xml:space="preserve"> </t>
    </r>
  </si>
  <si>
    <t xml:space="preserve">Proportion of women in total agricultural population with ownership or secure rights over agricultural land             </t>
  </si>
  <si>
    <t>5.a.1 (a) Proportion of total agricultural population with ownership or secure rights over agricultural land by sex and (b) share of women among owners or rights-bearers of agricultural land, by type of tenure</t>
  </si>
  <si>
    <t>% of women aged 15-49 who have access to sexual and reproductive health service in the last 12 months</t>
  </si>
  <si>
    <t>Unemployment rate by age group, by sex</t>
  </si>
  <si>
    <t xml:space="preserve">5.5.1 Proportion of seats held by women in: (a) National Parliements  and (b) Local Governments </t>
  </si>
  <si>
    <t>Proportion of girls and women aged 15-49 years who have undergone female genital mutilation/ cutting by age</t>
  </si>
  <si>
    <t>16.9.1 Proportion of children under 5 years of age whose births have been registered with a civil authority, by age</t>
  </si>
  <si>
    <t>Unemployment rate of youth, by sex</t>
  </si>
  <si>
    <t>Agenda 2063 First Ten Year Implementation Plan (FTYIP) Progress Reporting Template</t>
  </si>
  <si>
    <t>4.1.1 Annual GDP growth rate of  at least 7%</t>
  </si>
  <si>
    <t>Real GDP</t>
  </si>
  <si>
    <t xml:space="preserve">No. of Non-tariff barriers (NTBs) eliminated </t>
  </si>
  <si>
    <t>Change in value of intra-African trade per annum (in US $)</t>
  </si>
  <si>
    <t xml:space="preserve">Proportion of public sector budget funded by national capital markets </t>
  </si>
  <si>
    <t>Overall Rating</t>
  </si>
  <si>
    <t>Rapport de mise en œuvre des programmes 2013 (page i)</t>
  </si>
  <si>
    <t>Rapport de mise en œuvre des programmes 2013 (page 12)</t>
  </si>
  <si>
    <t>Rapport de mise en œuvre des programmes 2013(Page 36)</t>
  </si>
  <si>
    <t>Rapport de mise en œuvre des programmes 2013 (page 32)</t>
  </si>
  <si>
    <t>Rapport de mise en œuvre des programmes 2013 (page 34)</t>
  </si>
  <si>
    <t>Rapport de mise en œuvre des programmes 2013(P 68)</t>
  </si>
  <si>
    <t>Rapport de mise en œuvre des programmes 2013 (page 69)</t>
  </si>
  <si>
    <t>Rapport de mise en œuvre des programmes 2013 (page 68)</t>
  </si>
  <si>
    <t>Rapport de mise en œuvre des programmes 2013 (page 64)</t>
  </si>
  <si>
    <t>Rapport de mise en œuvre des programmes 2013 (page 63)</t>
  </si>
  <si>
    <t>Rapport de mises en eouvre des programmes 2013 (P 78)</t>
  </si>
  <si>
    <t>Rapport de mise en œuvre des programmes 2013 (page 39)</t>
  </si>
  <si>
    <t>Current as at 2017</t>
  </si>
  <si>
    <t>Statistics South Africa</t>
  </si>
  <si>
    <t>Current as at 2018</t>
  </si>
  <si>
    <t>VNR and Stats. SA, World Bank Development Indicators</t>
  </si>
  <si>
    <t>Base as at 2015 and Current at 2016</t>
  </si>
  <si>
    <t>Base as at 2015 and Current at 2017</t>
  </si>
  <si>
    <t>Base as at 2014 and Current at 2017</t>
  </si>
  <si>
    <t>Current at 2017</t>
  </si>
  <si>
    <t>Base as at 2002 and Current as at 2015</t>
  </si>
  <si>
    <t>Current as at 2016</t>
  </si>
  <si>
    <t>Stats to be verified</t>
  </si>
  <si>
    <t>Base as at 2012 and Current at 2017</t>
  </si>
  <si>
    <t>Current as at 2018 - to be verified</t>
  </si>
  <si>
    <t>South Africa's Development Indicators 2017</t>
  </si>
  <si>
    <t>Current as at 2015/16</t>
  </si>
  <si>
    <t>Current as at 2016 - to be verified</t>
  </si>
  <si>
    <t>We have seperated Terrestrial (Base (2015)=27% and Current (2018)=28%) and Freshwater (Base (2015)=23% and Current (2018)=23%).  Figures inputed are averages.</t>
  </si>
  <si>
    <t>Dti</t>
  </si>
  <si>
    <t>Trade balance figures are in Rands</t>
  </si>
  <si>
    <t>Signed and ratified the AfCFTA</t>
  </si>
  <si>
    <t>Base as at 2014 and current at 2017</t>
  </si>
  <si>
    <t>Department of International Relations and Cooperation</t>
  </si>
  <si>
    <t>Base as at 2016 and current as at 2018</t>
  </si>
  <si>
    <t>VNR</t>
  </si>
  <si>
    <t>Base as at 1994 and current as at 2019 (National). Provincial legislature, share of women serving 33% (2014) to 46% (2019)</t>
  </si>
  <si>
    <t>current at 2017</t>
  </si>
  <si>
    <t>Before age (15) = 0.9 (2016) and Before age (18) = 3.6 (2016). (no basline)</t>
  </si>
  <si>
    <t>National Treasury Estimates of National Expenditure (ENE)</t>
  </si>
  <si>
    <t xml:space="preserve">Figures are in millions Rands. Base as at 2013/14 and current as at 2017/18 </t>
  </si>
  <si>
    <t>Statistics South Africa and National Treasury Estimates of National Expenditure (ENE)</t>
  </si>
  <si>
    <t>Base as at 2013/14 and current at 2017/18</t>
  </si>
  <si>
    <t>Agenda 2063 First Ten Year Implementation Plan (FTYIP) Progress Report</t>
  </si>
  <si>
    <t>A63 Targets</t>
  </si>
  <si>
    <t xml:space="preserve">Dashbaord </t>
  </si>
  <si>
    <t>Completed using AU treatie data , no MS information on domestication</t>
  </si>
  <si>
    <t>Aspiration</t>
  </si>
  <si>
    <t>Achievement</t>
  </si>
  <si>
    <t>Goal</t>
  </si>
  <si>
    <t>Asipiration 1</t>
  </si>
  <si>
    <t>Asipiration 2</t>
  </si>
  <si>
    <t>Asipiration 3</t>
  </si>
  <si>
    <t>Asipiration 4</t>
  </si>
  <si>
    <t>Asipiration 5</t>
  </si>
  <si>
    <t>Asipiration 6</t>
  </si>
  <si>
    <t>Asipiration 7</t>
  </si>
  <si>
    <t>Goal 1</t>
  </si>
  <si>
    <t>Goal 2</t>
  </si>
  <si>
    <t>Goal 3</t>
  </si>
  <si>
    <t>Goal 4</t>
  </si>
  <si>
    <t>Goal 5</t>
  </si>
  <si>
    <t>Goal 6</t>
  </si>
  <si>
    <t>Goal 7</t>
  </si>
  <si>
    <t>Goal 8</t>
  </si>
  <si>
    <t>Goal 9</t>
  </si>
  <si>
    <t>Goal 10</t>
  </si>
  <si>
    <t>Goal 11</t>
  </si>
  <si>
    <t>Goal 12</t>
  </si>
  <si>
    <t>Goal 13</t>
  </si>
  <si>
    <t>Goal 14</t>
  </si>
  <si>
    <t>Goal 15</t>
  </si>
  <si>
    <t>Goal 16</t>
  </si>
  <si>
    <t>Goal 17</t>
  </si>
  <si>
    <t>Goal 18</t>
  </si>
  <si>
    <t>Decription</t>
  </si>
  <si>
    <t>Level of Result</t>
  </si>
  <si>
    <t>Goal/Aspriration</t>
  </si>
  <si>
    <t>Row Labels</t>
  </si>
  <si>
    <t>Indicator Performance</t>
  </si>
  <si>
    <t>Namibia Statistics Agency</t>
  </si>
  <si>
    <t>NSA application</t>
  </si>
  <si>
    <t>Namibia SDG-NDP Indicator Framework, 2019</t>
  </si>
  <si>
    <t>2011 Population and Housing Census (PHC)_and 1016 NIDS reports</t>
  </si>
  <si>
    <t>The baseline is set for 2011, result of the 2011 PHC  and not 2013</t>
  </si>
  <si>
    <t>2016 NIDS Report</t>
  </si>
  <si>
    <t>The indicator used in the SDG report is: % Households using electricity for lighting (using sloar, generator and grid) from 2011 PHC</t>
  </si>
  <si>
    <t>The indicator used is: % Households using electricity for cooking (using sloar, generator and grid) from 2011 PHC</t>
  </si>
  <si>
    <t>baseline was really for those owning internet, not cnecessarily using internet from 2011 PHC</t>
  </si>
  <si>
    <t>EMIS Education Statistics 2015, Namibia Population Projection 2011 - 2041</t>
  </si>
  <si>
    <t>Basseline was set for 2015 as opposed to 2013</t>
  </si>
  <si>
    <t>EMIS 2017 report</t>
  </si>
  <si>
    <t>Baseline is set for 2015 (from EMIS report 2015)</t>
  </si>
  <si>
    <t>EMIS Education Statistics 2017</t>
  </si>
  <si>
    <t>Indicator used: Proportion of teachers with formal teachers training a (total) from EMIS 2015</t>
  </si>
  <si>
    <t>Namibia Demographic and Health Survey (NDHS)</t>
  </si>
  <si>
    <t>MoHSS 3rd Medium Term SP for TB and Leprosy 2017/18-2021/22</t>
  </si>
  <si>
    <t>NDHS</t>
  </si>
  <si>
    <t>NAMPHIA 2018</t>
  </si>
  <si>
    <t>Baseline is for 2016</t>
  </si>
  <si>
    <t>WHO country data</t>
  </si>
  <si>
    <t>the indicator is per 100 000 people as per the SDG indicator definition. Baseline is set for 2015</t>
  </si>
  <si>
    <t>Unstats.un.org</t>
  </si>
  <si>
    <t>baseline is set for 2015</t>
  </si>
  <si>
    <t>NSA Preliminary Annual National Account</t>
  </si>
  <si>
    <t>Current indicator used is for 2017</t>
  </si>
  <si>
    <t>Travel and Tourism Economic Impact Namibia</t>
  </si>
  <si>
    <t>The baseline is for 2014 and the latest figures are for 2017</t>
  </si>
  <si>
    <t>NAB Annual Report 2016/17</t>
  </si>
  <si>
    <t>The indicator is defined as: Average yield of agricultureal production per ha planted for White Maize, Sorghum and Millet.The base is 2015 not 2013</t>
  </si>
  <si>
    <t>No information</t>
  </si>
  <si>
    <t>unstat.un.org/sdgs/indicators/database/?area=NAM</t>
  </si>
  <si>
    <t xml:space="preserve">Indicator definition used: Average proportion of sites for freshwater bniodiversity that are covered by protected areas and important sites for terrestrial biodiversity that are covered by protected areas. Baseline was for 2015 </t>
  </si>
  <si>
    <t>NIDS 2016</t>
  </si>
  <si>
    <t>The indicator definition is: Percentage of population with access to cell phone, and the base year is 2011</t>
  </si>
  <si>
    <t>Namibia ratify the peace and security council  in 2004</t>
  </si>
  <si>
    <t>The Namibia Labour force survey,  2013 and 2018</t>
  </si>
  <si>
    <t>Labour statistics, NSA</t>
  </si>
  <si>
    <t>National Accounts</t>
  </si>
  <si>
    <t>Updated based on AU web portal</t>
  </si>
  <si>
    <t>Updated based on the AU webportal</t>
  </si>
  <si>
    <t>GDP Estimates 2013/14 - 2017/18, UBOS</t>
  </si>
  <si>
    <t>UNGBS 2014 and UNGPSS 2018</t>
  </si>
  <si>
    <t>Updsted based on the AU Web-portal</t>
  </si>
  <si>
    <t>ZIMSTAT_National Accounts Department_2019</t>
  </si>
  <si>
    <t>ZIMSTAT_PICES Report (2017), Labourforce Report (2014)</t>
  </si>
  <si>
    <t>Current data is for 2017; base value is for 2014</t>
  </si>
  <si>
    <t>MICS 2014; ZDHS 2015</t>
  </si>
  <si>
    <t>Current value is for 2015; base value is 2014</t>
  </si>
  <si>
    <t>mICS 2014; PICES 2017</t>
  </si>
  <si>
    <t>Current value is for 2017; base value is 2014</t>
  </si>
  <si>
    <t>Census 2012; vision 2030</t>
  </si>
  <si>
    <t>Current value is for 2017; base value is 2012</t>
  </si>
  <si>
    <t>Census 2012; ICDS 2017</t>
  </si>
  <si>
    <t>POTRAZ Abridged Sector perfomance reports; 2013; 2019</t>
  </si>
  <si>
    <t>Education Reports; 2014 and 2018</t>
  </si>
  <si>
    <t>Mics 2014; ZDHS 2015</t>
  </si>
  <si>
    <t>MICS 2014; ICDS 2017</t>
  </si>
  <si>
    <t>ZDHS 2015</t>
  </si>
  <si>
    <t>Ministry of Health and Child Care</t>
  </si>
  <si>
    <t>2015 &amp; 2018 Global TB Report Report</t>
  </si>
  <si>
    <t>Ministry of Health and Child Care Report</t>
  </si>
  <si>
    <t>Current is for 2017</t>
  </si>
  <si>
    <t>Ministry of Finance</t>
  </si>
  <si>
    <t>2017 figure is a proxy for Distribution, hotels and restaurants</t>
  </si>
  <si>
    <t>No data provided for this indicator, 0% may not be the correct value needs verfification</t>
  </si>
  <si>
    <t>Signed on 21 March 2018; ratified on 25 April 2019</t>
  </si>
  <si>
    <t>Figures are in Gigawatts per hour</t>
  </si>
  <si>
    <t>Transport and communication sector was used as a proxy of ICT</t>
  </si>
  <si>
    <t>National Peace and Reconciliation Commision</t>
  </si>
  <si>
    <t>ZIMSTAT</t>
  </si>
  <si>
    <t xml:space="preserve">Ministry of Finance </t>
  </si>
  <si>
    <t>Aspiration 1:  A PROSPEROUS AFRICA BASED ON INCLUSIVE GROWTH AND SUSTAINABLE DEVELOPMENT</t>
  </si>
  <si>
    <t xml:space="preserve"> Aspiration 2:  AN INTEGRATED CONTINENT, POLITICALLY UNITED AND BASED ON THE IDEALS OF PAN-AFRICANISM AND A VISION OF AFRICAN RENAISSANCE</t>
  </si>
  <si>
    <t>Aspiration 3: AN AFRICA OF GOOD GOVERNANCE, DEMOCRACY, RESPECT FOR HUMAN RIGHTS, JUSTICE AND THE RULE OF LAW</t>
  </si>
  <si>
    <t xml:space="preserve"> Goal 12: Capable institutions and transformed leadership in place at all levels</t>
  </si>
  <si>
    <t xml:space="preserve"> Apriration 4.  A PEACEFUL AND SECURE AFRICA</t>
  </si>
  <si>
    <t xml:space="preserve">Goal 14:  A Stable and Peaceful Africa </t>
  </si>
  <si>
    <t>Aspiration 5:   AFRICA WITH A STRONG CULTURAL IDENTITY, COMMON HERITAGE, VALUES AND ETHICS</t>
  </si>
  <si>
    <t xml:space="preserve"> Goal 16: African Cultural Renaissance is pre-eminent</t>
  </si>
  <si>
    <t>Aspiration 6. AN AFRICA WHOSE DEVELOPMENT IS PEOPLE DRIVEN, RELYING ON THE POTENTIAL OF THE AFRICAN PEOPLE</t>
  </si>
  <si>
    <t xml:space="preserve"> Aspitation 7:   AFRICA AS A STRONG AND INFLUENTIAL GLOBAL PARTNER</t>
  </si>
  <si>
    <t xml:space="preserve"> Goal 20: Africa takes full responsibility for financing her development</t>
  </si>
  <si>
    <t>Apriration 1:  A properous Africa based on inclusive growth and sustainable development</t>
  </si>
  <si>
    <t xml:space="preserve"> Aspiration 2:  An integrated continent, politically united and based on the ideals of Pan - Africanism and a Vision of the African Renaissance</t>
  </si>
  <si>
    <t>Aspiration 3: An African of good governance, democracy, respect for human rigjhts and the rule of law</t>
  </si>
  <si>
    <t xml:space="preserve"> Aspiration 4. A peaceful and secure Africa</t>
  </si>
  <si>
    <t>Aspiration 5: African with a strong cultural identity, common heritage, value and beliefs</t>
  </si>
  <si>
    <t>Aspiration 6 An Africa whose development of people driven, relying on the potential of the African People</t>
  </si>
  <si>
    <t xml:space="preserve"> Aspiration 7: Africa as a strong and influential global partner</t>
  </si>
  <si>
    <t>No data provided. Indicator pefrormance to be set to 0% if data is not provided</t>
  </si>
  <si>
    <t xml:space="preserve">Priority Area Scores </t>
  </si>
  <si>
    <t>Indexed Priority Area Dashboard</t>
  </si>
  <si>
    <t xml:space="preserve">The Indicator does not have a current indicator value. The data needs to be collected, it not for all, atleast for some to enable the performance assessment. </t>
  </si>
  <si>
    <t>Rapport de mise en œuvre des programmes 2013 (page 53), ROXY : Taux de couverture de préscolaire   ( Pourcentage d'enfants de 3 à 5 ans   fréquantant un  centre préscolaire)</t>
  </si>
  <si>
    <t>MICS 2018 INSTAT, (en lecture 23,3% )  /en Maths( 4,8%)</t>
  </si>
  <si>
    <t xml:space="preserve">Rapport de mise en œuvre des programmes 2013 (page 69), 26 pour 1OOO naissances </t>
  </si>
  <si>
    <t>Rapport de mise en œuvre des programmes 2013 (page 65), PROXY:Nombre des personnes vivant avec le VIH</t>
  </si>
  <si>
    <t>Completed based on the AU web-portal</t>
  </si>
  <si>
    <t>Rapport de mise en œuvre 2013( P 8), PROXY:FLUX DES IDE annuel(en Millions DTS)</t>
  </si>
  <si>
    <t>The Indicator does not have a current value which distorts the performance, If the the current data is not provided, the indicator performance rating will be adjusted to 0%.</t>
  </si>
  <si>
    <t>The Indicator does not have a baseline value. IF the baseline value  is not provided, the indicator performance rating will be maintained at 0%.</t>
  </si>
  <si>
    <t>Statistics South Africa; Current as at 2016, No baseline</t>
  </si>
  <si>
    <t xml:space="preserve">2013 to 2109 a total of 13 NTBs were reported against South Africa by the Tripatite Free Trade Area Member States. 10 NTBs were resolved with 3 still under negotiations. Does not match reported figures and a proportion is a better measure. </t>
  </si>
  <si>
    <t>Base as at 2015.</t>
  </si>
  <si>
    <t>The Indicator does not have a baseline value. IF the baseline value  is not provided, the indicator performance rating will be set to 0%.</t>
  </si>
  <si>
    <t>Namibia SDG-NDP Indicator Framework, 2019, Base year used is 2016</t>
  </si>
  <si>
    <t xml:space="preserve">the latest NDHS is yet to be conducted (latest is supposed to be in 2019). 
The Indicator does not have a current value which distorts the performance, If the the current data is not provided, the indicator performance rating will be adjusted to 0%.
</t>
  </si>
  <si>
    <t>the latest NDHS is yet to be conducted (latest is supposed to be in 2019) 
The Indicator does not have a current value which distorts the performance, If the the current data is not provided, the indicator performance rating will be adjusted to 0%.</t>
  </si>
  <si>
    <t>National Survey of Research and Experimentl Development 2013/14, No latest data are available</t>
  </si>
  <si>
    <t>The Indicator does not have a current value which distorts the performance, If the the current data is not provided, the indicator performance rating will be set to to 0%.</t>
  </si>
  <si>
    <t xml:space="preserve">The Indicator does not have a baseline value. IF the baseline value  is not provided, the indicator performance rating will be set to 0%.
Is the current indicator value supposed to be 87.5% (if that is the case enter it as 87.5 
</t>
  </si>
  <si>
    <t>Namibia SDG-NDP Indicator Framework, 2019. 
Current indicator used is 2016 and we do not have current data on this indicator.</t>
  </si>
  <si>
    <t>Not Applicable, The indicator performance to be set to 100%</t>
  </si>
  <si>
    <t>Zero preference of child trafficking, The indicator performance to be set to 100%</t>
  </si>
  <si>
    <t>Kindly confirm if Zimbabwe does not receive ODA.</t>
  </si>
  <si>
    <t>City Prosperity Index  June 2019; SDG Office</t>
  </si>
  <si>
    <t>Data at current year is of 2017 Botswana Demographic Survey</t>
  </si>
  <si>
    <t>Data at current year is of 2016 Botswana Multi -topic Household Survey</t>
  </si>
  <si>
    <t>Health Stas Brief 2018; Statistics Botswana</t>
  </si>
  <si>
    <t>127 is base year as 2015 and current year is 2017</t>
  </si>
  <si>
    <t>Not available</t>
  </si>
  <si>
    <t xml:space="preserve">Statistcs Botswaba              2017 Botswana Demographic Survey    </t>
  </si>
  <si>
    <t>HIV/ Aids Programme - Ministry of Health and Welness</t>
  </si>
  <si>
    <t>Current value is 2018 and base value can be calculated</t>
  </si>
  <si>
    <t>Public Health programmeProgramme - Ministry of Health and Welness</t>
  </si>
  <si>
    <t>National Accounts Reports, 2019 Q2 Stats Brief</t>
  </si>
  <si>
    <t xml:space="preserve">Data for cuurrent value is for Year 2018. </t>
  </si>
  <si>
    <t>Department of Tourism Satellite Accounts Report 2016.</t>
  </si>
  <si>
    <t>Data for cuurrent value is for Year 2016.</t>
  </si>
  <si>
    <t>can be calculated from Ministry of Agriculture</t>
  </si>
  <si>
    <t>Base Figure is as of 2016 data of Botswana Multi-topic Household Survey</t>
  </si>
  <si>
    <t>INE, Contas Nacionais</t>
  </si>
  <si>
    <t>Inquerito ao Orcamento Familiar, IOF2014/2015</t>
  </si>
  <si>
    <t>Inquerito Demografico e de Saude (IDS), 2011</t>
  </si>
  <si>
    <t>INE, III e IV Recenseamento Geral da Populacao e Habitacao 2007 e 2017</t>
  </si>
  <si>
    <t>Informacao Nao Disponivel</t>
  </si>
  <si>
    <t>INE, Mulheres e Homens em Mocambique, 2018; Estatisticas da Educação.</t>
  </si>
  <si>
    <t>Calculado com base em Dados do Ministerio da Educacao e Desenvolvimento Humano</t>
  </si>
  <si>
    <t>MINEDH</t>
  </si>
  <si>
    <t>Calculado com base em Dados do Ministerio da Educacao e Desenvolvimento Humano, Estatisticas de Educacao, 2018. Refere se a professores com alguma formacao pedagogica.</t>
  </si>
  <si>
    <t>Inquerito Demografico e de Saude (DHS), 2011</t>
  </si>
  <si>
    <t>Informacao do IDS que corresponde a mulheres em idade reprodutiva (15-49 anos) que usaram algum método contraceptivo moderno.</t>
  </si>
  <si>
    <t>Corresponde ao ultimo inquerito feito em 2011 e publicado em 2013. O anterior a estes foi realizado em 2003 (tambem com a taxa de 408).</t>
  </si>
  <si>
    <t>Corresponde ao ultimo inquerito feito em 2011 e publicado em 2013. O anterior a estes foi realizado em 2003 (com taxa de 37).</t>
  </si>
  <si>
    <t>Corresponde ao ultimo inquerito feito em 2011 e publicado em 2013. O anterior a estes foi realizado em 2003 (com taxa de 153).</t>
  </si>
  <si>
    <t>Inquérito de Indicadores de Imunização, Malária e HIV/SIDA (IMASIDA) 2015</t>
  </si>
  <si>
    <t>O Inquérito que antecedeu a este, o INSIDA não incluia pergunta que captasse esta informação.</t>
  </si>
  <si>
    <t>Ainda nao recolhido por inquerito podendo estar disponivel atraves de fontes administrativas.</t>
  </si>
  <si>
    <t>40.2 (IMASIDA-2015) e 13.4 (DHS-2011)</t>
  </si>
  <si>
    <t>Referente a prevalencia de Malaria em criancas menores de 5 anos</t>
  </si>
  <si>
    <t>Não Aplicavel</t>
  </si>
  <si>
    <t xml:space="preserve">Não Disponivel </t>
  </si>
  <si>
    <t>MASA</t>
  </si>
  <si>
    <t>O sector necessita de metadados que clarique o indicador</t>
  </si>
  <si>
    <t>Nao Aplicavel</t>
  </si>
  <si>
    <t>O sector necessita de metadados que clarique o indicador.</t>
  </si>
  <si>
    <t>MEF/AT</t>
  </si>
  <si>
    <t>MET/AT</t>
  </si>
  <si>
    <t>Updated based on the AU Webportal</t>
  </si>
  <si>
    <t>N/D</t>
  </si>
  <si>
    <t>Não Disponível</t>
  </si>
  <si>
    <t>N/A</t>
  </si>
  <si>
    <t>Não aplicavel</t>
  </si>
  <si>
    <t>Não Aplicável</t>
  </si>
  <si>
    <t>MITADER</t>
  </si>
  <si>
    <t>INE, Mulheres e Homens em Moçambique, 2013 e 2018</t>
  </si>
  <si>
    <t>INE,  III e IV Recenseamento Geral da Populacao e Habitacao 2007 e 2017</t>
  </si>
  <si>
    <t>INE, Inquérito ao Orçamento Familiar IOF 2014/15</t>
  </si>
  <si>
    <t>Não Disponível. O País adoptou a Carta Africana em 2014. Foi Elaborada a proposta de revisão da Lei do SEN, que garantirá o alinhamento do país com os 10 Primcípios das Nações Unidas.</t>
  </si>
  <si>
    <t>OE 2013                                                                          CGE 2013                                                                         OE 2018                                                                         SEN</t>
  </si>
  <si>
    <t>Lei - OE 2013: 188,719.8 milhões de MT           Execução - OE 2013: 190,564.0 milhões de MT Orçamento Global do SEN 2013- Lei 542,4 milhões de MT e Execução 429,0 milhões de MT    Orçamento Global do SEN 2018 - Lei 1,210.3 milhões de MT e Execução 955,3 milhões de MT</t>
  </si>
  <si>
    <t>Instituto Nacional de Estatistica (INE) e Banco de Mocambique (BM)</t>
  </si>
  <si>
    <t>O INE e a entidade que produz e coordena a produção de estatisticas oficiais e Moçambique. O INE delegou competencias para a produção de Estatisticas Oficiais a oito (8) Ministerios atraves das Direcções de Planificação e Estatistica, nomeadamente: Ministerios da Educação e Desenvolvimento Humano; da Saude; da Ciencia e Tecnologia Ensino Superior e Tecnico Profissional; do Trabalho Emprego e Segurança Social; da Agricultura e Segurança Alimentar; da Economia e Finanças; das Obras Publicas e Habitação Recursos Hidricos; e do Mar Aguas Interiores e Pescas.            Legislação: conforme definido na Lei nº. 7/96, de 5 de Julho e  Decreto Presidencial nº 9/96 de 28 de
Agosto</t>
  </si>
  <si>
    <t>Bolsa de Valores de Moçambique (BVM)</t>
  </si>
  <si>
    <t>Valor Global das emissões de Obrigações de  Tesouro: 3.158,0 milhões de MT (Ano de 2013)  Valor Global das emissões de Obrigações de  Tesouro: 18.526,0 milhões de MT (Ano de 2019)</t>
  </si>
  <si>
    <t>Orçamento de Estado 2019                                    Conta Geral do Estado 2013</t>
  </si>
  <si>
    <t xml:space="preserve">Proporção da Receita do Estado sobre a Despesa Pública: 71.7% (Lei 2019)                              Proporção da Receita do Estado sobre a Despesa Pública: 61.4% (LEI 2013)                           Proporção da Receita do Estado sobre a Despesa Pública - Execução: 66.3% (CGE 2013)  </t>
  </si>
  <si>
    <t>Proporção dos Recursos Externos sobre o Orçamento: 21.0% (Lei 2019)                              Proporção dos Recursos Externos sobre o Orçamento: 34.3% (Lei 2013)                       Proporção  dos Recursos Externos a sobre a Execução do Orçamento: 32.7% (CGE 2013)</t>
  </si>
  <si>
    <t>MEF</t>
  </si>
  <si>
    <t>Goal 19</t>
  </si>
  <si>
    <t>Goal 20</t>
  </si>
  <si>
    <t>Southern Africa Dashboard</t>
  </si>
  <si>
    <t>Overall Performance Rating</t>
  </si>
  <si>
    <t>Central Statistics Office -Zambia</t>
  </si>
  <si>
    <t>Ministry of Water &amp; Sanitation</t>
  </si>
  <si>
    <t>Ministry of General Education/CSO</t>
  </si>
  <si>
    <t>Ministry of  Health/UN</t>
  </si>
  <si>
    <t>ZDHS -2018</t>
  </si>
  <si>
    <t>National Aids Council</t>
  </si>
  <si>
    <t>No current data provided for this indicator. Indicator pefrormance to be set to 0% if data is not provided</t>
  </si>
  <si>
    <t>WB</t>
  </si>
  <si>
    <t>AFCFTA/UNITAD</t>
  </si>
  <si>
    <t xml:space="preserve">Zambia signed the AfCFTA agreement in 2019 and has not ratifiied the agreement. Status revised based on the AU wedportal </t>
  </si>
  <si>
    <t>Updated based on the AU portal on AfCFTA</t>
  </si>
  <si>
    <t>Data not provided by MS on the status of domestication of the charter on democracy.</t>
  </si>
  <si>
    <t>Updated based on data from the AU webportal</t>
  </si>
  <si>
    <t>MINECOFIN Report</t>
  </si>
  <si>
    <t>Using NISR data for National Accounts and Population, Macro calculates the GNI Per Capita</t>
  </si>
  <si>
    <t>NISR, LFS</t>
  </si>
  <si>
    <t>LFS (2018)
Male: 13.5%
Female: 17.1%</t>
  </si>
  <si>
    <t xml:space="preserve">NISR, DHS
</t>
  </si>
  <si>
    <t>NISR, EICV</t>
  </si>
  <si>
    <t>MININFRA, Administrative data</t>
  </si>
  <si>
    <t>No baseline data provided for this indicator. The indicator performance rating to be set to zero</t>
  </si>
  <si>
    <t>Education Statistics Bulletin</t>
  </si>
  <si>
    <t>2017 Education Statistics Report</t>
  </si>
  <si>
    <t>No data provided for this indicator. The indicator performance rating to be set to zero</t>
  </si>
  <si>
    <t>per 100,000</t>
  </si>
  <si>
    <t>1000 live birth</t>
  </si>
  <si>
    <t>LDHS 2014</t>
  </si>
  <si>
    <t>85 per 1000 live births, Current figure from MICS 2018</t>
  </si>
  <si>
    <t>HMIS 2016, 852 per 100 000</t>
  </si>
  <si>
    <t>National Accounts Report (National Statistics Office)</t>
  </si>
  <si>
    <t>Current value is for 2017</t>
  </si>
  <si>
    <t>Current value is for 2017, own computation</t>
  </si>
  <si>
    <t>World Travel and Tourism Council- Travel and Tourism Impact 2017 Lesotho</t>
  </si>
  <si>
    <t>National Accounts (National Accounts office BOS)</t>
  </si>
  <si>
    <t>Does not apply to Lesotho</t>
  </si>
  <si>
    <t>MINAGRI, Administrative Data</t>
  </si>
  <si>
    <t>SAII: From Orange to green, an assessment on Lesothos elections</t>
  </si>
  <si>
    <t>African Institute of South Africa Policy brief of 2011</t>
  </si>
  <si>
    <t>Lesotho ratified in 2011</t>
  </si>
  <si>
    <t>Afrobarometer Round 6 survey in Lesotho, Baseline figure is for 2014</t>
  </si>
  <si>
    <t>No current data provided for this indicator. The indicator performance rating to be set to zero</t>
  </si>
  <si>
    <t>Data not available</t>
  </si>
  <si>
    <t>Rwanda has a National Security Council</t>
  </si>
  <si>
    <t>National Assembly Annual Report 2017</t>
  </si>
  <si>
    <t>BOS Crime Stastics Report 2015; 86 cases per 100000 people</t>
  </si>
  <si>
    <t>No data source indicated</t>
  </si>
  <si>
    <t>MICS 2018</t>
  </si>
  <si>
    <t>MICS 2019</t>
  </si>
  <si>
    <t>Bureau of Statistics</t>
  </si>
  <si>
    <t>Statistical Act 2002</t>
  </si>
  <si>
    <t>RRA Annual activity report 2018/19</t>
  </si>
  <si>
    <t>Note that what was captured is not conclusive e.g. contributions from PPPs are not captured. This contribution includes; Umuganda, Agaciro Development Fund, Innovative Taxes e.g. Infrastructure levy, Strategic reserves levy, CBHI membership contributions and Road maintance fund</t>
  </si>
  <si>
    <t>National Accounts Reports, 2019 Q3 Stats Brief -Tbl 9</t>
  </si>
  <si>
    <t>national drought assessment report,, 2019</t>
  </si>
  <si>
    <t>The final submission has no current value and shows a baseline of 3.5. This could be mistake made in the final stages as the first versions had dats.</t>
  </si>
  <si>
    <t>2017, Botswana National Commission on UNESCO</t>
  </si>
  <si>
    <t>Data sources not indicated</t>
  </si>
  <si>
    <t>That can be calculated but data is not readily available from MOE. All teachers fro Primary to Upper secondary meet the minimum teaching requirements for their levels. The challenge is still with Pre - Primary. Each school running ECD has atleast a qualified teacher.</t>
  </si>
  <si>
    <t>That can be calculated but data is not readily available from MOE. No data provided. Indicator pefrormance to be set to 0% if data is not provided</t>
  </si>
  <si>
    <t>This statistcs will be calculated by National Accounts once data is availed from R &amp; D</t>
  </si>
  <si>
    <t>data not radily available or not compiled as required but can be done</t>
  </si>
  <si>
    <t>This statistcs can be calculated by Agric Stats once data is availed from MoA&amp; FS</t>
  </si>
  <si>
    <t>No data provided. Need to follow up with the Country as this indicator may not apply to Botswana.</t>
  </si>
  <si>
    <t>17.1% game reserves and national parks, 0.8% forest reserves. Total protected area 18.2%</t>
  </si>
  <si>
    <t>ICT Statsbrief 2014, base year is 2014 current still to be calculated from CMTHS 2019</t>
  </si>
  <si>
    <t>No current data, Indicator performance to be set to 0% if current data is not provided.</t>
  </si>
  <si>
    <t>No data provided on domestication. Indicator pefrormance to be set to 0% if data is not provided</t>
  </si>
  <si>
    <t>Ministry of Education  Reports, current is 2019</t>
  </si>
  <si>
    <t>Member state to comfirm if the data is 6% for baseline and 11% for current value.</t>
  </si>
  <si>
    <t>The figure is for Sexual Violence  among females aged 18-24 years and realise that physical violence is also available at 78.2 for same age group. Botswana Violence Against Children Survey 2016</t>
  </si>
  <si>
    <t>Vital Statistics Report 2017, Statistics Botswana</t>
  </si>
  <si>
    <t xml:space="preserve">  Current figure is of 2017</t>
  </si>
  <si>
    <t>Statistics Act, 2009. Section 29.</t>
  </si>
  <si>
    <t>Statistics Botswana  ensures that the NSS carries out its primary objective of production and dissemination of official statistics in accordance with the principles of official statistics, under Section 29 of Statistics Act, 2009.</t>
  </si>
  <si>
    <t>SB still compiling the figures</t>
  </si>
  <si>
    <t>No baseline data provided. Indicator pefrormance to be set to 0% if data is not provided</t>
  </si>
  <si>
    <t>Statistics Botswana Strategic Plan 2015-2020. Refer to SB Planning Matrix.Baseline year= 2015/16 . Eleven (11) MoUs have been signed as of Dec. 2019.Action plans have been developed for four (4) out of the 11 MoUs. The MoUs are at various stages of implementation. Fifteen (17) MoUs were expected to be signed by 2019/20.</t>
  </si>
  <si>
    <t>Data chenged to 100% for both basline and current because at both instances, the  institutional arrangements existence but the only diffence is the number of MOUs.</t>
  </si>
  <si>
    <t>Baseline and current data switched in the final  version</t>
  </si>
  <si>
    <t>Data has been provided but the Member State is using absolute values and not reporting incidence per 1000 persons</t>
  </si>
  <si>
    <t>No basline data provided for this indicator. The indicator performance rating to be set to zero</t>
  </si>
  <si>
    <t>Current data provided at 74224 and baseline being 10139. The data is not a proprotion  and gives a huge percentage which greatlt affects priority area score. Data not used in the template.</t>
  </si>
  <si>
    <t>Lesotho has only signed the AfCFTA and not ratified yet</t>
  </si>
  <si>
    <t>There is need for clarification on this indicator. There are 6-7 protocols Member States have to sign.</t>
  </si>
  <si>
    <t>Central bank of Eswatini annual reports (2013) and (2018)</t>
  </si>
  <si>
    <t>Labour Force Survey (2013) and (2016)</t>
  </si>
  <si>
    <t>Household Income and Expenditure Survey( 2018) and Multiple Indicator Cluster Survey( 2014)</t>
  </si>
  <si>
    <t xml:space="preserve"> MNRE 2018 and Household Income and Expenditure Survey 2018</t>
  </si>
  <si>
    <t>Data is on improved source of drinking water</t>
  </si>
  <si>
    <t>MNRE (2018)</t>
  </si>
  <si>
    <t>The country is currently collecting data to inform MICS 2019</t>
  </si>
  <si>
    <t>Household Income and Expenditure Survey(2010) and (2017)</t>
  </si>
  <si>
    <t>EMIS Reports (2016)</t>
  </si>
  <si>
    <t>SHIES 2010 and EHIES 2017</t>
  </si>
  <si>
    <t xml:space="preserve">SHIES is Swaziland Household Income and Expenditure Survey and EHIES is Eswatini  Household Income and Expenditure Survey </t>
  </si>
  <si>
    <t>NISR, DHS</t>
  </si>
  <si>
    <t>HIV Annual  Reports</t>
  </si>
  <si>
    <t>GDP National Accounts</t>
  </si>
  <si>
    <t>NISR National Accounts</t>
  </si>
  <si>
    <t>The data provided in in absolute terms and does not match the required data. Baseline 134 and Current value 72447.</t>
  </si>
  <si>
    <t>Tourism Satelite Account 2017</t>
  </si>
  <si>
    <t xml:space="preserve">
</t>
  </si>
  <si>
    <t>Swaziland Sugar Association Annual report (2013/14) and (2017/18)</t>
  </si>
  <si>
    <t>Swaziland Sugar Association Annual report (2017/18)</t>
  </si>
  <si>
    <t>The data provided is in absolute form baseline 414 and current value 449</t>
  </si>
  <si>
    <t>The data provided is in absolute values  which does allow the performance of analysis in line with the methodology. Baseline 736.4 and 857.0.</t>
  </si>
  <si>
    <t>No basline data has been provided. The indicator performance rating will be set to 0.</t>
  </si>
  <si>
    <t xml:space="preserve">No data provided. Indicator performance to be set to zero. </t>
  </si>
  <si>
    <t>Eswatini signed and ratified the AfCFTA treaty by 2018</t>
  </si>
  <si>
    <t>Swaziland Electircity Company Annual report (2017/18)</t>
  </si>
  <si>
    <t>The data is based on imported power (GWh). This raises questions because the indicator focus on Energy Generated not imported.</t>
  </si>
  <si>
    <t>The data provided is for the number of subscribers which is not the data requested for in the M&amp;E handbook. Baseline - no data, current is 873375</t>
  </si>
  <si>
    <t>NISR, National Accounts</t>
  </si>
  <si>
    <t>No data provided. Indicator performance set to 0%</t>
  </si>
  <si>
    <t>Member State needs to validate the zero values. Is this an indication of lack of data.</t>
  </si>
  <si>
    <t xml:space="preserve">No baseline data provided and current value is 0 which needs to be validated by the Member State. </t>
  </si>
  <si>
    <t>Updated based on the AU portal, Eswatini signed the charter in 2008</t>
  </si>
  <si>
    <t>Updated based on the AU portal, Eswatini signed has not ratified the charter.</t>
  </si>
  <si>
    <t>RGS</t>
  </si>
  <si>
    <t>No current data provided. Indicator performance set to 0%</t>
  </si>
  <si>
    <t>Swaziland Gender Development Index (2016)</t>
  </si>
  <si>
    <t>Member State needs to validate the zero values. Is this an indication of lack of data. No baseline data provided.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</si>
</sst>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00"/>
  </numFmts>
  <fonts count="61"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Arial"/>
      <family val="2"/>
    </font>
    <font>
      <b/>
      <sz val="8"/>
      <color theme="1"/>
      <name val="Arial"/>
      <family val="2"/>
    </font>
    <font>
      <sz val="8"/>
      <color rgb="FF000000"/>
      <name val="Arial"/>
      <family val="2"/>
    </font>
    <font>
      <b/>
      <sz val="8"/>
      <color rgb="FF1F3864"/>
      <name val="Arial"/>
      <family val="2"/>
    </font>
    <font>
      <sz val="14"/>
      <color rgb="FFFF0000"/>
      <name val="Calibri"/>
      <family val="2"/>
      <scheme val="minor"/>
    </font>
    <font>
      <sz val="16"/>
      <color rgb="FFFF0000"/>
      <name val="Calibri"/>
      <family val="2"/>
      <scheme val="minor"/>
    </font>
    <font>
      <u/>
      <sz val="11"/>
      <color theme="10"/>
      <name val="Calibri"/>
      <family val="2"/>
      <scheme val="minor"/>
    </font>
    <font>
      <b/>
      <sz val="8"/>
      <name val="Arial"/>
      <family val="2"/>
    </font>
    <font>
      <b/>
      <sz val="12"/>
      <color theme="1"/>
      <name val="Calibri"/>
      <family val="2"/>
      <scheme val="minor"/>
    </font>
    <font>
      <b/>
      <sz val="8"/>
      <color rgb="FF000000"/>
      <name val="Arial"/>
      <family val="2"/>
    </font>
    <font>
      <b/>
      <i/>
      <sz val="11"/>
      <color theme="1"/>
      <name val="Calibri"/>
      <family val="2"/>
      <scheme val="minor"/>
    </font>
    <font>
      <b/>
      <sz val="10"/>
      <color theme="1"/>
      <name val="Arial Narrow"/>
      <family val="2"/>
    </font>
    <font>
      <sz val="9"/>
      <color theme="1"/>
      <name val="Calibri"/>
      <family val="2"/>
      <scheme val="minor"/>
    </font>
    <font>
      <sz val="11"/>
      <name val="Calibri"/>
      <family val="2"/>
      <scheme val="minor"/>
    </font>
    <font>
      <sz val="11"/>
      <color theme="0" tint="-4.9989318521683403E-2"/>
      <name val="Calibri"/>
      <family val="2"/>
      <scheme val="minor"/>
    </font>
    <font>
      <b/>
      <sz val="16"/>
      <name val="Calibri"/>
      <family val="2"/>
      <scheme val="minor"/>
    </font>
    <font>
      <b/>
      <sz val="16"/>
      <color theme="1"/>
      <name val="Calibri"/>
      <family val="2"/>
      <scheme val="minor"/>
    </font>
    <font>
      <sz val="11"/>
      <color theme="8" tint="-0.249977111117893"/>
      <name val="Calibri"/>
      <family val="2"/>
      <scheme val="minor"/>
    </font>
    <font>
      <sz val="20"/>
      <color theme="0"/>
      <name val="Arial Black"/>
      <family val="2"/>
    </font>
    <font>
      <sz val="9"/>
      <color theme="1"/>
      <name val="Arial"/>
      <family val="2"/>
    </font>
    <font>
      <b/>
      <sz val="9"/>
      <color theme="1"/>
      <name val="Arial"/>
      <family val="2"/>
    </font>
    <font>
      <sz val="9"/>
      <color rgb="FF000000"/>
      <name val="Arial"/>
      <family val="2"/>
    </font>
    <font>
      <b/>
      <sz val="9"/>
      <color rgb="FF000000"/>
      <name val="Arial"/>
      <family val="2"/>
    </font>
    <font>
      <b/>
      <sz val="9"/>
      <name val="Arial"/>
      <family val="2"/>
    </font>
    <font>
      <sz val="9"/>
      <name val="Arial"/>
      <family val="2"/>
    </font>
    <font>
      <b/>
      <sz val="9"/>
      <color theme="1"/>
      <name val="Calibri"/>
      <family val="2"/>
      <scheme val="minor"/>
    </font>
    <font>
      <b/>
      <sz val="14"/>
      <name val="Calibri"/>
      <family val="2"/>
      <scheme val="minor"/>
    </font>
    <font>
      <b/>
      <sz val="9"/>
      <color rgb="FF1F3864"/>
      <name val="Arial"/>
      <family val="2"/>
    </font>
    <font>
      <sz val="8"/>
      <color rgb="FF1F3864"/>
      <name val="Arial"/>
      <family val="2"/>
    </font>
    <font>
      <sz val="8"/>
      <name val="Arial"/>
      <family val="2"/>
    </font>
    <font>
      <b/>
      <sz val="11"/>
      <name val="Calibri"/>
      <family val="2"/>
      <scheme val="minor"/>
    </font>
    <font>
      <u/>
      <sz val="8"/>
      <color theme="10"/>
      <name val="Calibri"/>
      <family val="2"/>
      <scheme val="minor"/>
    </font>
    <font>
      <u/>
      <sz val="9"/>
      <color theme="10"/>
      <name val="Calibri"/>
      <family val="2"/>
      <scheme val="minor"/>
    </font>
    <font>
      <b/>
      <u/>
      <sz val="9"/>
      <color theme="10"/>
      <name val="Calibri"/>
      <family val="2"/>
      <scheme val="minor"/>
    </font>
    <font>
      <b/>
      <sz val="16"/>
      <color theme="1"/>
      <name val="Arial"/>
      <family val="2"/>
    </font>
    <font>
      <b/>
      <sz val="9"/>
      <color rgb="FFFF0000"/>
      <name val="Arial"/>
      <family val="2"/>
    </font>
    <font>
      <sz val="8"/>
      <color theme="1"/>
      <name val="Calibri"/>
      <family val="2"/>
      <scheme val="minor"/>
    </font>
    <font>
      <sz val="9"/>
      <name val="Calibri"/>
      <family val="2"/>
      <scheme val="minor"/>
    </font>
    <font>
      <b/>
      <sz val="9"/>
      <name val="Calibri"/>
      <family val="2"/>
      <scheme val="minor"/>
    </font>
    <font>
      <b/>
      <sz val="9"/>
      <color indexed="81"/>
      <name val="Tahoma"/>
      <family val="2"/>
    </font>
    <font>
      <sz val="9"/>
      <color indexed="81"/>
      <name val="Tahoma"/>
      <family val="2"/>
    </font>
    <font>
      <sz val="8"/>
      <name val="Calibri"/>
      <family val="2"/>
      <scheme val="minor"/>
    </font>
    <font>
      <b/>
      <sz val="20"/>
      <color theme="1"/>
      <name val="Calibri"/>
      <family val="2"/>
      <scheme val="minor"/>
    </font>
    <font>
      <sz val="20"/>
      <color theme="1"/>
      <name val="Calibri"/>
      <family val="2"/>
      <scheme val="minor"/>
    </font>
    <font>
      <b/>
      <sz val="18"/>
      <color theme="1"/>
      <name val="Calibri"/>
      <family val="2"/>
      <scheme val="minor"/>
    </font>
    <font>
      <b/>
      <sz val="14"/>
      <color theme="1"/>
      <name val="Calibri"/>
      <family val="2"/>
      <scheme val="minor"/>
    </font>
    <font>
      <sz val="9"/>
      <color rgb="FFFF0000"/>
      <name val="Arial"/>
      <family val="2"/>
    </font>
    <font>
      <b/>
      <sz val="9"/>
      <color rgb="FF0000CC"/>
      <name val="Arial"/>
      <family val="2"/>
    </font>
    <font>
      <u/>
      <sz val="9"/>
      <name val="Calibri"/>
      <family val="2"/>
      <scheme val="minor"/>
    </font>
    <font>
      <sz val="14"/>
      <color theme="1"/>
      <name val="Calibri"/>
      <family val="2"/>
      <scheme val="minor"/>
    </font>
    <font>
      <b/>
      <u/>
      <sz val="9"/>
      <name val="Calibri"/>
      <family val="2"/>
      <scheme val="minor"/>
    </font>
    <font>
      <sz val="16"/>
      <color theme="1"/>
      <name val="Calibri"/>
      <family val="2"/>
      <scheme val="minor"/>
    </font>
    <font>
      <b/>
      <sz val="8"/>
      <color rgb="FF0000CC"/>
      <name val="Arial"/>
      <family val="2"/>
    </font>
    <font>
      <sz val="10"/>
      <name val="Calibri"/>
      <family val="2"/>
      <scheme val="minor"/>
    </font>
    <font>
      <sz val="10"/>
      <color theme="1"/>
      <name val="Calibri"/>
      <family val="2"/>
      <scheme val="minor"/>
    </font>
    <font>
      <b/>
      <sz val="12"/>
      <color theme="1"/>
      <name val="Arial"/>
      <family val="2"/>
    </font>
    <font>
      <b/>
      <sz val="12"/>
      <color theme="0" tint="-4.9989318521683403E-2"/>
      <name val="Calibri"/>
      <family val="2"/>
      <scheme val="minor"/>
    </font>
    <font>
      <b/>
      <sz val="12"/>
      <color rgb="FF000000"/>
      <name val="Arial"/>
      <family val="2"/>
    </font>
  </fonts>
  <fills count="31">
    <fill>
      <patternFill patternType="none"/>
    </fill>
    <fill>
      <patternFill patternType="gray125"/>
    </fill>
    <fill>
      <patternFill patternType="solid">
        <fgColor rgb="FFF2F2F2"/>
        <bgColor indexed="64"/>
      </patternFill>
    </fill>
    <fill>
      <patternFill patternType="solid">
        <fgColor rgb="FFBDD6EE"/>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92FB4B"/>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33CCFF"/>
        <bgColor indexed="64"/>
      </patternFill>
    </fill>
    <fill>
      <patternFill patternType="solid">
        <fgColor rgb="FF002060"/>
        <bgColor indexed="64"/>
      </patternFill>
    </fill>
    <fill>
      <patternFill patternType="solid">
        <fgColor rgb="FFFFFF00"/>
        <bgColor indexed="64"/>
      </patternFill>
    </fill>
    <fill>
      <patternFill patternType="solid">
        <fgColor rgb="FF000066"/>
        <bgColor indexed="64"/>
      </patternFill>
    </fill>
    <fill>
      <patternFill patternType="solid">
        <fgColor theme="9" tint="0.39997558519241921"/>
        <bgColor indexed="64"/>
      </patternFill>
    </fill>
    <fill>
      <patternFill patternType="solid">
        <fgColor rgb="FFFF99FF"/>
        <bgColor indexed="64"/>
      </patternFill>
    </fill>
    <fill>
      <patternFill patternType="solid">
        <fgColor rgb="FF92D050"/>
        <bgColor indexed="64"/>
      </patternFill>
    </fill>
    <fill>
      <patternFill patternType="solid">
        <fgColor rgb="FFFFFF99"/>
        <bgColor indexed="64"/>
      </patternFill>
    </fill>
  </fills>
  <borders count="7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top style="thin">
        <color auto="1"/>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top style="medium">
        <color indexed="64"/>
      </top>
      <bottom style="thin">
        <color auto="1"/>
      </bottom>
      <diagonal/>
    </border>
    <border>
      <left/>
      <right/>
      <top style="thin">
        <color auto="1"/>
      </top>
      <bottom style="thin">
        <color auto="1"/>
      </bottom>
      <diagonal/>
    </border>
    <border>
      <left/>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auto="1"/>
      </left>
      <right style="medium">
        <color indexed="64"/>
      </right>
      <top style="thin">
        <color auto="1"/>
      </top>
      <bottom/>
      <diagonal/>
    </border>
    <border>
      <left/>
      <right/>
      <top style="thin">
        <color auto="1"/>
      </top>
      <bottom/>
      <diagonal/>
    </border>
    <border>
      <left style="medium">
        <color indexed="64"/>
      </left>
      <right style="medium">
        <color indexed="64"/>
      </right>
      <top style="thin">
        <color auto="1"/>
      </top>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right style="thin">
        <color auto="1"/>
      </right>
      <top style="medium">
        <color indexed="64"/>
      </top>
      <bottom style="thin">
        <color auto="1"/>
      </bottom>
      <diagonal/>
    </border>
    <border>
      <left style="medium">
        <color indexed="64"/>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bottom style="thin">
        <color auto="1"/>
      </bottom>
      <diagonal/>
    </border>
    <border>
      <left style="medium">
        <color indexed="64"/>
      </left>
      <right style="thin">
        <color auto="1"/>
      </right>
      <top/>
      <bottom style="thin">
        <color auto="1"/>
      </bottom>
      <diagonal/>
    </border>
    <border>
      <left style="thin">
        <color auto="1"/>
      </left>
      <right/>
      <top style="thin">
        <color auto="1"/>
      </top>
      <bottom/>
      <diagonal/>
    </border>
    <border>
      <left style="medium">
        <color indexed="64"/>
      </left>
      <right style="thin">
        <color indexed="64"/>
      </right>
      <top/>
      <bottom style="medium">
        <color indexed="64"/>
      </bottom>
      <diagonal/>
    </border>
    <border>
      <left style="thin">
        <color auto="1"/>
      </left>
      <right style="medium">
        <color indexed="64"/>
      </right>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top/>
      <bottom style="thin">
        <color indexed="64"/>
      </bottom>
      <diagonal/>
    </border>
    <border>
      <left/>
      <right style="medium">
        <color indexed="64"/>
      </right>
      <top/>
      <bottom style="thin">
        <color auto="1"/>
      </bottom>
      <diagonal/>
    </border>
    <border>
      <left/>
      <right style="thin">
        <color indexed="64"/>
      </right>
      <top style="thin">
        <color indexed="64"/>
      </top>
      <bottom/>
      <diagonal/>
    </border>
    <border>
      <left/>
      <right style="medium">
        <color indexed="64"/>
      </right>
      <top style="thin">
        <color auto="1"/>
      </top>
      <bottom/>
      <diagonal/>
    </border>
    <border>
      <left style="thin">
        <color auto="1"/>
      </left>
      <right/>
      <top/>
      <bottom style="medium">
        <color indexed="64"/>
      </bottom>
      <diagonal/>
    </border>
    <border>
      <left style="medium">
        <color indexed="64"/>
      </left>
      <right/>
      <top/>
      <bottom style="thin">
        <color auto="1"/>
      </bottom>
      <diagonal/>
    </border>
    <border>
      <left style="thin">
        <color auto="1"/>
      </left>
      <right style="thin">
        <color auto="1"/>
      </right>
      <top/>
      <bottom style="medium">
        <color indexed="64"/>
      </bottom>
      <diagonal/>
    </border>
    <border>
      <left style="thin">
        <color auto="1"/>
      </left>
      <right style="thin">
        <color auto="1"/>
      </right>
      <top/>
      <bottom/>
      <diagonal/>
    </border>
    <border>
      <left style="thin">
        <color auto="1"/>
      </left>
      <right style="medium">
        <color indexed="64"/>
      </right>
      <top style="medium">
        <color indexed="64"/>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style="medium">
        <color indexed="64"/>
      </top>
      <bottom/>
      <diagonal/>
    </border>
    <border>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0" fontId="9" fillId="0" borderId="0" applyNumberFormat="0" applyFill="0" applyBorder="0" applyAlignment="0" applyProtection="0"/>
  </cellStyleXfs>
  <cellXfs count="2178">
    <xf numFmtId="0" fontId="0" fillId="0" borderId="0" xfId="0"/>
    <xf numFmtId="0" fontId="0" fillId="24" borderId="0" xfId="0" applyFill="1" applyProtection="1">
      <protection locked="0"/>
    </xf>
    <xf numFmtId="0" fontId="20" fillId="24" borderId="42" xfId="0" applyFont="1" applyFill="1" applyBorder="1" applyProtection="1">
      <protection locked="0"/>
    </xf>
    <xf numFmtId="0" fontId="20" fillId="24" borderId="44" xfId="0" applyFont="1" applyFill="1" applyBorder="1" applyProtection="1">
      <protection locked="0"/>
    </xf>
    <xf numFmtId="0" fontId="20" fillId="24" borderId="45" xfId="0" applyFont="1" applyFill="1" applyBorder="1" applyProtection="1">
      <protection locked="0"/>
    </xf>
    <xf numFmtId="0" fontId="0" fillId="0" borderId="0" xfId="0" applyProtection="1">
      <protection locked="0"/>
    </xf>
    <xf numFmtId="0" fontId="20" fillId="24" borderId="9" xfId="0" applyFont="1" applyFill="1" applyBorder="1" applyProtection="1">
      <protection locked="0"/>
    </xf>
    <xf numFmtId="0" fontId="17" fillId="24" borderId="9" xfId="0" applyFont="1" applyFill="1" applyBorder="1" applyProtection="1">
      <protection locked="0"/>
    </xf>
    <xf numFmtId="0" fontId="18" fillId="12" borderId="1" xfId="0" applyFont="1" applyFill="1" applyBorder="1" applyAlignment="1" applyProtection="1">
      <alignment horizontal="center" vertical="center"/>
      <protection locked="0"/>
    </xf>
    <xf numFmtId="0" fontId="17" fillId="24" borderId="6" xfId="0" applyFont="1" applyFill="1" applyBorder="1" applyProtection="1">
      <protection locked="0"/>
    </xf>
    <xf numFmtId="0" fontId="17" fillId="24" borderId="7" xfId="0" applyFont="1" applyFill="1" applyBorder="1" applyProtection="1">
      <protection locked="0"/>
    </xf>
    <xf numFmtId="0" fontId="0" fillId="2" borderId="3" xfId="0" applyFill="1" applyBorder="1" applyAlignment="1" applyProtection="1">
      <alignment vertical="center" wrapText="1"/>
      <protection locked="0"/>
    </xf>
    <xf numFmtId="0" fontId="0" fillId="9" borderId="3" xfId="0" applyFill="1" applyBorder="1" applyProtection="1">
      <protection locked="0"/>
    </xf>
    <xf numFmtId="0" fontId="0" fillId="9" borderId="1" xfId="0" applyFill="1" applyBorder="1" applyProtection="1">
      <protection locked="0"/>
    </xf>
    <xf numFmtId="0" fontId="8" fillId="0" borderId="0" xfId="0" applyFont="1" applyProtection="1">
      <protection locked="0"/>
    </xf>
    <xf numFmtId="0" fontId="7"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0" fillId="14" borderId="3" xfId="0" applyFill="1" applyBorder="1" applyProtection="1">
      <protection locked="0"/>
    </xf>
    <xf numFmtId="0" fontId="0" fillId="14" borderId="4" xfId="0" applyFill="1" applyBorder="1" applyProtection="1">
      <protection locked="0"/>
    </xf>
    <xf numFmtId="0" fontId="11" fillId="0" borderId="0" xfId="0" applyFont="1" applyProtection="1">
      <protection locked="0"/>
    </xf>
    <xf numFmtId="0" fontId="9" fillId="0" borderId="0" xfId="3" applyProtection="1">
      <protection locked="0"/>
    </xf>
    <xf numFmtId="0" fontId="0" fillId="0" borderId="0" xfId="0" applyProtection="1"/>
    <xf numFmtId="0" fontId="2" fillId="5" borderId="15" xfId="0" applyFont="1" applyFill="1" applyBorder="1" applyProtection="1"/>
    <xf numFmtId="2" fontId="2" fillId="5" borderId="11" xfId="0" applyNumberFormat="1" applyFont="1" applyFill="1" applyBorder="1" applyProtection="1"/>
    <xf numFmtId="0" fontId="0" fillId="5" borderId="11" xfId="0" applyFill="1" applyBorder="1" applyProtection="1"/>
    <xf numFmtId="0" fontId="0" fillId="5" borderId="20" xfId="0" applyFill="1" applyBorder="1" applyProtection="1"/>
    <xf numFmtId="0" fontId="13" fillId="5" borderId="15" xfId="0" applyFont="1" applyFill="1" applyBorder="1" applyAlignment="1" applyProtection="1">
      <alignment vertical="center"/>
    </xf>
    <xf numFmtId="2" fontId="14" fillId="5" borderId="11" xfId="0" applyNumberFormat="1" applyFont="1" applyFill="1" applyBorder="1" applyAlignment="1" applyProtection="1">
      <alignment horizontal="center" vertical="center"/>
    </xf>
    <xf numFmtId="9" fontId="0" fillId="5" borderId="11" xfId="1" applyFont="1" applyFill="1" applyBorder="1" applyProtection="1"/>
    <xf numFmtId="0" fontId="13" fillId="5" borderId="21" xfId="0" applyFont="1" applyFill="1" applyBorder="1" applyAlignment="1" applyProtection="1">
      <alignment vertical="center"/>
    </xf>
    <xf numFmtId="2" fontId="14" fillId="5" borderId="22" xfId="0" applyNumberFormat="1" applyFont="1" applyFill="1" applyBorder="1" applyAlignment="1" applyProtection="1">
      <alignment horizontal="center" vertical="center"/>
    </xf>
    <xf numFmtId="2" fontId="0" fillId="5" borderId="22" xfId="0" applyNumberFormat="1" applyFill="1" applyBorder="1" applyProtection="1"/>
    <xf numFmtId="0" fontId="0" fillId="5" borderId="23" xfId="0" applyFill="1" applyBorder="1" applyProtection="1"/>
    <xf numFmtId="0" fontId="3" fillId="3" borderId="0" xfId="0" applyFont="1" applyFill="1" applyBorder="1" applyAlignment="1" applyProtection="1">
      <alignment vertical="center" wrapText="1"/>
    </xf>
    <xf numFmtId="0" fontId="3" fillId="3" borderId="2" xfId="0" applyFont="1" applyFill="1" applyBorder="1" applyAlignment="1" applyProtection="1">
      <alignment vertical="center" wrapText="1"/>
    </xf>
    <xf numFmtId="0" fontId="3" fillId="3" borderId="3" xfId="0" applyFont="1" applyFill="1" applyBorder="1" applyAlignment="1" applyProtection="1">
      <alignment vertical="center" wrapText="1"/>
    </xf>
    <xf numFmtId="0" fontId="6" fillId="3" borderId="2" xfId="0" applyFont="1" applyFill="1" applyBorder="1" applyAlignment="1" applyProtection="1">
      <alignment vertical="center" wrapText="1"/>
    </xf>
    <xf numFmtId="0" fontId="6" fillId="3" borderId="3" xfId="0" applyFont="1" applyFill="1" applyBorder="1" applyAlignment="1" applyProtection="1">
      <alignment vertical="center" wrapText="1"/>
    </xf>
    <xf numFmtId="0" fontId="0" fillId="2" borderId="16" xfId="0" applyFill="1" applyBorder="1" applyAlignment="1" applyProtection="1">
      <alignment vertical="center" wrapText="1"/>
    </xf>
    <xf numFmtId="0" fontId="0" fillId="3" borderId="0" xfId="0" applyFill="1" applyBorder="1" applyAlignment="1" applyProtection="1">
      <alignment vertical="center" wrapText="1"/>
    </xf>
    <xf numFmtId="0" fontId="0" fillId="9" borderId="3" xfId="0" applyFill="1" applyBorder="1" applyAlignment="1" applyProtection="1">
      <alignment vertical="center" wrapText="1"/>
    </xf>
    <xf numFmtId="0" fontId="0" fillId="2" borderId="2" xfId="0" applyFill="1" applyBorder="1" applyAlignment="1" applyProtection="1">
      <alignment vertical="center" wrapText="1"/>
    </xf>
    <xf numFmtId="0" fontId="3" fillId="3" borderId="44" xfId="0" applyFont="1" applyFill="1" applyBorder="1" applyAlignment="1" applyProtection="1">
      <alignment vertical="center" wrapText="1"/>
    </xf>
    <xf numFmtId="0" fontId="2" fillId="5" borderId="17" xfId="0" applyFont="1" applyFill="1" applyBorder="1" applyProtection="1"/>
    <xf numFmtId="0" fontId="0" fillId="5" borderId="18" xfId="0" applyFill="1" applyBorder="1" applyProtection="1"/>
    <xf numFmtId="0" fontId="0" fillId="5" borderId="19" xfId="0" applyFill="1" applyBorder="1" applyProtection="1"/>
    <xf numFmtId="0" fontId="3" fillId="3" borderId="16" xfId="0" applyFont="1" applyFill="1" applyBorder="1" applyAlignment="1" applyProtection="1">
      <alignment vertical="center" wrapText="1"/>
    </xf>
    <xf numFmtId="0" fontId="3" fillId="3" borderId="6" xfId="0" applyFont="1" applyFill="1" applyBorder="1" applyAlignment="1" applyProtection="1">
      <alignment vertical="center" wrapText="1"/>
    </xf>
    <xf numFmtId="0" fontId="24" fillId="0" borderId="31" xfId="0" applyFont="1" applyFill="1" applyBorder="1" applyAlignment="1" applyProtection="1">
      <alignment vertical="center" wrapText="1"/>
    </xf>
    <xf numFmtId="0" fontId="4" fillId="0" borderId="1" xfId="0" applyFont="1" applyBorder="1" applyAlignment="1" applyProtection="1">
      <alignment vertical="center" wrapText="1"/>
    </xf>
    <xf numFmtId="0" fontId="24" fillId="0" borderId="32" xfId="0" applyFont="1" applyFill="1" applyBorder="1" applyAlignment="1" applyProtection="1">
      <alignment vertical="center" wrapText="1"/>
    </xf>
    <xf numFmtId="0" fontId="24" fillId="0" borderId="19" xfId="0" applyFont="1" applyFill="1" applyBorder="1" applyAlignment="1" applyProtection="1">
      <alignment vertical="center" wrapText="1"/>
    </xf>
    <xf numFmtId="0" fontId="24" fillId="0" borderId="20" xfId="0" applyFont="1" applyFill="1" applyBorder="1" applyAlignment="1" applyProtection="1">
      <alignment vertical="center" wrapText="1"/>
    </xf>
    <xf numFmtId="0" fontId="3" fillId="3" borderId="42" xfId="0" applyFont="1" applyFill="1" applyBorder="1" applyAlignment="1" applyProtection="1">
      <alignment vertical="center" wrapText="1"/>
    </xf>
    <xf numFmtId="0" fontId="24" fillId="0" borderId="34" xfId="0" applyFont="1" applyFill="1" applyBorder="1" applyAlignment="1" applyProtection="1">
      <alignment vertical="center" wrapText="1"/>
    </xf>
    <xf numFmtId="0" fontId="24" fillId="0" borderId="2" xfId="0" applyFont="1" applyFill="1" applyBorder="1" applyAlignment="1" applyProtection="1">
      <alignment vertical="center" wrapText="1"/>
    </xf>
    <xf numFmtId="0" fontId="24" fillId="12" borderId="2" xfId="0" applyFont="1" applyFill="1" applyBorder="1" applyAlignment="1" applyProtection="1">
      <alignment vertical="center" wrapText="1"/>
    </xf>
    <xf numFmtId="0" fontId="22" fillId="0" borderId="2" xfId="0" applyFont="1" applyFill="1" applyBorder="1" applyAlignment="1" applyProtection="1">
      <alignment vertical="center" wrapText="1"/>
    </xf>
    <xf numFmtId="0" fontId="16" fillId="24" borderId="6" xfId="0" applyFont="1" applyFill="1" applyBorder="1" applyProtection="1">
      <protection locked="0"/>
    </xf>
    <xf numFmtId="0" fontId="27" fillId="0" borderId="32" xfId="0" applyFont="1" applyBorder="1" applyAlignment="1" applyProtection="1">
      <alignment vertical="center" wrapText="1"/>
    </xf>
    <xf numFmtId="0" fontId="24" fillId="12" borderId="32" xfId="0" applyFont="1" applyFill="1" applyBorder="1" applyAlignment="1" applyProtection="1">
      <alignment vertical="center" wrapText="1"/>
    </xf>
    <xf numFmtId="0" fontId="24" fillId="12" borderId="29" xfId="0" applyFont="1" applyFill="1" applyBorder="1" applyAlignment="1" applyProtection="1">
      <alignment vertical="center" wrapText="1"/>
    </xf>
    <xf numFmtId="0" fontId="24" fillId="0" borderId="30" xfId="0" applyFont="1" applyFill="1" applyBorder="1" applyAlignment="1" applyProtection="1">
      <alignment vertical="center" wrapText="1"/>
    </xf>
    <xf numFmtId="0" fontId="22" fillId="0" borderId="33" xfId="0" applyFont="1" applyBorder="1" applyAlignment="1" applyProtection="1">
      <alignment vertical="center" wrapText="1"/>
    </xf>
    <xf numFmtId="0" fontId="22" fillId="0" borderId="34" xfId="0" applyFont="1" applyBorder="1" applyAlignment="1" applyProtection="1">
      <alignment vertical="center" wrapText="1"/>
    </xf>
    <xf numFmtId="0" fontId="22" fillId="0" borderId="1" xfId="0" applyFont="1" applyBorder="1" applyAlignment="1" applyProtection="1">
      <alignment vertical="center" wrapText="1"/>
    </xf>
    <xf numFmtId="0" fontId="24" fillId="0" borderId="1" xfId="0" applyFont="1" applyFill="1" applyBorder="1" applyAlignment="1" applyProtection="1">
      <alignment vertical="center" wrapText="1"/>
    </xf>
    <xf numFmtId="0" fontId="24" fillId="12" borderId="1" xfId="0" applyFont="1" applyFill="1" applyBorder="1" applyAlignment="1" applyProtection="1">
      <alignment vertical="center" wrapText="1"/>
    </xf>
    <xf numFmtId="0" fontId="24" fillId="0" borderId="5" xfId="0" applyFont="1" applyBorder="1" applyAlignment="1" applyProtection="1">
      <alignment vertical="center" wrapText="1"/>
    </xf>
    <xf numFmtId="0" fontId="24" fillId="12" borderId="7" xfId="0" applyFont="1" applyFill="1" applyBorder="1" applyAlignment="1" applyProtection="1">
      <alignment vertical="center" wrapText="1"/>
    </xf>
    <xf numFmtId="0" fontId="24" fillId="0" borderId="7" xfId="0" applyFont="1" applyBorder="1" applyAlignment="1" applyProtection="1">
      <alignment vertical="center" wrapText="1"/>
    </xf>
    <xf numFmtId="0" fontId="24" fillId="12" borderId="30" xfId="0" applyFont="1" applyFill="1" applyBorder="1" applyAlignment="1" applyProtection="1">
      <alignment vertical="center" wrapText="1"/>
    </xf>
    <xf numFmtId="0" fontId="24" fillId="12" borderId="31" xfId="0" applyFont="1" applyFill="1" applyBorder="1" applyAlignment="1" applyProtection="1">
      <alignment vertical="center" wrapText="1"/>
    </xf>
    <xf numFmtId="0" fontId="24" fillId="0" borderId="26" xfId="0" applyFont="1" applyFill="1" applyBorder="1" applyAlignment="1" applyProtection="1">
      <alignment vertical="center" wrapText="1"/>
    </xf>
    <xf numFmtId="0" fontId="24" fillId="0" borderId="23" xfId="0" applyFont="1" applyFill="1" applyBorder="1" applyAlignment="1" applyProtection="1">
      <alignment vertical="center" wrapText="1"/>
    </xf>
    <xf numFmtId="0" fontId="24" fillId="0" borderId="2" xfId="0" applyFont="1" applyBorder="1" applyAlignment="1" applyProtection="1">
      <alignment vertical="center" wrapText="1"/>
    </xf>
    <xf numFmtId="0" fontId="24" fillId="0" borderId="1" xfId="0" applyFont="1" applyBorder="1" applyAlignment="1" applyProtection="1">
      <alignment vertical="center" wrapText="1"/>
    </xf>
    <xf numFmtId="0" fontId="24" fillId="0" borderId="24" xfId="0" applyFont="1" applyFill="1" applyBorder="1" applyAlignment="1" applyProtection="1">
      <alignment vertical="center" wrapText="1"/>
    </xf>
    <xf numFmtId="0" fontId="24" fillId="0" borderId="58" xfId="0" applyFont="1" applyFill="1" applyBorder="1" applyAlignment="1" applyProtection="1">
      <alignment vertical="center" wrapText="1"/>
    </xf>
    <xf numFmtId="0" fontId="0" fillId="9" borderId="6" xfId="0" applyFill="1" applyBorder="1" applyAlignment="1" applyProtection="1">
      <alignment vertical="center" wrapText="1"/>
      <protection locked="0"/>
    </xf>
    <xf numFmtId="0" fontId="24" fillId="12" borderId="45" xfId="0" applyFont="1" applyFill="1" applyBorder="1" applyAlignment="1" applyProtection="1">
      <alignment vertical="center" wrapText="1"/>
    </xf>
    <xf numFmtId="0" fontId="22" fillId="0" borderId="52" xfId="0" applyFont="1" applyBorder="1" applyAlignment="1" applyProtection="1">
      <alignment horizontal="left" vertical="center" wrapText="1"/>
    </xf>
    <xf numFmtId="0" fontId="26" fillId="12" borderId="50" xfId="0" applyFont="1" applyFill="1" applyBorder="1" applyAlignment="1" applyProtection="1">
      <alignment horizontal="center" vertical="center" wrapText="1"/>
      <protection locked="0"/>
    </xf>
    <xf numFmtId="0" fontId="26" fillId="12" borderId="17" xfId="0" applyFont="1" applyFill="1" applyBorder="1" applyAlignment="1" applyProtection="1">
      <alignment horizontal="center" vertical="center" wrapText="1"/>
      <protection locked="0"/>
    </xf>
    <xf numFmtId="0" fontId="26" fillId="12" borderId="19" xfId="0" applyFont="1" applyFill="1" applyBorder="1" applyAlignment="1" applyProtection="1">
      <alignment horizontal="center" vertical="center" wrapText="1"/>
      <protection locked="0"/>
    </xf>
    <xf numFmtId="0" fontId="26" fillId="12" borderId="21" xfId="0" applyFont="1" applyFill="1" applyBorder="1" applyAlignment="1" applyProtection="1">
      <alignment horizontal="center" vertical="center" wrapText="1"/>
      <protection locked="0"/>
    </xf>
    <xf numFmtId="0" fontId="26" fillId="12" borderId="23" xfId="0" applyFont="1" applyFill="1" applyBorder="1" applyAlignment="1" applyProtection="1">
      <alignment horizontal="center" vertical="center" wrapText="1"/>
      <protection locked="0"/>
    </xf>
    <xf numFmtId="0" fontId="26" fillId="12" borderId="36" xfId="0" applyFont="1" applyFill="1" applyBorder="1" applyAlignment="1" applyProtection="1">
      <alignment horizontal="center" vertical="center" wrapText="1"/>
      <protection locked="0"/>
    </xf>
    <xf numFmtId="0" fontId="24" fillId="12" borderId="33" xfId="0" applyFont="1" applyFill="1" applyBorder="1" applyAlignment="1" applyProtection="1">
      <alignment vertical="center" wrapText="1"/>
    </xf>
    <xf numFmtId="0" fontId="24" fillId="12" borderId="34" xfId="0" applyFont="1" applyFill="1" applyBorder="1" applyAlignment="1" applyProtection="1">
      <alignment vertical="center" wrapText="1"/>
    </xf>
    <xf numFmtId="0" fontId="26" fillId="0" borderId="20" xfId="0" applyFont="1" applyBorder="1" applyAlignment="1" applyProtection="1">
      <alignment horizontal="center" vertical="center" wrapText="1"/>
      <protection locked="0"/>
    </xf>
    <xf numFmtId="0" fontId="15" fillId="0" borderId="34" xfId="0" applyFont="1" applyBorder="1" applyAlignment="1" applyProtection="1">
      <alignment horizontal="left" vertical="center" wrapText="1"/>
      <protection locked="0"/>
    </xf>
    <xf numFmtId="0" fontId="0" fillId="11" borderId="0" xfId="0" applyFill="1" applyProtection="1">
      <protection locked="0"/>
    </xf>
    <xf numFmtId="0" fontId="15" fillId="0" borderId="1" xfId="0" applyFont="1" applyBorder="1" applyAlignment="1" applyProtection="1">
      <alignment vertical="top" wrapText="1"/>
      <protection locked="0"/>
    </xf>
    <xf numFmtId="165" fontId="26" fillId="12" borderId="21" xfId="0" applyNumberFormat="1" applyFont="1" applyFill="1" applyBorder="1" applyAlignment="1" applyProtection="1">
      <alignment horizontal="center" vertical="center" wrapText="1"/>
      <protection locked="0"/>
    </xf>
    <xf numFmtId="165" fontId="26" fillId="12" borderId="23" xfId="0" applyNumberFormat="1" applyFont="1" applyFill="1" applyBorder="1" applyAlignment="1" applyProtection="1">
      <alignment horizontal="center" vertical="center" wrapText="1"/>
      <protection locked="0"/>
    </xf>
    <xf numFmtId="0" fontId="26" fillId="0" borderId="15" xfId="0" applyFont="1" applyBorder="1" applyAlignment="1" applyProtection="1">
      <alignment horizontal="center" vertical="center" wrapText="1"/>
      <protection locked="0"/>
    </xf>
    <xf numFmtId="0" fontId="26" fillId="0" borderId="23" xfId="0" applyFont="1" applyBorder="1" applyAlignment="1" applyProtection="1">
      <alignment horizontal="center" vertical="center" wrapText="1"/>
      <protection locked="0"/>
    </xf>
    <xf numFmtId="0" fontId="26" fillId="0" borderId="21" xfId="0" applyFont="1" applyBorder="1" applyAlignment="1" applyProtection="1">
      <alignment horizontal="center" vertical="center" wrapText="1"/>
      <protection locked="0"/>
    </xf>
    <xf numFmtId="165" fontId="26" fillId="12" borderId="50" xfId="0" applyNumberFormat="1" applyFont="1" applyFill="1" applyBorder="1" applyAlignment="1" applyProtection="1">
      <alignment horizontal="center" vertical="center" wrapText="1"/>
      <protection locked="0"/>
    </xf>
    <xf numFmtId="165" fontId="26" fillId="0" borderId="21" xfId="0" applyNumberFormat="1" applyFont="1" applyBorder="1" applyAlignment="1" applyProtection="1">
      <alignment horizontal="center" vertical="center" wrapText="1"/>
      <protection locked="0"/>
    </xf>
    <xf numFmtId="165" fontId="26" fillId="0" borderId="15" xfId="0" applyNumberFormat="1" applyFont="1" applyBorder="1" applyAlignment="1" applyProtection="1">
      <alignment horizontal="center" vertical="center" wrapText="1"/>
      <protection locked="0"/>
    </xf>
    <xf numFmtId="0" fontId="27" fillId="12" borderId="15" xfId="0" applyFont="1" applyFill="1" applyBorder="1" applyAlignment="1" applyProtection="1">
      <alignment horizontal="center" vertical="center" wrapText="1"/>
      <protection locked="0"/>
    </xf>
    <xf numFmtId="0" fontId="27" fillId="12" borderId="20" xfId="0" applyFont="1" applyFill="1" applyBorder="1" applyAlignment="1" applyProtection="1">
      <alignment horizontal="center" vertical="center" wrapText="1"/>
      <protection locked="0"/>
    </xf>
    <xf numFmtId="165" fontId="26" fillId="0" borderId="20" xfId="0" applyNumberFormat="1" applyFont="1" applyBorder="1" applyAlignment="1" applyProtection="1">
      <alignment horizontal="center" vertical="center" wrapText="1"/>
      <protection locked="0"/>
    </xf>
    <xf numFmtId="165" fontId="27" fillId="12" borderId="15" xfId="0" applyNumberFormat="1" applyFont="1" applyFill="1" applyBorder="1" applyAlignment="1" applyProtection="1">
      <alignment horizontal="center" vertical="center" wrapText="1"/>
      <protection locked="0"/>
    </xf>
    <xf numFmtId="165" fontId="27" fillId="12" borderId="20" xfId="0" applyNumberFormat="1" applyFont="1" applyFill="1" applyBorder="1" applyAlignment="1" applyProtection="1">
      <alignment horizontal="center" vertical="center" wrapText="1"/>
      <protection locked="0"/>
    </xf>
    <xf numFmtId="165" fontId="26" fillId="0" borderId="23" xfId="0" applyNumberFormat="1" applyFont="1" applyBorder="1" applyAlignment="1" applyProtection="1">
      <alignment horizontal="center" vertical="center" wrapText="1"/>
      <protection locked="0"/>
    </xf>
    <xf numFmtId="0" fontId="0" fillId="2" borderId="16" xfId="0" applyFill="1" applyBorder="1" applyAlignment="1" applyProtection="1">
      <alignment vertical="center" wrapText="1"/>
      <protection locked="0"/>
    </xf>
    <xf numFmtId="0" fontId="10" fillId="11" borderId="42" xfId="0" applyFont="1" applyFill="1" applyBorder="1" applyAlignment="1" applyProtection="1">
      <alignment vertical="center" wrapText="1"/>
      <protection locked="0"/>
    </xf>
    <xf numFmtId="0" fontId="10" fillId="11" borderId="45" xfId="0" applyFont="1" applyFill="1" applyBorder="1" applyAlignment="1" applyProtection="1">
      <alignment vertical="center" wrapText="1"/>
      <protection locked="0"/>
    </xf>
    <xf numFmtId="0" fontId="32" fillId="3" borderId="43" xfId="0" applyFont="1" applyFill="1" applyBorder="1" applyAlignment="1" applyProtection="1">
      <alignment vertical="center" wrapText="1"/>
      <protection locked="0"/>
    </xf>
    <xf numFmtId="0" fontId="32" fillId="3" borderId="9" xfId="0" applyFont="1" applyFill="1" applyBorder="1" applyAlignment="1" applyProtection="1">
      <alignment vertical="center" wrapText="1"/>
      <protection locked="0"/>
    </xf>
    <xf numFmtId="0" fontId="32" fillId="3" borderId="70" xfId="0" applyFont="1" applyFill="1" applyBorder="1" applyAlignment="1" applyProtection="1">
      <alignment vertical="center" wrapText="1"/>
      <protection locked="0"/>
    </xf>
    <xf numFmtId="0" fontId="32" fillId="3" borderId="71" xfId="0" applyFont="1" applyFill="1" applyBorder="1" applyAlignment="1" applyProtection="1">
      <alignment vertical="center" wrapText="1"/>
      <protection locked="0"/>
    </xf>
    <xf numFmtId="165" fontId="26" fillId="12" borderId="36" xfId="0" applyNumberFormat="1" applyFont="1" applyFill="1" applyBorder="1" applyAlignment="1" applyProtection="1">
      <alignment horizontal="center" vertical="center" wrapText="1"/>
      <protection locked="0"/>
    </xf>
    <xf numFmtId="0" fontId="10" fillId="3" borderId="43" xfId="0" applyFont="1" applyFill="1" applyBorder="1" applyAlignment="1" applyProtection="1">
      <alignment vertical="center" wrapText="1"/>
      <protection locked="0"/>
    </xf>
    <xf numFmtId="0" fontId="10" fillId="3" borderId="9" xfId="0" applyFont="1" applyFill="1" applyBorder="1" applyAlignment="1" applyProtection="1">
      <alignment vertical="center" wrapText="1"/>
      <protection locked="0"/>
    </xf>
    <xf numFmtId="0" fontId="10" fillId="3" borderId="2" xfId="0" applyFont="1" applyFill="1" applyBorder="1" applyAlignment="1" applyProtection="1">
      <alignment vertical="center" wrapText="1"/>
      <protection locked="0"/>
    </xf>
    <xf numFmtId="0" fontId="10" fillId="3" borderId="4" xfId="0" applyFont="1" applyFill="1" applyBorder="1" applyAlignment="1" applyProtection="1">
      <alignment vertical="center" wrapText="1"/>
      <protection locked="0"/>
    </xf>
    <xf numFmtId="0" fontId="32" fillId="3" borderId="2" xfId="0" applyFont="1" applyFill="1" applyBorder="1" applyAlignment="1" applyProtection="1">
      <alignment vertical="center" wrapText="1"/>
      <protection locked="0"/>
    </xf>
    <xf numFmtId="0" fontId="32" fillId="3" borderId="4" xfId="0" applyFont="1" applyFill="1" applyBorder="1" applyAlignment="1" applyProtection="1">
      <alignment vertical="center" wrapText="1"/>
      <protection locked="0"/>
    </xf>
    <xf numFmtId="0" fontId="16" fillId="2" borderId="16" xfId="0" applyFont="1" applyFill="1" applyBorder="1" applyAlignment="1" applyProtection="1">
      <alignment vertical="center" wrapText="1"/>
      <protection locked="0"/>
    </xf>
    <xf numFmtId="0" fontId="16" fillId="2" borderId="7" xfId="0" applyFont="1" applyFill="1" applyBorder="1" applyAlignment="1" applyProtection="1">
      <alignment vertical="center" wrapText="1"/>
      <protection locked="0"/>
    </xf>
    <xf numFmtId="0" fontId="16" fillId="3" borderId="2" xfId="0" applyFont="1" applyFill="1" applyBorder="1" applyAlignment="1" applyProtection="1">
      <alignment vertical="center" wrapText="1"/>
      <protection locked="0"/>
    </xf>
    <xf numFmtId="0" fontId="16" fillId="3" borderId="4" xfId="0" applyFont="1" applyFill="1" applyBorder="1" applyAlignment="1" applyProtection="1">
      <alignment vertical="center" wrapText="1"/>
      <protection locked="0"/>
    </xf>
    <xf numFmtId="0" fontId="33" fillId="2" borderId="16" xfId="0" applyFont="1" applyFill="1" applyBorder="1" applyAlignment="1" applyProtection="1">
      <alignment vertical="center" wrapText="1"/>
      <protection locked="0"/>
    </xf>
    <xf numFmtId="0" fontId="33" fillId="2" borderId="7" xfId="0" applyFont="1" applyFill="1" applyBorder="1" applyAlignment="1" applyProtection="1">
      <alignment vertical="center" wrapText="1"/>
      <protection locked="0"/>
    </xf>
    <xf numFmtId="0" fontId="16" fillId="9" borderId="2" xfId="0" applyFont="1" applyFill="1" applyBorder="1" applyAlignment="1" applyProtection="1">
      <alignment vertical="center" wrapText="1"/>
      <protection locked="0"/>
    </xf>
    <xf numFmtId="0" fontId="16" fillId="9" borderId="4" xfId="0" applyFont="1" applyFill="1" applyBorder="1" applyAlignment="1" applyProtection="1">
      <alignment vertical="center" wrapText="1"/>
      <protection locked="0"/>
    </xf>
    <xf numFmtId="0" fontId="16" fillId="2" borderId="2" xfId="0" applyFont="1" applyFill="1" applyBorder="1" applyAlignment="1" applyProtection="1">
      <alignment vertical="center" wrapText="1"/>
      <protection locked="0"/>
    </xf>
    <xf numFmtId="0" fontId="16" fillId="2" borderId="4" xfId="0" applyFont="1" applyFill="1" applyBorder="1" applyAlignment="1" applyProtection="1">
      <alignment vertical="center" wrapText="1"/>
      <protection locked="0"/>
    </xf>
    <xf numFmtId="0" fontId="32" fillId="3" borderId="42" xfId="0" applyFont="1" applyFill="1" applyBorder="1" applyAlignment="1" applyProtection="1">
      <alignment vertical="center" wrapText="1"/>
      <protection locked="0"/>
    </xf>
    <xf numFmtId="0" fontId="32" fillId="3" borderId="45" xfId="0" applyFont="1" applyFill="1" applyBorder="1" applyAlignment="1" applyProtection="1">
      <alignment vertical="center" wrapText="1"/>
      <protection locked="0"/>
    </xf>
    <xf numFmtId="0" fontId="32" fillId="3" borderId="16" xfId="0" applyFont="1" applyFill="1" applyBorder="1" applyAlignment="1" applyProtection="1">
      <alignment vertical="center" wrapText="1"/>
      <protection locked="0"/>
    </xf>
    <xf numFmtId="0" fontId="32" fillId="3" borderId="7" xfId="0" applyFont="1" applyFill="1" applyBorder="1" applyAlignment="1" applyProtection="1">
      <alignment vertical="center" wrapText="1"/>
      <protection locked="0"/>
    </xf>
    <xf numFmtId="0" fontId="15" fillId="0" borderId="32" xfId="0" applyFont="1" applyBorder="1" applyAlignment="1" applyProtection="1">
      <alignment horizontal="left" vertical="center" wrapText="1"/>
      <protection locked="0"/>
    </xf>
    <xf numFmtId="0" fontId="15" fillId="0" borderId="32" xfId="0" applyFont="1" applyBorder="1" applyAlignment="1" applyProtection="1">
      <alignment vertical="center" wrapText="1"/>
      <protection locked="0"/>
    </xf>
    <xf numFmtId="0" fontId="34" fillId="0" borderId="41" xfId="3" applyFont="1" applyBorder="1" applyAlignment="1" applyProtection="1">
      <alignment wrapText="1"/>
      <protection locked="0"/>
    </xf>
    <xf numFmtId="0" fontId="35" fillId="0" borderId="58" xfId="3" applyFont="1" applyBorder="1" applyAlignment="1" applyProtection="1">
      <alignment vertical="top" wrapText="1"/>
      <protection locked="0"/>
    </xf>
    <xf numFmtId="0" fontId="15" fillId="0" borderId="59" xfId="0" applyFont="1" applyBorder="1" applyAlignment="1" applyProtection="1">
      <alignment vertical="top" wrapText="1"/>
      <protection locked="0"/>
    </xf>
    <xf numFmtId="0" fontId="35" fillId="0" borderId="48" xfId="3" applyFont="1" applyBorder="1" applyAlignment="1" applyProtection="1">
      <alignment vertical="top" wrapText="1"/>
      <protection locked="0"/>
    </xf>
    <xf numFmtId="0" fontId="28" fillId="0" borderId="66" xfId="0" applyFont="1" applyBorder="1" applyAlignment="1" applyProtection="1">
      <alignment vertical="top" wrapText="1"/>
      <protection locked="0"/>
    </xf>
    <xf numFmtId="0" fontId="36" fillId="0" borderId="25" xfId="3" applyFont="1" applyBorder="1" applyAlignment="1" applyProtection="1">
      <alignment vertical="top" wrapText="1"/>
      <protection locked="0"/>
    </xf>
    <xf numFmtId="0" fontId="36" fillId="0" borderId="26" xfId="3" applyFont="1" applyBorder="1" applyAlignment="1" applyProtection="1">
      <alignment vertical="top" wrapText="1"/>
      <protection locked="0"/>
    </xf>
    <xf numFmtId="0" fontId="22" fillId="12" borderId="1" xfId="0" applyFont="1" applyFill="1" applyBorder="1" applyAlignment="1" applyProtection="1">
      <alignment vertical="center" wrapText="1"/>
    </xf>
    <xf numFmtId="0" fontId="24" fillId="12" borderId="6" xfId="0" applyFont="1" applyFill="1" applyBorder="1" applyAlignment="1" applyProtection="1">
      <alignment vertical="center" wrapText="1"/>
    </xf>
    <xf numFmtId="0" fontId="4" fillId="0" borderId="44" xfId="0" applyFont="1" applyBorder="1" applyAlignment="1" applyProtection="1">
      <alignment vertical="center" wrapText="1"/>
    </xf>
    <xf numFmtId="0" fontId="2" fillId="5" borderId="54" xfId="0" applyFont="1" applyFill="1" applyBorder="1" applyProtection="1"/>
    <xf numFmtId="0" fontId="0" fillId="5" borderId="14" xfId="0" applyFill="1" applyBorder="1" applyProtection="1"/>
    <xf numFmtId="0" fontId="0" fillId="5" borderId="74" xfId="0" applyFill="1" applyBorder="1" applyProtection="1"/>
    <xf numFmtId="0" fontId="0" fillId="11" borderId="0" xfId="0" applyFill="1" applyProtection="1"/>
    <xf numFmtId="0" fontId="2" fillId="11" borderId="54" xfId="0" applyFont="1" applyFill="1" applyBorder="1" applyProtection="1"/>
    <xf numFmtId="0" fontId="0" fillId="11" borderId="14" xfId="0" applyFill="1" applyBorder="1" applyProtection="1"/>
    <xf numFmtId="0" fontId="0" fillId="11" borderId="74" xfId="0" applyFill="1" applyBorder="1" applyProtection="1"/>
    <xf numFmtId="0" fontId="15" fillId="25" borderId="1" xfId="0" applyFont="1" applyFill="1" applyBorder="1" applyAlignment="1" applyProtection="1">
      <alignment vertical="top" wrapText="1"/>
      <protection locked="0"/>
    </xf>
    <xf numFmtId="9" fontId="23" fillId="11" borderId="1" xfId="1" applyFont="1" applyFill="1" applyBorder="1" applyAlignment="1" applyProtection="1">
      <alignment horizontal="center" vertical="center" wrapText="1"/>
    </xf>
    <xf numFmtId="0" fontId="2" fillId="2" borderId="16" xfId="0" applyFont="1" applyFill="1" applyBorder="1" applyAlignment="1" applyProtection="1">
      <alignment vertical="center" wrapText="1"/>
    </xf>
    <xf numFmtId="0" fontId="24" fillId="0" borderId="32"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33" xfId="0" applyFont="1" applyBorder="1" applyAlignment="1" applyProtection="1">
      <alignment vertical="center" wrapText="1"/>
    </xf>
    <xf numFmtId="0" fontId="8" fillId="0" borderId="0" xfId="0" applyFont="1" applyBorder="1" applyAlignment="1" applyProtection="1">
      <alignment horizontal="center" vertical="center"/>
      <protection locked="0"/>
    </xf>
    <xf numFmtId="0" fontId="24" fillId="0" borderId="32" xfId="0" applyFont="1" applyBorder="1" applyAlignment="1" applyProtection="1">
      <alignment vertical="center" wrapText="1"/>
    </xf>
    <xf numFmtId="0" fontId="24" fillId="0" borderId="33"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24" xfId="0" applyFont="1" applyBorder="1" applyAlignment="1" applyProtection="1">
      <alignment vertical="center" wrapText="1"/>
    </xf>
    <xf numFmtId="0" fontId="24" fillId="0" borderId="26" xfId="0" applyFont="1" applyBorder="1" applyAlignment="1" applyProtection="1">
      <alignment vertical="center" wrapText="1"/>
    </xf>
    <xf numFmtId="0" fontId="24" fillId="0" borderId="33" xfId="0" applyFont="1" applyFill="1" applyBorder="1" applyAlignment="1" applyProtection="1">
      <alignment vertical="center" wrapText="1"/>
    </xf>
    <xf numFmtId="0" fontId="0" fillId="9" borderId="0" xfId="0" applyFill="1" applyProtection="1">
      <protection locked="0"/>
    </xf>
    <xf numFmtId="0" fontId="35" fillId="0" borderId="25" xfId="3" applyFont="1" applyBorder="1" applyAlignment="1" applyProtection="1">
      <alignment vertical="top" wrapText="1"/>
      <protection locked="0"/>
    </xf>
    <xf numFmtId="165" fontId="23" fillId="12" borderId="50" xfId="0" applyNumberFormat="1" applyFont="1" applyFill="1" applyBorder="1" applyAlignment="1" applyProtection="1">
      <alignment horizontal="center" vertical="center" wrapText="1"/>
      <protection locked="0"/>
    </xf>
    <xf numFmtId="165" fontId="23" fillId="12" borderId="52" xfId="0" applyNumberFormat="1" applyFont="1" applyFill="1" applyBorder="1" applyAlignment="1" applyProtection="1">
      <alignment horizontal="center" vertical="center" wrapText="1"/>
      <protection locked="0"/>
    </xf>
    <xf numFmtId="0" fontId="6" fillId="3" borderId="16" xfId="0" applyFont="1" applyFill="1" applyBorder="1" applyAlignment="1" applyProtection="1">
      <alignment vertical="center" wrapText="1"/>
    </xf>
    <xf numFmtId="0" fontId="0" fillId="2" borderId="5" xfId="0" applyFill="1" applyBorder="1" applyAlignment="1" applyProtection="1">
      <alignment vertical="center" wrapText="1"/>
      <protection locked="0"/>
    </xf>
    <xf numFmtId="0" fontId="0" fillId="9" borderId="16" xfId="0" applyFill="1" applyBorder="1" applyAlignment="1" applyProtection="1">
      <alignment vertical="center" wrapText="1"/>
      <protection locked="0"/>
    </xf>
    <xf numFmtId="0" fontId="0" fillId="2" borderId="2" xfId="0" applyFill="1" applyBorder="1" applyAlignment="1" applyProtection="1">
      <alignment vertical="center" wrapText="1"/>
      <protection locked="0"/>
    </xf>
    <xf numFmtId="0" fontId="10" fillId="11" borderId="2" xfId="0" applyFont="1" applyFill="1" applyBorder="1" applyAlignment="1" applyProtection="1">
      <alignment vertical="center" wrapText="1"/>
    </xf>
    <xf numFmtId="0" fontId="39" fillId="0" borderId="2" xfId="0" applyFont="1" applyBorder="1" applyAlignment="1" applyProtection="1">
      <alignment vertical="top" wrapText="1"/>
      <protection locked="0"/>
    </xf>
    <xf numFmtId="0" fontId="34" fillId="0" borderId="53" xfId="3" applyFont="1" applyBorder="1" applyAlignment="1" applyProtection="1">
      <alignment vertical="top" wrapText="1"/>
      <protection locked="0"/>
    </xf>
    <xf numFmtId="165" fontId="26" fillId="25" borderId="19" xfId="0" applyNumberFormat="1" applyFont="1" applyFill="1" applyBorder="1" applyAlignment="1" applyProtection="1">
      <alignment horizontal="center" vertical="center" wrapText="1"/>
      <protection locked="0"/>
    </xf>
    <xf numFmtId="165" fontId="26" fillId="12" borderId="15" xfId="0" applyNumberFormat="1" applyFont="1" applyFill="1" applyBorder="1" applyAlignment="1" applyProtection="1">
      <alignment horizontal="center" vertical="center" wrapText="1"/>
      <protection locked="0"/>
    </xf>
    <xf numFmtId="165" fontId="26" fillId="12" borderId="20" xfId="0" applyNumberFormat="1" applyFont="1" applyFill="1" applyBorder="1" applyAlignment="1" applyProtection="1">
      <alignment horizontal="center" vertical="center" wrapText="1"/>
      <protection locked="0"/>
    </xf>
    <xf numFmtId="0" fontId="15" fillId="0" borderId="25" xfId="0" applyFont="1" applyBorder="1" applyAlignment="1" applyProtection="1">
      <alignment vertical="top" wrapText="1"/>
      <protection locked="0"/>
    </xf>
    <xf numFmtId="0" fontId="35" fillId="0" borderId="26" xfId="3" applyFont="1" applyBorder="1" applyAlignment="1" applyProtection="1">
      <alignment vertical="top" wrapText="1"/>
      <protection locked="0"/>
    </xf>
    <xf numFmtId="0" fontId="32" fillId="3" borderId="75" xfId="0" applyFont="1" applyFill="1" applyBorder="1" applyAlignment="1" applyProtection="1">
      <alignment vertical="center" wrapText="1"/>
      <protection locked="0"/>
    </xf>
    <xf numFmtId="0" fontId="32" fillId="3" borderId="76" xfId="0" applyFont="1" applyFill="1" applyBorder="1" applyAlignment="1" applyProtection="1">
      <alignment vertical="center" wrapText="1"/>
      <protection locked="0"/>
    </xf>
    <xf numFmtId="165" fontId="26" fillId="12" borderId="52" xfId="0" applyNumberFormat="1" applyFont="1" applyFill="1" applyBorder="1" applyAlignment="1" applyProtection="1">
      <alignment horizontal="center" vertical="center" wrapText="1"/>
      <protection locked="0"/>
    </xf>
    <xf numFmtId="0" fontId="35" fillId="0" borderId="2" xfId="3" applyFont="1" applyBorder="1" applyAlignment="1" applyProtection="1">
      <alignment vertical="top" wrapText="1"/>
      <protection locked="0"/>
    </xf>
    <xf numFmtId="0" fontId="26" fillId="12" borderId="52" xfId="0" applyFont="1" applyFill="1" applyBorder="1" applyAlignment="1" applyProtection="1">
      <alignment horizontal="center" vertical="center" wrapText="1"/>
      <protection locked="0"/>
    </xf>
    <xf numFmtId="0" fontId="10" fillId="3" borderId="3" xfId="0" applyFont="1" applyFill="1" applyBorder="1" applyAlignment="1" applyProtection="1">
      <alignment vertical="center" wrapText="1"/>
      <protection locked="0"/>
    </xf>
    <xf numFmtId="0" fontId="32" fillId="3" borderId="3" xfId="0" applyFont="1" applyFill="1" applyBorder="1" applyAlignment="1" applyProtection="1">
      <alignment vertical="center" wrapText="1"/>
      <protection locked="0"/>
    </xf>
    <xf numFmtId="0" fontId="16" fillId="3" borderId="3" xfId="0" applyFont="1" applyFill="1" applyBorder="1" applyAlignment="1" applyProtection="1">
      <alignment vertical="center" wrapText="1"/>
      <protection locked="0"/>
    </xf>
    <xf numFmtId="0" fontId="33" fillId="2" borderId="6" xfId="0" applyFont="1" applyFill="1" applyBorder="1" applyAlignment="1" applyProtection="1">
      <alignment vertical="center" wrapText="1"/>
      <protection locked="0"/>
    </xf>
    <xf numFmtId="0" fontId="16" fillId="9" borderId="3" xfId="0" applyFont="1" applyFill="1" applyBorder="1" applyAlignment="1" applyProtection="1">
      <alignment vertical="center" wrapText="1"/>
      <protection locked="0"/>
    </xf>
    <xf numFmtId="0" fontId="15" fillId="0" borderId="32" xfId="0" applyFont="1" applyBorder="1" applyAlignment="1" applyProtection="1">
      <alignment vertical="top" wrapText="1"/>
      <protection locked="0"/>
    </xf>
    <xf numFmtId="0" fontId="40" fillId="0" borderId="32" xfId="0" applyFont="1" applyBorder="1" applyAlignment="1" applyProtection="1">
      <alignment horizontal="left" vertical="top" wrapText="1"/>
      <protection locked="0"/>
    </xf>
    <xf numFmtId="0" fontId="40" fillId="0" borderId="32" xfId="0" applyFont="1" applyBorder="1" applyAlignment="1" applyProtection="1">
      <alignment vertical="top" wrapText="1"/>
      <protection locked="0"/>
    </xf>
    <xf numFmtId="0" fontId="40" fillId="0" borderId="34" xfId="0" applyFont="1" applyBorder="1" applyAlignment="1" applyProtection="1">
      <alignment horizontal="left" vertical="top" wrapText="1"/>
      <protection locked="0"/>
    </xf>
    <xf numFmtId="0" fontId="40" fillId="0" borderId="34" xfId="0" applyFont="1" applyBorder="1" applyAlignment="1" applyProtection="1">
      <alignment vertical="top" wrapText="1"/>
      <protection locked="0"/>
    </xf>
    <xf numFmtId="0" fontId="40" fillId="0" borderId="53" xfId="3" applyFont="1" applyBorder="1" applyAlignment="1" applyProtection="1">
      <alignment vertical="top" wrapText="1"/>
      <protection locked="0"/>
    </xf>
    <xf numFmtId="0" fontId="40" fillId="0" borderId="62" xfId="0" applyFont="1" applyBorder="1" applyAlignment="1" applyProtection="1">
      <alignment vertical="top" wrapText="1"/>
      <protection locked="0"/>
    </xf>
    <xf numFmtId="0" fontId="40" fillId="0" borderId="41" xfId="3" applyFont="1" applyBorder="1" applyAlignment="1" applyProtection="1">
      <alignment vertical="top" wrapText="1"/>
      <protection locked="0"/>
    </xf>
    <xf numFmtId="0" fontId="40" fillId="0" borderId="64" xfId="0" applyFont="1" applyBorder="1" applyAlignment="1" applyProtection="1">
      <alignment vertical="top" wrapText="1"/>
      <protection locked="0"/>
    </xf>
    <xf numFmtId="0" fontId="40" fillId="0" borderId="30" xfId="0" applyFont="1" applyBorder="1" applyAlignment="1" applyProtection="1">
      <alignment horizontal="left" vertical="top" wrapText="1"/>
      <protection locked="0"/>
    </xf>
    <xf numFmtId="0" fontId="40" fillId="0" borderId="33" xfId="0" applyFont="1" applyBorder="1" applyAlignment="1" applyProtection="1">
      <alignment vertical="top" wrapText="1"/>
      <protection locked="0"/>
    </xf>
    <xf numFmtId="0" fontId="40" fillId="0" borderId="24" xfId="3" applyFont="1" applyBorder="1" applyAlignment="1" applyProtection="1">
      <alignment vertical="top" wrapText="1"/>
      <protection locked="0"/>
    </xf>
    <xf numFmtId="0" fontId="40" fillId="0" borderId="25" xfId="3" applyFont="1" applyBorder="1" applyAlignment="1" applyProtection="1">
      <alignment vertical="top" wrapText="1"/>
      <protection locked="0"/>
    </xf>
    <xf numFmtId="0" fontId="40" fillId="0" borderId="25" xfId="0" applyFont="1" applyBorder="1" applyAlignment="1" applyProtection="1">
      <alignment vertical="top" wrapText="1"/>
      <protection locked="0"/>
    </xf>
    <xf numFmtId="0" fontId="40" fillId="0" borderId="26" xfId="3" applyFont="1" applyBorder="1" applyAlignment="1" applyProtection="1">
      <alignment vertical="top" wrapText="1"/>
      <protection locked="0"/>
    </xf>
    <xf numFmtId="0" fontId="40" fillId="0" borderId="2" xfId="3" applyFont="1" applyBorder="1" applyAlignment="1" applyProtection="1">
      <alignment horizontal="left" vertical="top" wrapText="1"/>
      <protection locked="0"/>
    </xf>
    <xf numFmtId="0" fontId="40" fillId="0" borderId="24" xfId="0" applyFont="1" applyBorder="1" applyAlignment="1" applyProtection="1">
      <alignment vertical="top" wrapText="1"/>
      <protection locked="0"/>
    </xf>
    <xf numFmtId="0" fontId="40" fillId="0" borderId="26" xfId="0" applyFont="1" applyBorder="1" applyAlignment="1" applyProtection="1">
      <alignment vertical="top" wrapText="1"/>
      <protection locked="0"/>
    </xf>
    <xf numFmtId="0" fontId="40" fillId="11" borderId="1" xfId="0" applyFont="1" applyFill="1" applyBorder="1" applyAlignment="1" applyProtection="1">
      <alignment vertical="top" wrapText="1"/>
      <protection locked="0"/>
    </xf>
    <xf numFmtId="0" fontId="40" fillId="12" borderId="32" xfId="0" applyFont="1" applyFill="1" applyBorder="1" applyAlignment="1" applyProtection="1">
      <alignment vertical="top" wrapText="1"/>
      <protection locked="0"/>
    </xf>
    <xf numFmtId="0" fontId="40" fillId="0" borderId="1" xfId="0" applyFont="1" applyBorder="1" applyAlignment="1" applyProtection="1">
      <alignment vertical="top" wrapText="1"/>
      <protection locked="0"/>
    </xf>
    <xf numFmtId="0" fontId="40" fillId="0" borderId="46" xfId="3" applyFont="1" applyBorder="1" applyAlignment="1" applyProtection="1">
      <alignment vertical="top" wrapText="1"/>
      <protection locked="0"/>
    </xf>
    <xf numFmtId="0" fontId="40" fillId="0" borderId="48" xfId="3" applyFont="1" applyBorder="1" applyAlignment="1" applyProtection="1">
      <alignment vertical="top" wrapText="1"/>
      <protection locked="0"/>
    </xf>
    <xf numFmtId="0" fontId="40" fillId="12" borderId="33" xfId="0" applyFont="1" applyFill="1" applyBorder="1" applyAlignment="1" applyProtection="1">
      <alignment vertical="top" wrapText="1"/>
      <protection locked="0"/>
    </xf>
    <xf numFmtId="0" fontId="40" fillId="12" borderId="34" xfId="0" applyFont="1" applyFill="1" applyBorder="1" applyAlignment="1" applyProtection="1">
      <alignment vertical="top" wrapText="1"/>
      <protection locked="0"/>
    </xf>
    <xf numFmtId="0" fontId="41" fillId="0" borderId="66" xfId="0" applyFont="1" applyBorder="1" applyAlignment="1" applyProtection="1">
      <alignment vertical="top" wrapText="1"/>
      <protection locked="0"/>
    </xf>
    <xf numFmtId="0" fontId="40" fillId="0" borderId="53" xfId="0" applyFont="1" applyBorder="1" applyAlignment="1" applyProtection="1">
      <alignment vertical="top" wrapText="1"/>
      <protection locked="0"/>
    </xf>
    <xf numFmtId="0" fontId="41" fillId="0" borderId="25" xfId="3" applyFont="1" applyBorder="1" applyAlignment="1" applyProtection="1">
      <alignment vertical="top" wrapText="1"/>
      <protection locked="0"/>
    </xf>
    <xf numFmtId="0" fontId="41" fillId="0" borderId="26" xfId="3" applyFont="1" applyBorder="1" applyAlignment="1" applyProtection="1">
      <alignment vertical="top" wrapText="1"/>
      <protection locked="0"/>
    </xf>
    <xf numFmtId="0" fontId="40" fillId="0" borderId="2" xfId="0" applyFont="1" applyBorder="1" applyAlignment="1" applyProtection="1">
      <alignment vertical="top" wrapText="1"/>
      <protection locked="0"/>
    </xf>
    <xf numFmtId="0" fontId="26" fillId="25" borderId="52" xfId="0" applyFont="1" applyFill="1" applyBorder="1" applyAlignment="1" applyProtection="1">
      <alignment horizontal="center" vertical="center" wrapText="1"/>
      <protection locked="0"/>
    </xf>
    <xf numFmtId="0" fontId="15" fillId="0" borderId="32" xfId="0" applyFont="1" applyBorder="1" applyAlignment="1" applyProtection="1">
      <alignment horizontal="left" vertical="top" wrapText="1"/>
      <protection locked="0"/>
    </xf>
    <xf numFmtId="0" fontId="15" fillId="0" borderId="34" xfId="0" applyFont="1" applyBorder="1" applyAlignment="1" applyProtection="1">
      <alignment vertical="top" wrapText="1"/>
      <protection locked="0"/>
    </xf>
    <xf numFmtId="165" fontId="23" fillId="12" borderId="21" xfId="0" applyNumberFormat="1" applyFont="1" applyFill="1" applyBorder="1" applyAlignment="1" applyProtection="1">
      <alignment horizontal="center" vertical="center" wrapText="1"/>
      <protection locked="0"/>
    </xf>
    <xf numFmtId="165" fontId="23" fillId="12" borderId="23" xfId="0" applyNumberFormat="1" applyFont="1" applyFill="1" applyBorder="1" applyAlignment="1" applyProtection="1">
      <alignment horizontal="center" vertical="center" wrapText="1"/>
      <protection locked="0"/>
    </xf>
    <xf numFmtId="0" fontId="15" fillId="0" borderId="33" xfId="0" applyFont="1" applyBorder="1" applyAlignment="1" applyProtection="1">
      <alignment vertical="top" wrapText="1"/>
      <protection locked="0"/>
    </xf>
    <xf numFmtId="0" fontId="15" fillId="25" borderId="34" xfId="0" applyFont="1" applyFill="1" applyBorder="1" applyAlignment="1" applyProtection="1">
      <alignment vertical="top" wrapText="1"/>
      <protection locked="0"/>
    </xf>
    <xf numFmtId="0" fontId="15" fillId="0" borderId="53" xfId="0" applyFont="1" applyBorder="1" applyAlignment="1" applyProtection="1">
      <alignment vertical="top" wrapText="1"/>
      <protection locked="0"/>
    </xf>
    <xf numFmtId="0" fontId="15" fillId="0" borderId="2" xfId="0" applyFont="1" applyBorder="1" applyAlignment="1" applyProtection="1">
      <alignment vertical="top" wrapText="1"/>
      <protection locked="0"/>
    </xf>
    <xf numFmtId="0" fontId="26" fillId="12" borderId="15" xfId="0" applyFont="1" applyFill="1" applyBorder="1" applyAlignment="1" applyProtection="1">
      <alignment horizontal="center" vertical="center" wrapText="1"/>
      <protection locked="0"/>
    </xf>
    <xf numFmtId="0" fontId="26" fillId="12" borderId="20" xfId="0" applyFont="1" applyFill="1" applyBorder="1" applyAlignment="1" applyProtection="1">
      <alignment horizontal="center" vertical="center" wrapText="1"/>
      <protection locked="0"/>
    </xf>
    <xf numFmtId="0" fontId="40" fillId="0" borderId="32"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34" xfId="0" applyFont="1" applyBorder="1" applyAlignment="1" applyProtection="1">
      <alignment horizontal="left" vertical="center" wrapText="1"/>
      <protection locked="0"/>
    </xf>
    <xf numFmtId="0" fontId="16" fillId="0" borderId="62" xfId="0" applyFont="1" applyBorder="1" applyAlignment="1" applyProtection="1">
      <alignment vertical="center" wrapText="1"/>
      <protection locked="0"/>
    </xf>
    <xf numFmtId="0" fontId="44" fillId="0" borderId="53" xfId="3" applyFont="1" applyBorder="1" applyAlignment="1" applyProtection="1">
      <alignment vertical="center" wrapText="1"/>
      <protection locked="0"/>
    </xf>
    <xf numFmtId="0" fontId="16" fillId="0" borderId="0" xfId="0" applyFont="1" applyAlignment="1" applyProtection="1">
      <alignment vertical="center" wrapText="1"/>
      <protection locked="0"/>
    </xf>
    <xf numFmtId="0" fontId="44" fillId="0" borderId="41" xfId="3" applyFont="1" applyBorder="1" applyAlignment="1" applyProtection="1">
      <alignment vertical="center" wrapText="1"/>
      <protection locked="0"/>
    </xf>
    <xf numFmtId="0" fontId="16" fillId="0" borderId="64" xfId="0" applyFont="1" applyBorder="1" applyAlignment="1" applyProtection="1">
      <alignment vertical="center" wrapText="1"/>
      <protection locked="0"/>
    </xf>
    <xf numFmtId="0" fontId="44" fillId="0" borderId="29" xfId="0" applyFont="1" applyBorder="1" applyAlignment="1" applyProtection="1">
      <alignment vertical="center" wrapText="1"/>
      <protection locked="0"/>
    </xf>
    <xf numFmtId="0" fontId="16" fillId="0" borderId="32" xfId="0" applyFont="1" applyBorder="1" applyAlignment="1" applyProtection="1">
      <alignment vertical="center" wrapText="1"/>
      <protection locked="0"/>
    </xf>
    <xf numFmtId="0" fontId="44" fillId="0" borderId="30" xfId="0" applyFont="1" applyBorder="1" applyAlignment="1" applyProtection="1">
      <alignment horizontal="left" vertical="center" wrapText="1"/>
      <protection locked="0"/>
    </xf>
    <xf numFmtId="0" fontId="16" fillId="0" borderId="33" xfId="0" applyFont="1" applyBorder="1" applyAlignment="1" applyProtection="1">
      <alignment vertical="center" wrapText="1"/>
      <protection locked="0"/>
    </xf>
    <xf numFmtId="0" fontId="16" fillId="0" borderId="31" xfId="0" applyFont="1" applyBorder="1" applyAlignment="1" applyProtection="1">
      <alignment vertical="center" wrapText="1"/>
      <protection locked="0"/>
    </xf>
    <xf numFmtId="0" fontId="16" fillId="0" borderId="34" xfId="0" applyFont="1" applyBorder="1" applyAlignment="1" applyProtection="1">
      <alignment vertical="center" wrapText="1"/>
      <protection locked="0"/>
    </xf>
    <xf numFmtId="0" fontId="16" fillId="11" borderId="5" xfId="0" applyFont="1" applyFill="1" applyBorder="1" applyAlignment="1" applyProtection="1">
      <alignment vertical="center" wrapText="1"/>
      <protection locked="0"/>
    </xf>
    <xf numFmtId="0" fontId="16" fillId="11" borderId="8" xfId="0" applyFont="1" applyFill="1" applyBorder="1" applyAlignment="1" applyProtection="1">
      <alignment vertical="center" wrapText="1"/>
      <protection locked="0"/>
    </xf>
    <xf numFmtId="0" fontId="40" fillId="0" borderId="58" xfId="3" applyFont="1" applyBorder="1" applyAlignment="1" applyProtection="1">
      <alignment vertical="center" wrapText="1"/>
      <protection locked="0"/>
    </xf>
    <xf numFmtId="0" fontId="40" fillId="0" borderId="59" xfId="0" applyFont="1" applyBorder="1" applyAlignment="1" applyProtection="1">
      <alignment vertical="center" wrapText="1"/>
      <protection locked="0"/>
    </xf>
    <xf numFmtId="0" fontId="40" fillId="0" borderId="33" xfId="0" applyFont="1" applyBorder="1" applyAlignment="1" applyProtection="1">
      <alignment vertical="center" wrapText="1"/>
      <protection locked="0"/>
    </xf>
    <xf numFmtId="0" fontId="40" fillId="0" borderId="60" xfId="3" applyFont="1" applyBorder="1" applyAlignment="1" applyProtection="1">
      <alignment vertical="center" wrapText="1"/>
      <protection locked="0"/>
    </xf>
    <xf numFmtId="0" fontId="16" fillId="11" borderId="10" xfId="0" applyFont="1" applyFill="1" applyBorder="1" applyAlignment="1" applyProtection="1">
      <alignment vertical="center" wrapText="1"/>
      <protection locked="0"/>
    </xf>
    <xf numFmtId="0" fontId="40" fillId="0" borderId="24" xfId="3" applyFont="1" applyBorder="1" applyAlignment="1" applyProtection="1">
      <alignment vertical="center" wrapText="1"/>
      <protection locked="0"/>
    </xf>
    <xf numFmtId="0" fontId="40" fillId="0" borderId="25" xfId="3" applyFont="1" applyBorder="1" applyAlignment="1" applyProtection="1">
      <alignment vertical="center" wrapText="1"/>
      <protection locked="0"/>
    </xf>
    <xf numFmtId="0" fontId="40" fillId="0" borderId="25" xfId="0" applyFont="1" applyBorder="1" applyAlignment="1" applyProtection="1">
      <alignment vertical="center" wrapText="1"/>
      <protection locked="0"/>
    </xf>
    <xf numFmtId="0" fontId="40" fillId="0" borderId="26" xfId="3" applyFont="1" applyBorder="1" applyAlignment="1" applyProtection="1">
      <alignment vertical="center" wrapText="1"/>
      <protection locked="0"/>
    </xf>
    <xf numFmtId="0" fontId="40" fillId="0" borderId="2" xfId="3" applyFont="1" applyBorder="1" applyAlignment="1" applyProtection="1">
      <alignment horizontal="left" vertical="center" wrapText="1"/>
      <protection locked="0"/>
    </xf>
    <xf numFmtId="0" fontId="40" fillId="0" borderId="2" xfId="0" applyFont="1" applyBorder="1" applyAlignment="1" applyProtection="1">
      <alignment vertical="center" wrapText="1"/>
      <protection locked="0"/>
    </xf>
    <xf numFmtId="0" fontId="40" fillId="0" borderId="24" xfId="0" applyFont="1" applyBorder="1" applyAlignment="1" applyProtection="1">
      <alignment vertical="center" wrapText="1"/>
      <protection locked="0"/>
    </xf>
    <xf numFmtId="0" fontId="16" fillId="11" borderId="42" xfId="0" applyFont="1" applyFill="1" applyBorder="1" applyAlignment="1" applyProtection="1">
      <alignment vertical="center" wrapText="1"/>
      <protection locked="0"/>
    </xf>
    <xf numFmtId="0" fontId="40" fillId="0" borderId="26" xfId="0" applyFont="1" applyBorder="1" applyAlignment="1" applyProtection="1">
      <alignment vertical="center" wrapText="1"/>
      <protection locked="0"/>
    </xf>
    <xf numFmtId="0" fontId="40" fillId="0" borderId="34"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6" fillId="0" borderId="26"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6" fillId="11" borderId="1" xfId="0" applyFont="1" applyFill="1" applyBorder="1" applyAlignment="1" applyProtection="1">
      <alignment vertical="center" wrapText="1"/>
      <protection locked="0"/>
    </xf>
    <xf numFmtId="0" fontId="16" fillId="12" borderId="10" xfId="0" applyFont="1" applyFill="1" applyBorder="1" applyAlignment="1" applyProtection="1">
      <alignment vertical="center" wrapText="1"/>
      <protection locked="0"/>
    </xf>
    <xf numFmtId="0" fontId="16" fillId="12" borderId="32" xfId="0" applyFont="1" applyFill="1" applyBorder="1" applyAlignment="1" applyProtection="1">
      <alignment vertical="center" wrapText="1"/>
      <protection locked="0"/>
    </xf>
    <xf numFmtId="0" fontId="33" fillId="0" borderId="5"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16" fillId="11" borderId="0" xfId="0" applyFont="1" applyFill="1" applyAlignment="1" applyProtection="1">
      <alignment vertical="center" wrapText="1"/>
      <protection locked="0"/>
    </xf>
    <xf numFmtId="0" fontId="40" fillId="0" borderId="1" xfId="0" applyFont="1" applyBorder="1" applyAlignment="1" applyProtection="1">
      <alignment vertical="center" wrapText="1"/>
      <protection locked="0"/>
    </xf>
    <xf numFmtId="0" fontId="16" fillId="9" borderId="1" xfId="0" applyFont="1" applyFill="1" applyBorder="1" applyAlignment="1" applyProtection="1">
      <alignment vertical="center" wrapText="1"/>
      <protection locked="0"/>
    </xf>
    <xf numFmtId="0" fontId="40" fillId="0" borderId="0" xfId="0" applyFont="1" applyAlignment="1" applyProtection="1">
      <alignment vertical="center" wrapText="1"/>
      <protection locked="0"/>
    </xf>
    <xf numFmtId="0" fontId="16" fillId="0" borderId="1" xfId="0" applyFont="1" applyBorder="1" applyAlignment="1" applyProtection="1">
      <alignment vertical="center" wrapText="1"/>
      <protection locked="0"/>
    </xf>
    <xf numFmtId="0" fontId="40" fillId="0" borderId="46" xfId="3" applyFont="1" applyBorder="1" applyAlignment="1" applyProtection="1">
      <alignment vertical="center" wrapText="1"/>
      <protection locked="0"/>
    </xf>
    <xf numFmtId="0" fontId="40" fillId="0" borderId="48" xfId="3" applyFont="1" applyBorder="1" applyAlignment="1" applyProtection="1">
      <alignment vertical="center" wrapText="1"/>
      <protection locked="0"/>
    </xf>
    <xf numFmtId="0" fontId="40" fillId="12" borderId="66" xfId="3" applyFont="1" applyFill="1" applyBorder="1" applyAlignment="1" applyProtection="1">
      <alignment vertical="center" wrapText="1"/>
      <protection locked="0"/>
    </xf>
    <xf numFmtId="0" fontId="40" fillId="12" borderId="25" xfId="0" applyFont="1" applyFill="1" applyBorder="1" applyAlignment="1" applyProtection="1">
      <alignment vertical="center" wrapText="1"/>
      <protection locked="0"/>
    </xf>
    <xf numFmtId="0" fontId="40" fillId="12" borderId="37" xfId="0" applyFont="1" applyFill="1" applyBorder="1" applyAlignment="1" applyProtection="1">
      <alignment vertical="center" wrapText="1"/>
      <protection locked="0"/>
    </xf>
    <xf numFmtId="0" fontId="41" fillId="0" borderId="66" xfId="0" applyFont="1" applyBorder="1" applyAlignment="1" applyProtection="1">
      <alignment vertical="center" wrapText="1"/>
      <protection locked="0"/>
    </xf>
    <xf numFmtId="0" fontId="40" fillId="0" borderId="53" xfId="0" applyFont="1" applyBorder="1" applyAlignment="1" applyProtection="1">
      <alignment vertical="center" wrapText="1"/>
      <protection locked="0"/>
    </xf>
    <xf numFmtId="0" fontId="41" fillId="0" borderId="25" xfId="3" applyFont="1" applyBorder="1" applyAlignment="1" applyProtection="1">
      <alignment vertical="center" wrapText="1"/>
      <protection locked="0"/>
    </xf>
    <xf numFmtId="0" fontId="40" fillId="25" borderId="33" xfId="0" applyFont="1" applyFill="1" applyBorder="1" applyAlignment="1" applyProtection="1">
      <alignment vertical="center" wrapText="1"/>
      <protection locked="0"/>
    </xf>
    <xf numFmtId="0" fontId="41" fillId="0" borderId="26" xfId="3"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44" fillId="0" borderId="2" xfId="0" applyFont="1" applyBorder="1" applyAlignment="1" applyProtection="1">
      <alignment vertical="center" wrapText="1"/>
      <protection locked="0"/>
    </xf>
    <xf numFmtId="0" fontId="44" fillId="0" borderId="24" xfId="3" applyFont="1" applyBorder="1" applyAlignment="1" applyProtection="1">
      <alignment vertical="center" wrapText="1"/>
      <protection locked="0"/>
    </xf>
    <xf numFmtId="0" fontId="44" fillId="0" borderId="26" xfId="3" applyFont="1" applyBorder="1" applyAlignment="1" applyProtection="1">
      <alignment vertical="center" wrapText="1"/>
      <protection locked="0"/>
    </xf>
    <xf numFmtId="0" fontId="17" fillId="26" borderId="43" xfId="0" applyFont="1" applyFill="1" applyBorder="1" applyProtection="1"/>
    <xf numFmtId="0" fontId="17" fillId="26" borderId="0" xfId="0" applyFont="1" applyFill="1" applyBorder="1" applyProtection="1"/>
    <xf numFmtId="0" fontId="17" fillId="26" borderId="0" xfId="0" applyFont="1" applyFill="1" applyBorder="1" applyProtection="1">
      <protection locked="0"/>
    </xf>
    <xf numFmtId="0" fontId="29" fillId="26" borderId="43" xfId="0" applyFont="1" applyFill="1" applyBorder="1" applyAlignment="1" applyProtection="1">
      <alignment horizontal="center"/>
      <protection locked="0"/>
    </xf>
    <xf numFmtId="0" fontId="29" fillId="26" borderId="0" xfId="0" applyFont="1" applyFill="1" applyBorder="1" applyAlignment="1" applyProtection="1">
      <alignment horizontal="center"/>
      <protection locked="0"/>
    </xf>
    <xf numFmtId="0" fontId="29" fillId="26" borderId="16" xfId="0" applyFont="1" applyFill="1" applyBorder="1" applyAlignment="1" applyProtection="1">
      <alignment horizontal="center"/>
      <protection locked="0"/>
    </xf>
    <xf numFmtId="0" fontId="29" fillId="26" borderId="6" xfId="0" applyFont="1" applyFill="1" applyBorder="1" applyAlignment="1" applyProtection="1">
      <alignment horizontal="center"/>
      <protection locked="0"/>
    </xf>
    <xf numFmtId="0" fontId="17" fillId="26" borderId="6" xfId="0" applyFont="1" applyFill="1" applyBorder="1" applyProtection="1"/>
    <xf numFmtId="0" fontId="47" fillId="9" borderId="0" xfId="0" applyFont="1" applyFill="1" applyBorder="1" applyAlignment="1" applyProtection="1">
      <alignment horizontal="center"/>
    </xf>
    <xf numFmtId="0" fontId="48" fillId="0" borderId="1" xfId="0" applyFont="1" applyBorder="1" applyAlignment="1" applyProtection="1">
      <alignment horizontal="center" vertical="center" wrapText="1"/>
    </xf>
    <xf numFmtId="0" fontId="0" fillId="27" borderId="6" xfId="0" applyFill="1" applyBorder="1" applyAlignment="1" applyProtection="1">
      <alignment vertical="center" wrapText="1"/>
    </xf>
    <xf numFmtId="0" fontId="0" fillId="26" borderId="42" xfId="0" applyFill="1" applyBorder="1" applyProtection="1">
      <protection locked="0"/>
    </xf>
    <xf numFmtId="0" fontId="0" fillId="26" borderId="44" xfId="0" applyFill="1" applyBorder="1" applyProtection="1">
      <protection locked="0"/>
    </xf>
    <xf numFmtId="0" fontId="0" fillId="26" borderId="44" xfId="0" applyFill="1" applyBorder="1" applyProtection="1"/>
    <xf numFmtId="0" fontId="22" fillId="0" borderId="43" xfId="0" applyFont="1" applyBorder="1" applyAlignment="1" applyProtection="1">
      <alignment wrapText="1"/>
    </xf>
    <xf numFmtId="0" fontId="22" fillId="0" borderId="0" xfId="0" applyFont="1" applyBorder="1" applyAlignment="1" applyProtection="1">
      <alignment vertical="center"/>
    </xf>
    <xf numFmtId="0" fontId="24" fillId="10" borderId="24" xfId="0" applyFont="1" applyFill="1" applyBorder="1" applyAlignment="1" applyProtection="1">
      <alignment vertical="center" wrapText="1"/>
    </xf>
    <xf numFmtId="0" fontId="24" fillId="10" borderId="26" xfId="0" applyFont="1" applyFill="1" applyBorder="1" applyAlignment="1" applyProtection="1">
      <alignment vertical="center" wrapText="1"/>
    </xf>
    <xf numFmtId="0" fontId="27" fillId="22" borderId="24" xfId="0" applyFont="1" applyFill="1" applyBorder="1" applyAlignment="1" applyProtection="1">
      <alignment vertical="center" wrapText="1"/>
    </xf>
    <xf numFmtId="0" fontId="27" fillId="22" borderId="25" xfId="0" applyFont="1" applyFill="1" applyBorder="1" applyAlignment="1" applyProtection="1">
      <alignment vertical="center" wrapText="1"/>
    </xf>
    <xf numFmtId="0" fontId="27" fillId="22" borderId="26" xfId="0" applyFont="1" applyFill="1" applyBorder="1" applyAlignment="1" applyProtection="1">
      <alignment vertical="center" wrapText="1"/>
    </xf>
    <xf numFmtId="0" fontId="24" fillId="8" borderId="24" xfId="0" applyFont="1" applyFill="1" applyBorder="1" applyAlignment="1" applyProtection="1">
      <alignment vertical="center" wrapText="1"/>
    </xf>
    <xf numFmtId="0" fontId="24" fillId="8" borderId="25" xfId="0" applyFont="1" applyFill="1" applyBorder="1" applyAlignment="1" applyProtection="1">
      <alignment vertical="center" wrapText="1"/>
    </xf>
    <xf numFmtId="0" fontId="24" fillId="8" borderId="26" xfId="0" applyFont="1" applyFill="1" applyBorder="1" applyAlignment="1" applyProtection="1">
      <alignment vertical="center" wrapText="1"/>
    </xf>
    <xf numFmtId="0" fontId="24" fillId="4" borderId="52" xfId="0" applyFont="1" applyFill="1" applyBorder="1" applyAlignment="1" applyProtection="1">
      <alignment vertical="center" wrapText="1"/>
    </xf>
    <xf numFmtId="0" fontId="22" fillId="4" borderId="52" xfId="0" applyFont="1" applyFill="1" applyBorder="1" applyAlignment="1" applyProtection="1">
      <alignment vertical="center" wrapText="1"/>
    </xf>
    <xf numFmtId="0" fontId="24" fillId="22" borderId="24" xfId="0" applyFont="1" applyFill="1" applyBorder="1" applyAlignment="1" applyProtection="1">
      <alignment vertical="center" wrapText="1"/>
    </xf>
    <xf numFmtId="0" fontId="24" fillId="22" borderId="25" xfId="0" applyFont="1" applyFill="1" applyBorder="1" applyAlignment="1" applyProtection="1">
      <alignment vertical="center" wrapText="1"/>
    </xf>
    <xf numFmtId="0" fontId="5" fillId="12" borderId="42" xfId="0" applyFont="1" applyFill="1" applyBorder="1" applyAlignment="1" applyProtection="1">
      <alignment vertical="center" wrapText="1"/>
    </xf>
    <xf numFmtId="0" fontId="24" fillId="19" borderId="24" xfId="0" applyFont="1" applyFill="1" applyBorder="1" applyAlignment="1" applyProtection="1">
      <alignment vertical="center" wrapText="1"/>
    </xf>
    <xf numFmtId="0" fontId="24" fillId="19" borderId="25" xfId="0" applyFont="1" applyFill="1" applyBorder="1" applyAlignment="1" applyProtection="1">
      <alignment vertical="center" wrapText="1"/>
    </xf>
    <xf numFmtId="0" fontId="24" fillId="19" borderId="26" xfId="0" applyFont="1" applyFill="1" applyBorder="1" applyAlignment="1" applyProtection="1">
      <alignment vertical="center" wrapText="1"/>
    </xf>
    <xf numFmtId="0" fontId="24" fillId="22" borderId="26" xfId="0" applyFont="1" applyFill="1" applyBorder="1" applyAlignment="1" applyProtection="1">
      <alignment vertical="center" wrapText="1"/>
    </xf>
    <xf numFmtId="0" fontId="22" fillId="9" borderId="47" xfId="0" applyFont="1" applyFill="1" applyBorder="1" applyAlignment="1" applyProtection="1">
      <alignment vertical="center" wrapText="1"/>
    </xf>
    <xf numFmtId="0" fontId="24" fillId="21" borderId="2" xfId="0" applyFont="1" applyFill="1" applyBorder="1" applyAlignment="1" applyProtection="1">
      <alignment vertical="center" wrapText="1"/>
    </xf>
    <xf numFmtId="0" fontId="24" fillId="17" borderId="47" xfId="0" applyFont="1" applyFill="1" applyBorder="1" applyAlignment="1" applyProtection="1">
      <alignment vertical="center" wrapText="1"/>
    </xf>
    <xf numFmtId="0" fontId="24" fillId="8" borderId="47" xfId="0" applyFont="1" applyFill="1" applyBorder="1" applyAlignment="1" applyProtection="1">
      <alignment vertical="center" wrapText="1"/>
    </xf>
    <xf numFmtId="0" fontId="3" fillId="11" borderId="42" xfId="0" applyFont="1" applyFill="1" applyBorder="1" applyAlignment="1" applyProtection="1">
      <alignment vertical="center" wrapText="1"/>
    </xf>
    <xf numFmtId="0" fontId="24" fillId="9" borderId="46" xfId="0" applyFont="1" applyFill="1" applyBorder="1" applyAlignment="1" applyProtection="1">
      <alignment vertical="center" wrapText="1"/>
    </xf>
    <xf numFmtId="0" fontId="24" fillId="9" borderId="48" xfId="0" applyFont="1" applyFill="1" applyBorder="1" applyAlignment="1" applyProtection="1">
      <alignment vertical="center" wrapText="1"/>
    </xf>
    <xf numFmtId="0" fontId="24" fillId="9" borderId="24" xfId="0" applyFont="1" applyFill="1" applyBorder="1" applyAlignment="1" applyProtection="1">
      <alignment vertical="center" wrapText="1"/>
    </xf>
    <xf numFmtId="0" fontId="24" fillId="9" borderId="25" xfId="0" applyFont="1" applyFill="1" applyBorder="1" applyAlignment="1" applyProtection="1">
      <alignment vertical="center" wrapText="1"/>
    </xf>
    <xf numFmtId="0" fontId="24" fillId="9" borderId="26" xfId="0" applyFont="1" applyFill="1" applyBorder="1" applyAlignment="1" applyProtection="1">
      <alignment vertical="center" wrapText="1"/>
    </xf>
    <xf numFmtId="0" fontId="24" fillId="16" borderId="25" xfId="0" applyFont="1" applyFill="1" applyBorder="1" applyAlignment="1" applyProtection="1">
      <alignment vertical="center" wrapText="1"/>
    </xf>
    <xf numFmtId="0" fontId="22" fillId="16" borderId="25" xfId="0" applyFont="1" applyFill="1" applyBorder="1" applyAlignment="1" applyProtection="1">
      <alignment vertical="center" wrapText="1"/>
    </xf>
    <xf numFmtId="0" fontId="24" fillId="16" borderId="26" xfId="0" applyFont="1" applyFill="1" applyBorder="1" applyAlignment="1" applyProtection="1">
      <alignment vertical="center" wrapText="1"/>
    </xf>
    <xf numFmtId="0" fontId="24" fillId="18" borderId="24" xfId="0" applyFont="1" applyFill="1" applyBorder="1" applyAlignment="1" applyProtection="1">
      <alignment vertical="center" wrapText="1"/>
    </xf>
    <xf numFmtId="0" fontId="24" fillId="18" borderId="25" xfId="0" applyFont="1" applyFill="1" applyBorder="1" applyAlignment="1" applyProtection="1">
      <alignment vertical="center" wrapText="1"/>
    </xf>
    <xf numFmtId="0" fontId="24" fillId="18" borderId="26" xfId="0" applyFont="1" applyFill="1" applyBorder="1" applyAlignment="1" applyProtection="1">
      <alignment vertical="center" wrapText="1"/>
    </xf>
    <xf numFmtId="0" fontId="5" fillId="5" borderId="2" xfId="0" applyFont="1" applyFill="1" applyBorder="1" applyAlignment="1" applyProtection="1">
      <alignment vertical="center" wrapText="1"/>
    </xf>
    <xf numFmtId="0" fontId="5" fillId="5" borderId="24" xfId="0" applyFont="1" applyFill="1" applyBorder="1" applyAlignment="1" applyProtection="1">
      <alignment vertical="center" wrapText="1"/>
    </xf>
    <xf numFmtId="0" fontId="5" fillId="5" borderId="26" xfId="0" applyFont="1" applyFill="1" applyBorder="1" applyAlignment="1" applyProtection="1">
      <alignment vertical="center" wrapText="1"/>
    </xf>
    <xf numFmtId="0" fontId="24" fillId="0" borderId="60" xfId="0" applyFont="1" applyFill="1" applyBorder="1" applyAlignment="1" applyProtection="1">
      <alignment vertical="center" wrapText="1"/>
    </xf>
    <xf numFmtId="0" fontId="24" fillId="5" borderId="46" xfId="0" applyFont="1" applyFill="1" applyBorder="1" applyAlignment="1" applyProtection="1">
      <alignment vertical="center" wrapText="1"/>
    </xf>
    <xf numFmtId="0" fontId="24" fillId="5" borderId="48" xfId="0" applyFont="1" applyFill="1" applyBorder="1" applyAlignment="1" applyProtection="1">
      <alignment vertical="center" wrapText="1"/>
    </xf>
    <xf numFmtId="0" fontId="24" fillId="0" borderId="29" xfId="0" applyFont="1" applyBorder="1" applyAlignment="1" applyProtection="1">
      <alignment vertical="center" wrapText="1"/>
    </xf>
    <xf numFmtId="0" fontId="24" fillId="16" borderId="24" xfId="0" applyFont="1" applyFill="1" applyBorder="1" applyAlignment="1" applyProtection="1">
      <alignment vertical="center" wrapText="1"/>
    </xf>
    <xf numFmtId="0" fontId="0" fillId="12" borderId="10" xfId="0" applyFill="1" applyBorder="1" applyAlignment="1" applyProtection="1">
      <alignment vertical="top" wrapText="1"/>
      <protection locked="0"/>
    </xf>
    <xf numFmtId="9" fontId="23" fillId="11" borderId="23" xfId="1" applyFont="1" applyFill="1" applyBorder="1" applyAlignment="1" applyProtection="1">
      <alignment horizontal="center" vertical="center" wrapText="1"/>
    </xf>
    <xf numFmtId="165" fontId="10" fillId="25" borderId="54" xfId="1" applyNumberFormat="1" applyFont="1" applyFill="1" applyBorder="1" applyAlignment="1" applyProtection="1">
      <alignment horizontal="center" vertical="center" wrapText="1"/>
      <protection locked="0"/>
    </xf>
    <xf numFmtId="0" fontId="0" fillId="0" borderId="64" xfId="0" applyBorder="1" applyAlignment="1" applyProtection="1">
      <alignment vertical="top" wrapText="1"/>
      <protection locked="0"/>
    </xf>
    <xf numFmtId="0" fontId="0" fillId="0" borderId="33" xfId="0" applyBorder="1" applyAlignment="1" applyProtection="1">
      <alignment vertical="top" wrapText="1"/>
      <protection locked="0"/>
    </xf>
    <xf numFmtId="0" fontId="0" fillId="0" borderId="34" xfId="0" applyBorder="1" applyAlignment="1" applyProtection="1">
      <alignment vertical="top" wrapText="1"/>
      <protection locked="0"/>
    </xf>
    <xf numFmtId="0" fontId="26" fillId="25" borderId="15" xfId="0" applyFont="1" applyFill="1" applyBorder="1" applyAlignment="1" applyProtection="1">
      <alignment horizontal="center" vertical="center" wrapText="1"/>
      <protection locked="0"/>
    </xf>
    <xf numFmtId="0" fontId="27" fillId="25" borderId="15" xfId="0" applyFont="1" applyFill="1" applyBorder="1" applyAlignment="1" applyProtection="1">
      <alignment horizontal="center" vertical="center" wrapText="1"/>
      <protection locked="0"/>
    </xf>
    <xf numFmtId="0" fontId="26" fillId="25" borderId="50" xfId="0" applyFont="1" applyFill="1" applyBorder="1" applyAlignment="1" applyProtection="1">
      <alignment horizontal="center" vertical="center" wrapText="1"/>
      <protection locked="0"/>
    </xf>
    <xf numFmtId="2" fontId="26" fillId="25" borderId="50" xfId="0" applyNumberFormat="1" applyFont="1" applyFill="1" applyBorder="1" applyAlignment="1" applyProtection="1">
      <alignment horizontal="center" vertical="center" wrapText="1"/>
      <protection locked="0"/>
    </xf>
    <xf numFmtId="0" fontId="26" fillId="25" borderId="21" xfId="0" applyFont="1" applyFill="1" applyBorder="1" applyAlignment="1" applyProtection="1">
      <alignment horizontal="center" vertical="center" wrapText="1"/>
      <protection locked="0"/>
    </xf>
    <xf numFmtId="0" fontId="26" fillId="25" borderId="48" xfId="0" applyFont="1" applyFill="1" applyBorder="1" applyAlignment="1" applyProtection="1">
      <alignment horizontal="center" vertical="center" wrapText="1"/>
      <protection locked="0"/>
    </xf>
    <xf numFmtId="0" fontId="26" fillId="25" borderId="17" xfId="0" applyFont="1" applyFill="1" applyBorder="1" applyAlignment="1" applyProtection="1">
      <alignment horizontal="center" vertical="center" wrapText="1"/>
      <protection locked="0"/>
    </xf>
    <xf numFmtId="0" fontId="27" fillId="25" borderId="20" xfId="0" applyFont="1" applyFill="1" applyBorder="1" applyAlignment="1" applyProtection="1">
      <alignment horizontal="center" vertical="center" wrapText="1"/>
      <protection locked="0"/>
    </xf>
    <xf numFmtId="165" fontId="26" fillId="25" borderId="54" xfId="0" applyNumberFormat="1" applyFont="1" applyFill="1" applyBorder="1" applyAlignment="1" applyProtection="1">
      <alignment horizontal="center" vertical="center" wrapText="1"/>
      <protection locked="0"/>
    </xf>
    <xf numFmtId="165" fontId="26" fillId="25" borderId="15" xfId="0" applyNumberFormat="1" applyFont="1" applyFill="1" applyBorder="1" applyAlignment="1" applyProtection="1">
      <alignment horizontal="center" vertical="center" wrapText="1"/>
      <protection locked="0"/>
    </xf>
    <xf numFmtId="165" fontId="26" fillId="25" borderId="20" xfId="0" applyNumberFormat="1" applyFont="1" applyFill="1" applyBorder="1" applyAlignment="1" applyProtection="1">
      <alignment horizontal="center" vertical="center" wrapText="1"/>
      <protection locked="0"/>
    </xf>
    <xf numFmtId="165" fontId="27" fillId="25" borderId="15" xfId="0" applyNumberFormat="1" applyFont="1" applyFill="1" applyBorder="1" applyAlignment="1" applyProtection="1">
      <alignment horizontal="center" vertical="center" wrapText="1"/>
      <protection locked="0"/>
    </xf>
    <xf numFmtId="165" fontId="27" fillId="25" borderId="20" xfId="0" applyNumberFormat="1" applyFont="1" applyFill="1" applyBorder="1" applyAlignment="1" applyProtection="1">
      <alignment horizontal="center" vertical="center" wrapText="1"/>
      <protection locked="0"/>
    </xf>
    <xf numFmtId="165" fontId="26" fillId="25" borderId="21" xfId="0" applyNumberFormat="1" applyFont="1" applyFill="1" applyBorder="1" applyAlignment="1" applyProtection="1">
      <alignment horizontal="center" vertical="center" wrapText="1"/>
      <protection locked="0"/>
    </xf>
    <xf numFmtId="165" fontId="26" fillId="25" borderId="23" xfId="0" applyNumberFormat="1" applyFont="1" applyFill="1" applyBorder="1" applyAlignment="1" applyProtection="1">
      <alignment horizontal="center" vertical="center" wrapText="1"/>
      <protection locked="0"/>
    </xf>
    <xf numFmtId="165" fontId="26" fillId="12" borderId="17" xfId="0" applyNumberFormat="1" applyFont="1" applyFill="1" applyBorder="1" applyAlignment="1" applyProtection="1">
      <alignment horizontal="center" vertical="center" wrapText="1"/>
      <protection locked="0"/>
    </xf>
    <xf numFmtId="0" fontId="40" fillId="25" borderId="1" xfId="0" applyFont="1" applyFill="1" applyBorder="1" applyAlignment="1" applyProtection="1">
      <alignment vertical="top" wrapText="1"/>
      <protection locked="0"/>
    </xf>
    <xf numFmtId="165" fontId="26" fillId="25" borderId="17" xfId="0" applyNumberFormat="1" applyFont="1" applyFill="1" applyBorder="1" applyAlignment="1" applyProtection="1">
      <alignment horizontal="center" vertical="center" wrapText="1"/>
      <protection locked="0"/>
    </xf>
    <xf numFmtId="165" fontId="26" fillId="25" borderId="46" xfId="0" applyNumberFormat="1" applyFont="1" applyFill="1" applyBorder="1" applyAlignment="1" applyProtection="1">
      <alignment horizontal="center" vertical="center" wrapText="1"/>
      <protection locked="0"/>
    </xf>
    <xf numFmtId="0" fontId="26" fillId="25" borderId="19" xfId="0" applyFont="1" applyFill="1" applyBorder="1" applyAlignment="1" applyProtection="1">
      <alignment horizontal="center" vertical="center" wrapText="1"/>
      <protection locked="0"/>
    </xf>
    <xf numFmtId="0" fontId="26" fillId="25" borderId="23" xfId="0" applyFont="1" applyFill="1" applyBorder="1" applyAlignment="1" applyProtection="1">
      <alignment horizontal="center" vertical="center" wrapText="1"/>
      <protection locked="0"/>
    </xf>
    <xf numFmtId="0" fontId="0" fillId="0" borderId="24" xfId="0" applyBorder="1" applyAlignment="1" applyProtection="1">
      <alignment vertical="top"/>
      <protection locked="0"/>
    </xf>
    <xf numFmtId="0" fontId="0" fillId="0" borderId="26" xfId="0" applyBorder="1" applyAlignment="1" applyProtection="1">
      <alignment vertical="top"/>
      <protection locked="0"/>
    </xf>
    <xf numFmtId="0" fontId="15" fillId="25" borderId="33" xfId="0" applyFont="1" applyFill="1" applyBorder="1" applyAlignment="1" applyProtection="1">
      <alignment vertical="center" wrapText="1"/>
      <protection locked="0"/>
    </xf>
    <xf numFmtId="0" fontId="15" fillId="0" borderId="33" xfId="0" applyFont="1" applyBorder="1" applyAlignment="1" applyProtection="1">
      <alignment vertical="center" wrapText="1"/>
      <protection locked="0"/>
    </xf>
    <xf numFmtId="0" fontId="26" fillId="25" borderId="20" xfId="0" applyFont="1" applyFill="1" applyBorder="1" applyAlignment="1" applyProtection="1">
      <alignment horizontal="center" vertical="center" wrapText="1"/>
      <protection locked="0"/>
    </xf>
    <xf numFmtId="0" fontId="26" fillId="25" borderId="46" xfId="0" applyFont="1" applyFill="1" applyBorder="1" applyAlignment="1" applyProtection="1">
      <alignment horizontal="center" vertical="center" wrapText="1"/>
      <protection locked="0"/>
    </xf>
    <xf numFmtId="0" fontId="26" fillId="25" borderId="56" xfId="0" applyFont="1" applyFill="1" applyBorder="1" applyAlignment="1" applyProtection="1">
      <alignment horizontal="center" vertical="center" wrapText="1"/>
      <protection locked="0"/>
    </xf>
    <xf numFmtId="0" fontId="26" fillId="25" borderId="65" xfId="0" applyFont="1" applyFill="1" applyBorder="1" applyAlignment="1" applyProtection="1">
      <alignment horizontal="center" vertical="center" wrapText="1"/>
      <protection locked="0"/>
    </xf>
    <xf numFmtId="1" fontId="26" fillId="25" borderId="21" xfId="0" applyNumberFormat="1" applyFont="1" applyFill="1" applyBorder="1" applyAlignment="1" applyProtection="1">
      <alignment horizontal="center" vertical="center" wrapText="1"/>
      <protection locked="0"/>
    </xf>
    <xf numFmtId="0" fontId="26" fillId="25" borderId="47" xfId="0" applyFont="1" applyFill="1" applyBorder="1" applyAlignment="1" applyProtection="1">
      <alignment horizontal="center" vertical="center" wrapText="1"/>
      <protection locked="0"/>
    </xf>
    <xf numFmtId="165" fontId="23" fillId="25" borderId="15" xfId="0" applyNumberFormat="1" applyFont="1" applyFill="1" applyBorder="1" applyAlignment="1" applyProtection="1">
      <alignment horizontal="center" vertical="center" wrapText="1"/>
      <protection locked="0"/>
    </xf>
    <xf numFmtId="165" fontId="23" fillId="25" borderId="20" xfId="0" applyNumberFormat="1" applyFont="1" applyFill="1" applyBorder="1" applyAlignment="1" applyProtection="1">
      <alignment horizontal="center" vertical="center" wrapText="1"/>
      <protection locked="0"/>
    </xf>
    <xf numFmtId="0" fontId="26" fillId="25" borderId="54" xfId="0" applyFont="1" applyFill="1" applyBorder="1" applyAlignment="1" applyProtection="1">
      <alignment horizontal="center" vertical="center" wrapText="1"/>
      <protection locked="0"/>
    </xf>
    <xf numFmtId="0" fontId="26" fillId="25" borderId="12" xfId="0" applyFont="1" applyFill="1" applyBorder="1" applyAlignment="1" applyProtection="1">
      <alignment horizontal="center" vertical="center" wrapText="1"/>
      <protection locked="0"/>
    </xf>
    <xf numFmtId="0" fontId="26" fillId="25" borderId="38" xfId="0" applyFont="1" applyFill="1" applyBorder="1" applyAlignment="1" applyProtection="1">
      <alignment horizontal="center" vertical="center" wrapText="1"/>
      <protection locked="0"/>
    </xf>
    <xf numFmtId="0" fontId="26" fillId="25" borderId="55" xfId="0" applyFont="1" applyFill="1" applyBorder="1" applyAlignment="1" applyProtection="1">
      <alignment horizontal="center" vertical="center" wrapText="1"/>
      <protection locked="0"/>
    </xf>
    <xf numFmtId="3" fontId="26" fillId="25" borderId="17" xfId="0" applyNumberFormat="1" applyFont="1" applyFill="1" applyBorder="1" applyAlignment="1" applyProtection="1">
      <alignment horizontal="center" vertical="center" wrapText="1"/>
      <protection locked="0"/>
    </xf>
    <xf numFmtId="4" fontId="26" fillId="25" borderId="46" xfId="0" applyNumberFormat="1" applyFont="1" applyFill="1" applyBorder="1" applyAlignment="1" applyProtection="1">
      <alignment horizontal="center" vertical="center" wrapText="1"/>
      <protection locked="0"/>
    </xf>
    <xf numFmtId="0" fontId="26" fillId="25" borderId="36" xfId="0" applyFont="1" applyFill="1" applyBorder="1" applyAlignment="1" applyProtection="1">
      <alignment horizontal="center" vertical="center" wrapText="1"/>
      <protection locked="0"/>
    </xf>
    <xf numFmtId="0" fontId="32" fillId="3" borderId="44" xfId="0" applyFont="1" applyFill="1" applyBorder="1" applyAlignment="1" applyProtection="1">
      <alignment vertical="center" wrapText="1"/>
      <protection locked="0"/>
    </xf>
    <xf numFmtId="0" fontId="32" fillId="3" borderId="6" xfId="0" applyFont="1" applyFill="1" applyBorder="1" applyAlignment="1" applyProtection="1">
      <alignment vertical="center" wrapText="1"/>
      <protection locked="0"/>
    </xf>
    <xf numFmtId="0" fontId="26" fillId="12" borderId="47" xfId="0" applyFont="1" applyFill="1" applyBorder="1" applyAlignment="1" applyProtection="1">
      <alignment horizontal="center" vertical="center" wrapText="1"/>
      <protection locked="0"/>
    </xf>
    <xf numFmtId="4" fontId="26" fillId="25" borderId="19" xfId="0" applyNumberFormat="1" applyFont="1" applyFill="1" applyBorder="1" applyAlignment="1" applyProtection="1">
      <alignment horizontal="center" vertical="center" wrapText="1"/>
      <protection locked="0"/>
    </xf>
    <xf numFmtId="0" fontId="26" fillId="25" borderId="74" xfId="0" applyFont="1" applyFill="1" applyBorder="1" applyAlignment="1" applyProtection="1">
      <alignment horizontal="center" vertical="center" wrapText="1"/>
      <protection locked="0"/>
    </xf>
    <xf numFmtId="0" fontId="26" fillId="25" borderId="57" xfId="0" applyFont="1" applyFill="1" applyBorder="1" applyAlignment="1" applyProtection="1">
      <alignment horizontal="center" vertical="center" wrapText="1"/>
      <protection locked="0"/>
    </xf>
    <xf numFmtId="0" fontId="40" fillId="25" borderId="32" xfId="0" applyFont="1" applyFill="1" applyBorder="1" applyAlignment="1" applyProtection="1">
      <alignment vertical="center" wrapText="1"/>
      <protection locked="0"/>
    </xf>
    <xf numFmtId="0" fontId="16" fillId="25" borderId="10" xfId="0" applyFont="1" applyFill="1" applyBorder="1" applyAlignment="1" applyProtection="1">
      <alignment vertical="center" wrapText="1"/>
      <protection locked="0"/>
    </xf>
    <xf numFmtId="165" fontId="10" fillId="25" borderId="38" xfId="1" applyNumberFormat="1" applyFont="1" applyFill="1" applyBorder="1" applyAlignment="1" applyProtection="1">
      <alignment horizontal="center" vertical="center" wrapText="1"/>
      <protection locked="0"/>
    </xf>
    <xf numFmtId="0" fontId="27" fillId="25" borderId="17" xfId="0" applyFont="1" applyFill="1" applyBorder="1" applyAlignment="1" applyProtection="1">
      <alignment horizontal="center" vertical="center" wrapText="1"/>
      <protection locked="0"/>
    </xf>
    <xf numFmtId="0" fontId="27" fillId="25" borderId="19" xfId="0" applyFont="1" applyFill="1" applyBorder="1" applyAlignment="1" applyProtection="1">
      <alignment horizontal="center" vertical="center" wrapText="1"/>
      <protection locked="0"/>
    </xf>
    <xf numFmtId="0" fontId="15" fillId="28" borderId="34" xfId="0" applyFont="1" applyFill="1" applyBorder="1" applyAlignment="1" applyProtection="1">
      <alignment vertical="center" wrapText="1"/>
      <protection locked="0"/>
    </xf>
    <xf numFmtId="0" fontId="11" fillId="0" borderId="10" xfId="0" applyFont="1" applyBorder="1" applyProtection="1">
      <protection locked="0"/>
    </xf>
    <xf numFmtId="0" fontId="0" fillId="0" borderId="0" xfId="0" applyBorder="1" applyAlignment="1" applyProtection="1">
      <alignment vertical="top" wrapText="1"/>
      <protection locked="0"/>
    </xf>
    <xf numFmtId="0" fontId="0" fillId="0" borderId="0" xfId="0" applyBorder="1" applyProtection="1">
      <protection locked="0"/>
    </xf>
    <xf numFmtId="0" fontId="0" fillId="0" borderId="32" xfId="0" applyBorder="1" applyAlignment="1" applyProtection="1">
      <alignment vertical="top" wrapText="1"/>
      <protection locked="0"/>
    </xf>
    <xf numFmtId="0" fontId="2" fillId="0" borderId="2" xfId="0" applyFont="1" applyBorder="1" applyProtection="1">
      <protection locked="0"/>
    </xf>
    <xf numFmtId="0" fontId="2" fillId="0" borderId="2" xfId="0" applyFont="1" applyBorder="1" applyAlignment="1" applyProtection="1">
      <alignment vertical="top"/>
      <protection locked="0"/>
    </xf>
    <xf numFmtId="0" fontId="0" fillId="0" borderId="12" xfId="0" applyBorder="1" applyAlignment="1" applyProtection="1">
      <alignment vertical="top"/>
      <protection locked="0"/>
    </xf>
    <xf numFmtId="0" fontId="0" fillId="0" borderId="47" xfId="0" applyBorder="1" applyAlignment="1" applyProtection="1">
      <alignment vertical="top"/>
      <protection locked="0"/>
    </xf>
    <xf numFmtId="0" fontId="0" fillId="0" borderId="55" xfId="0" applyBorder="1" applyAlignment="1" applyProtection="1">
      <alignment vertical="top"/>
      <protection locked="0"/>
    </xf>
    <xf numFmtId="0" fontId="0" fillId="0" borderId="76" xfId="0" applyBorder="1" applyAlignment="1" applyProtection="1">
      <alignment vertical="top"/>
      <protection locked="0"/>
    </xf>
    <xf numFmtId="0" fontId="11" fillId="0" borderId="44" xfId="0" applyFont="1" applyBorder="1" applyProtection="1">
      <protection locked="0"/>
    </xf>
    <xf numFmtId="0" fontId="2" fillId="0" borderId="1" xfId="0" applyFont="1" applyBorder="1" applyAlignment="1" applyProtection="1">
      <alignment vertical="top" wrapText="1"/>
      <protection locked="0"/>
    </xf>
    <xf numFmtId="0" fontId="0" fillId="0" borderId="53" xfId="0" applyBorder="1" applyAlignment="1" applyProtection="1">
      <alignment vertical="top" wrapText="1"/>
      <protection locked="0"/>
    </xf>
    <xf numFmtId="0" fontId="0" fillId="0" borderId="41" xfId="0" applyBorder="1" applyAlignment="1" applyProtection="1">
      <alignment vertical="top" wrapText="1"/>
      <protection locked="0"/>
    </xf>
    <xf numFmtId="0" fontId="0" fillId="0" borderId="8" xfId="0" applyBorder="1" applyAlignment="1" applyProtection="1">
      <alignment vertical="top" wrapText="1"/>
      <protection locked="0"/>
    </xf>
    <xf numFmtId="0" fontId="29" fillId="26" borderId="43" xfId="0" applyFont="1" applyFill="1" applyBorder="1" applyAlignment="1" applyProtection="1">
      <alignment horizontal="center"/>
      <protection locked="0"/>
    </xf>
    <xf numFmtId="0" fontId="29" fillId="26" borderId="0" xfId="0" applyFont="1" applyFill="1" applyBorder="1" applyAlignment="1" applyProtection="1">
      <alignment horizontal="center"/>
      <protection locked="0"/>
    </xf>
    <xf numFmtId="0" fontId="8" fillId="0" borderId="0" xfId="0" applyFont="1" applyBorder="1" applyAlignment="1" applyProtection="1">
      <alignment horizontal="center" vertical="center"/>
      <protection locked="0"/>
    </xf>
    <xf numFmtId="0" fontId="2" fillId="2" borderId="16" xfId="0" applyFont="1" applyFill="1" applyBorder="1" applyAlignment="1" applyProtection="1">
      <alignment vertical="center" wrapText="1"/>
    </xf>
    <xf numFmtId="0" fontId="24" fillId="8" borderId="31" xfId="0" applyFont="1" applyFill="1" applyBorder="1" applyAlignment="1" applyProtection="1">
      <alignment vertical="center" wrapText="1"/>
    </xf>
    <xf numFmtId="0" fontId="24" fillId="9" borderId="29" xfId="0" applyFont="1" applyFill="1" applyBorder="1" applyAlignment="1" applyProtection="1">
      <alignment vertical="center" wrapText="1"/>
    </xf>
    <xf numFmtId="0" fontId="24" fillId="9" borderId="31" xfId="0" applyFont="1" applyFill="1" applyBorder="1" applyAlignment="1" applyProtection="1">
      <alignment vertical="center" wrapText="1"/>
    </xf>
    <xf numFmtId="0" fontId="47" fillId="26" borderId="0" xfId="0" applyFont="1" applyFill="1" applyBorder="1" applyAlignment="1" applyProtection="1">
      <alignment horizontal="center"/>
    </xf>
    <xf numFmtId="0" fontId="24" fillId="8" borderId="61" xfId="0" applyFont="1" applyFill="1" applyBorder="1" applyAlignment="1" applyProtection="1">
      <alignment vertical="center" wrapText="1"/>
    </xf>
    <xf numFmtId="0" fontId="24" fillId="10" borderId="29" xfId="0" applyFont="1" applyFill="1" applyBorder="1" applyAlignment="1" applyProtection="1">
      <alignment vertical="center" wrapText="1"/>
    </xf>
    <xf numFmtId="0" fontId="24" fillId="10" borderId="30" xfId="0" applyFont="1" applyFill="1" applyBorder="1" applyAlignment="1" applyProtection="1">
      <alignment vertical="center" wrapText="1"/>
    </xf>
    <xf numFmtId="0" fontId="24" fillId="10" borderId="31" xfId="0" applyFont="1" applyFill="1" applyBorder="1" applyAlignment="1" applyProtection="1">
      <alignment vertical="center" wrapText="1"/>
    </xf>
    <xf numFmtId="0" fontId="22" fillId="0" borderId="17" xfId="0" applyFont="1" applyFill="1" applyBorder="1" applyAlignment="1" applyProtection="1">
      <alignment vertical="center" wrapText="1"/>
    </xf>
    <xf numFmtId="0" fontId="22" fillId="0" borderId="15" xfId="0" applyFont="1" applyFill="1" applyBorder="1" applyAlignment="1" applyProtection="1">
      <alignment vertical="center" wrapText="1"/>
    </xf>
    <xf numFmtId="0" fontId="22" fillId="0" borderId="15" xfId="0" applyFont="1" applyBorder="1" applyAlignment="1" applyProtection="1">
      <alignment vertical="center" wrapText="1"/>
    </xf>
    <xf numFmtId="0" fontId="24" fillId="0" borderId="20" xfId="0" applyFont="1" applyBorder="1" applyAlignment="1" applyProtection="1">
      <alignment vertical="center" wrapText="1"/>
    </xf>
    <xf numFmtId="0" fontId="24" fillId="0" borderId="23" xfId="0" applyFont="1" applyBorder="1" applyAlignment="1" applyProtection="1">
      <alignment vertical="center" wrapText="1"/>
    </xf>
    <xf numFmtId="0" fontId="15" fillId="0" borderId="34" xfId="0" applyFont="1" applyBorder="1" applyAlignment="1" applyProtection="1">
      <alignment vertical="center" wrapText="1"/>
      <protection locked="0"/>
    </xf>
    <xf numFmtId="0" fontId="15" fillId="0" borderId="53" xfId="3" applyFont="1" applyBorder="1" applyAlignment="1" applyProtection="1">
      <alignment vertical="center" wrapText="1"/>
      <protection locked="0"/>
    </xf>
    <xf numFmtId="0" fontId="15" fillId="0" borderId="0" xfId="0" applyFont="1" applyAlignment="1" applyProtection="1">
      <alignment vertical="center" wrapText="1"/>
      <protection locked="0"/>
    </xf>
    <xf numFmtId="0" fontId="15" fillId="0" borderId="29" xfId="0" applyFont="1" applyBorder="1" applyAlignment="1" applyProtection="1">
      <alignment vertical="center" wrapText="1"/>
      <protection locked="0"/>
    </xf>
    <xf numFmtId="0" fontId="15" fillId="0" borderId="58" xfId="3" applyFont="1" applyBorder="1" applyAlignment="1" applyProtection="1">
      <alignment vertical="center" wrapText="1"/>
      <protection locked="0"/>
    </xf>
    <xf numFmtId="0" fontId="15" fillId="0" borderId="59" xfId="0" applyFont="1" applyBorder="1" applyAlignment="1" applyProtection="1">
      <alignment vertical="center" wrapText="1"/>
      <protection locked="0"/>
    </xf>
    <xf numFmtId="0" fontId="15" fillId="0" borderId="24" xfId="3" applyFont="1" applyBorder="1" applyAlignment="1" applyProtection="1">
      <alignment vertical="center" wrapText="1"/>
      <protection locked="0"/>
    </xf>
    <xf numFmtId="0" fontId="15" fillId="25" borderId="32" xfId="0" applyFont="1" applyFill="1" applyBorder="1" applyAlignment="1" applyProtection="1">
      <alignment vertical="center" wrapText="1"/>
      <protection locked="0"/>
    </xf>
    <xf numFmtId="0" fontId="15" fillId="0" borderId="25" xfId="3" applyFont="1" applyBorder="1" applyAlignment="1" applyProtection="1">
      <alignment vertical="center" wrapText="1"/>
      <protection locked="0"/>
    </xf>
    <xf numFmtId="0" fontId="15" fillId="0" borderId="25" xfId="0" applyFont="1" applyBorder="1" applyAlignment="1" applyProtection="1">
      <alignment vertical="center" wrapText="1"/>
      <protection locked="0"/>
    </xf>
    <xf numFmtId="0" fontId="15" fillId="0" borderId="2" xfId="3" applyFont="1" applyBorder="1" applyAlignment="1" applyProtection="1">
      <alignment horizontal="left" vertical="center" wrapText="1"/>
      <protection locked="0"/>
    </xf>
    <xf numFmtId="0" fontId="15" fillId="0" borderId="2" xfId="3" applyFont="1" applyBorder="1" applyAlignment="1" applyProtection="1">
      <alignment vertical="center" wrapText="1"/>
      <protection locked="0"/>
    </xf>
    <xf numFmtId="0" fontId="15" fillId="0" borderId="2"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8" fillId="25" borderId="17" xfId="0" applyFont="1" applyFill="1" applyBorder="1" applyAlignment="1" applyProtection="1">
      <alignment horizontal="center" vertical="center" wrapText="1"/>
      <protection locked="0"/>
    </xf>
    <xf numFmtId="0" fontId="38" fillId="25" borderId="19" xfId="0" applyFont="1" applyFill="1" applyBorder="1" applyAlignment="1" applyProtection="1">
      <alignment horizontal="center" vertical="center" wrapText="1"/>
      <protection locked="0"/>
    </xf>
    <xf numFmtId="0" fontId="15" fillId="0" borderId="26" xfId="0" applyFont="1" applyBorder="1" applyAlignment="1" applyProtection="1">
      <alignment vertical="center" wrapText="1"/>
      <protection locked="0"/>
    </xf>
    <xf numFmtId="0" fontId="0" fillId="2" borderId="7" xfId="0" applyFill="1" applyBorder="1" applyAlignment="1" applyProtection="1">
      <alignment vertical="center" wrapText="1"/>
      <protection locked="0"/>
    </xf>
    <xf numFmtId="0" fontId="15" fillId="11" borderId="1" xfId="0" applyFont="1" applyFill="1" applyBorder="1" applyAlignment="1" applyProtection="1">
      <alignment vertical="center" wrapText="1"/>
      <protection locked="0"/>
    </xf>
    <xf numFmtId="1" fontId="26" fillId="12" borderId="15" xfId="0" applyNumberFormat="1" applyFont="1" applyFill="1" applyBorder="1" applyAlignment="1" applyProtection="1">
      <alignment horizontal="center" vertical="center" wrapText="1"/>
      <protection locked="0"/>
    </xf>
    <xf numFmtId="0" fontId="15" fillId="0" borderId="1" xfId="0" applyFont="1" applyBorder="1" applyAlignment="1" applyProtection="1">
      <alignment vertical="center" wrapText="1"/>
      <protection locked="0"/>
    </xf>
    <xf numFmtId="0" fontId="15" fillId="25" borderId="1" xfId="0" applyFont="1" applyFill="1" applyBorder="1" applyAlignment="1" applyProtection="1">
      <alignment vertical="center" wrapText="1"/>
      <protection locked="0"/>
    </xf>
    <xf numFmtId="0" fontId="15" fillId="0" borderId="46" xfId="3" applyFont="1" applyBorder="1" applyAlignment="1" applyProtection="1">
      <alignment vertical="center" wrapText="1"/>
      <protection locked="0"/>
    </xf>
    <xf numFmtId="0" fontId="15" fillId="0" borderId="48" xfId="3" applyFont="1" applyBorder="1" applyAlignment="1" applyProtection="1">
      <alignment vertical="center" wrapText="1"/>
      <protection locked="0"/>
    </xf>
    <xf numFmtId="0" fontId="15" fillId="12" borderId="66" xfId="3" applyFont="1" applyFill="1" applyBorder="1" applyAlignment="1" applyProtection="1">
      <alignment vertical="center" wrapText="1"/>
      <protection locked="0"/>
    </xf>
    <xf numFmtId="0" fontId="15" fillId="12" borderId="25" xfId="0" applyFont="1" applyFill="1" applyBorder="1" applyAlignment="1" applyProtection="1">
      <alignment vertical="center" wrapText="1"/>
      <protection locked="0"/>
    </xf>
    <xf numFmtId="0" fontId="15" fillId="12" borderId="37" xfId="0" applyFont="1" applyFill="1" applyBorder="1" applyAlignment="1" applyProtection="1">
      <alignment vertical="center" wrapText="1"/>
      <protection locked="0"/>
    </xf>
    <xf numFmtId="0" fontId="28" fillId="0" borderId="66" xfId="0" applyFont="1" applyBorder="1" applyAlignment="1" applyProtection="1">
      <alignment vertical="center" wrapText="1"/>
      <protection locked="0"/>
    </xf>
    <xf numFmtId="0" fontId="15" fillId="0" borderId="53" xfId="0" applyFont="1" applyBorder="1" applyAlignment="1" applyProtection="1">
      <alignment vertical="center" wrapText="1"/>
      <protection locked="0"/>
    </xf>
    <xf numFmtId="0" fontId="28" fillId="0" borderId="25" xfId="3" applyFont="1" applyBorder="1" applyAlignment="1" applyProtection="1">
      <alignment vertical="center" wrapText="1"/>
      <protection locked="0"/>
    </xf>
    <xf numFmtId="0" fontId="28" fillId="0" borderId="26" xfId="3" applyFont="1" applyBorder="1" applyAlignment="1" applyProtection="1">
      <alignment vertical="center" wrapText="1"/>
      <protection locked="0"/>
    </xf>
    <xf numFmtId="0" fontId="15" fillId="0" borderId="26" xfId="3" applyFont="1" applyBorder="1" applyAlignment="1" applyProtection="1">
      <alignment vertical="center" wrapText="1"/>
      <protection locked="0"/>
    </xf>
    <xf numFmtId="0" fontId="49" fillId="25" borderId="20" xfId="0" applyFont="1" applyFill="1" applyBorder="1" applyAlignment="1" applyProtection="1">
      <alignment horizontal="center" vertical="center" wrapText="1"/>
      <protection locked="0"/>
    </xf>
    <xf numFmtId="0" fontId="23" fillId="25" borderId="23" xfId="0" applyFont="1" applyFill="1" applyBorder="1" applyAlignment="1" applyProtection="1">
      <alignment horizontal="center" vertical="center" wrapText="1"/>
      <protection locked="0"/>
    </xf>
    <xf numFmtId="0" fontId="50" fillId="25" borderId="50" xfId="0" applyFont="1" applyFill="1" applyBorder="1" applyAlignment="1" applyProtection="1">
      <alignment horizontal="center" vertical="center" wrapText="1"/>
      <protection locked="0"/>
    </xf>
    <xf numFmtId="0" fontId="38" fillId="25" borderId="52" xfId="0" applyFont="1" applyFill="1" applyBorder="1" applyAlignment="1" applyProtection="1">
      <alignment horizontal="center" vertical="center" wrapText="1"/>
      <protection locked="0"/>
    </xf>
    <xf numFmtId="0" fontId="38" fillId="25" borderId="50" xfId="0" applyFont="1" applyFill="1" applyBorder="1" applyAlignment="1" applyProtection="1">
      <alignment horizontal="center" vertical="center" wrapText="1"/>
      <protection locked="0"/>
    </xf>
    <xf numFmtId="0" fontId="10" fillId="12" borderId="72" xfId="0" applyFont="1" applyFill="1" applyBorder="1" applyAlignment="1" applyProtection="1">
      <alignment horizontal="center" vertical="center" wrapText="1"/>
      <protection locked="0"/>
    </xf>
    <xf numFmtId="0" fontId="10" fillId="12" borderId="69" xfId="0" applyFont="1" applyFill="1" applyBorder="1" applyAlignment="1" applyProtection="1">
      <alignment horizontal="center" vertical="center" wrapText="1"/>
      <protection locked="0"/>
    </xf>
    <xf numFmtId="165" fontId="38" fillId="25" borderId="20" xfId="0" applyNumberFormat="1" applyFont="1" applyFill="1" applyBorder="1" applyAlignment="1" applyProtection="1">
      <alignment horizontal="center" vertical="center" wrapText="1"/>
      <protection locked="0"/>
    </xf>
    <xf numFmtId="2" fontId="38" fillId="25" borderId="50" xfId="0" applyNumberFormat="1" applyFont="1" applyFill="1" applyBorder="1" applyAlignment="1" applyProtection="1">
      <alignment horizontal="center" vertical="center" wrapText="1"/>
      <protection locked="0"/>
    </xf>
    <xf numFmtId="0" fontId="38" fillId="25" borderId="36" xfId="0" applyFont="1" applyFill="1" applyBorder="1" applyAlignment="1" applyProtection="1">
      <alignment horizontal="center" vertical="center" wrapText="1"/>
      <protection locked="0"/>
    </xf>
    <xf numFmtId="0" fontId="15" fillId="28" borderId="33" xfId="0" applyFont="1" applyFill="1" applyBorder="1" applyAlignment="1" applyProtection="1">
      <alignment vertical="center" wrapText="1"/>
      <protection locked="0"/>
    </xf>
    <xf numFmtId="0" fontId="15" fillId="28" borderId="10" xfId="0" applyFont="1" applyFill="1" applyBorder="1" applyAlignment="1" applyProtection="1">
      <alignment vertical="center" wrapText="1"/>
      <protection locked="0"/>
    </xf>
    <xf numFmtId="0" fontId="40" fillId="0" borderId="34" xfId="0" applyFont="1" applyBorder="1" applyAlignment="1" applyProtection="1">
      <alignment wrapText="1"/>
      <protection locked="0"/>
    </xf>
    <xf numFmtId="0" fontId="40" fillId="0" borderId="33" xfId="0" applyFont="1" applyBorder="1" applyAlignment="1" applyProtection="1">
      <alignment wrapText="1"/>
      <protection locked="0"/>
    </xf>
    <xf numFmtId="0" fontId="40" fillId="0" borderId="59" xfId="0" applyFont="1" applyBorder="1" applyAlignment="1" applyProtection="1">
      <alignment vertical="top" wrapText="1"/>
      <protection locked="0"/>
    </xf>
    <xf numFmtId="0" fontId="51" fillId="0" borderId="24" xfId="3" applyFont="1" applyBorder="1" applyAlignment="1" applyProtection="1">
      <alignment wrapText="1"/>
      <protection locked="0"/>
    </xf>
    <xf numFmtId="0" fontId="40" fillId="0" borderId="26" xfId="0" applyFont="1" applyBorder="1" applyAlignment="1" applyProtection="1">
      <alignment wrapText="1"/>
      <protection locked="0"/>
    </xf>
    <xf numFmtId="0" fontId="40" fillId="28" borderId="1" xfId="0" applyFont="1" applyFill="1" applyBorder="1" applyAlignment="1" applyProtection="1">
      <alignment vertical="top" wrapText="1"/>
      <protection locked="0"/>
    </xf>
    <xf numFmtId="0" fontId="40" fillId="12" borderId="32" xfId="0" applyFont="1" applyFill="1" applyBorder="1" applyAlignment="1" applyProtection="1">
      <alignment wrapText="1"/>
      <protection locked="0"/>
    </xf>
    <xf numFmtId="165" fontId="38" fillId="25" borderId="15" xfId="0" applyNumberFormat="1" applyFont="1" applyFill="1" applyBorder="1" applyAlignment="1" applyProtection="1">
      <alignment horizontal="center" vertical="center" wrapText="1"/>
      <protection locked="0"/>
    </xf>
    <xf numFmtId="165" fontId="38" fillId="25" borderId="11" xfId="0" applyNumberFormat="1" applyFont="1" applyFill="1" applyBorder="1" applyAlignment="1" applyProtection="1">
      <alignment horizontal="center" vertical="center" wrapText="1"/>
      <protection locked="0"/>
    </xf>
    <xf numFmtId="0" fontId="40" fillId="0" borderId="24" xfId="0" applyFont="1" applyBorder="1" applyAlignment="1" applyProtection="1">
      <alignment wrapText="1"/>
      <protection locked="0"/>
    </xf>
    <xf numFmtId="0" fontId="0" fillId="0" borderId="11" xfId="0" applyBorder="1" applyAlignment="1" applyProtection="1">
      <alignment wrapText="1"/>
      <protection locked="0"/>
    </xf>
    <xf numFmtId="0" fontId="40" fillId="0" borderId="25" xfId="0" applyFont="1" applyBorder="1" applyAlignment="1" applyProtection="1">
      <alignment wrapText="1"/>
      <protection locked="0"/>
    </xf>
    <xf numFmtId="0" fontId="51" fillId="0" borderId="25" xfId="3" applyFont="1" applyBorder="1" applyAlignment="1" applyProtection="1">
      <alignment wrapText="1"/>
      <protection locked="0"/>
    </xf>
    <xf numFmtId="0" fontId="51" fillId="0" borderId="46" xfId="3" applyFont="1" applyBorder="1" applyAlignment="1" applyProtection="1">
      <alignment vertical="top" wrapText="1"/>
      <protection locked="0"/>
    </xf>
    <xf numFmtId="0" fontId="51" fillId="12" borderId="66" xfId="3" applyFont="1" applyFill="1" applyBorder="1" applyAlignment="1" applyProtection="1">
      <alignment vertical="top" wrapText="1"/>
      <protection locked="0"/>
    </xf>
    <xf numFmtId="0" fontId="40" fillId="12" borderId="25" xfId="0" applyFont="1" applyFill="1" applyBorder="1" applyAlignment="1" applyProtection="1">
      <alignment wrapText="1"/>
      <protection locked="0"/>
    </xf>
    <xf numFmtId="0" fontId="40" fillId="12" borderId="33" xfId="0" applyFont="1" applyFill="1" applyBorder="1" applyAlignment="1" applyProtection="1">
      <alignment wrapText="1"/>
      <protection locked="0"/>
    </xf>
    <xf numFmtId="0" fontId="40" fillId="12" borderId="37" xfId="0" applyFont="1" applyFill="1" applyBorder="1" applyAlignment="1" applyProtection="1">
      <alignment wrapText="1"/>
      <protection locked="0"/>
    </xf>
    <xf numFmtId="0" fontId="40" fillId="12" borderId="34" xfId="0" applyFont="1" applyFill="1" applyBorder="1" applyAlignment="1" applyProtection="1">
      <alignment wrapText="1"/>
      <protection locked="0"/>
    </xf>
    <xf numFmtId="0" fontId="15" fillId="0" borderId="34" xfId="0" applyFont="1" applyBorder="1" applyAlignment="1" applyProtection="1">
      <alignment horizontal="left" vertical="top" wrapText="1"/>
      <protection locked="0"/>
    </xf>
    <xf numFmtId="0" fontId="0" fillId="0" borderId="62" xfId="0" applyBorder="1" applyAlignment="1" applyProtection="1">
      <alignment vertical="top" wrapText="1"/>
      <protection locked="0"/>
    </xf>
    <xf numFmtId="0" fontId="34" fillId="0" borderId="41" xfId="3" applyFont="1" applyBorder="1" applyAlignment="1" applyProtection="1">
      <alignment vertical="top" wrapText="1"/>
      <protection locked="0"/>
    </xf>
    <xf numFmtId="0" fontId="39" fillId="0" borderId="29" xfId="0" applyFont="1" applyBorder="1" applyAlignment="1" applyProtection="1">
      <alignment vertical="top" wrapText="1"/>
      <protection locked="0"/>
    </xf>
    <xf numFmtId="165" fontId="10" fillId="12" borderId="15" xfId="0" applyNumberFormat="1" applyFont="1" applyFill="1" applyBorder="1" applyAlignment="1" applyProtection="1">
      <alignment horizontal="center" vertical="center" wrapText="1"/>
      <protection locked="0"/>
    </xf>
    <xf numFmtId="165" fontId="10" fillId="12" borderId="20" xfId="0" applyNumberFormat="1" applyFont="1" applyFill="1" applyBorder="1" applyAlignment="1" applyProtection="1">
      <alignment horizontal="center" vertical="center" wrapText="1"/>
      <protection locked="0"/>
    </xf>
    <xf numFmtId="165" fontId="10" fillId="12" borderId="21" xfId="0" applyNumberFormat="1" applyFont="1" applyFill="1" applyBorder="1" applyAlignment="1" applyProtection="1">
      <alignment horizontal="center" vertical="center" wrapText="1"/>
      <protection locked="0"/>
    </xf>
    <xf numFmtId="165" fontId="10" fillId="12" borderId="23" xfId="0" applyNumberFormat="1" applyFont="1" applyFill="1" applyBorder="1" applyAlignment="1" applyProtection="1">
      <alignment horizontal="center" vertical="center" wrapText="1"/>
      <protection locked="0"/>
    </xf>
    <xf numFmtId="0" fontId="0" fillId="0" borderId="31" xfId="0" applyBorder="1" applyAlignment="1" applyProtection="1">
      <alignment vertical="top" wrapText="1"/>
      <protection locked="0"/>
    </xf>
    <xf numFmtId="0" fontId="10" fillId="25" borderId="15" xfId="0" applyFont="1" applyFill="1" applyBorder="1" applyAlignment="1" applyProtection="1">
      <alignment horizontal="center" vertical="center" wrapText="1"/>
      <protection locked="0"/>
    </xf>
    <xf numFmtId="0" fontId="35" fillId="0" borderId="24" xfId="3" applyFont="1" applyBorder="1" applyAlignment="1" applyProtection="1">
      <alignment vertical="top" wrapText="1"/>
      <protection locked="0"/>
    </xf>
    <xf numFmtId="0" fontId="10" fillId="0" borderId="15" xfId="0" applyFont="1" applyBorder="1" applyAlignment="1" applyProtection="1">
      <alignment horizontal="center" vertical="center" wrapText="1"/>
      <protection locked="0"/>
    </xf>
    <xf numFmtId="0" fontId="10" fillId="0" borderId="20" xfId="0" applyFont="1" applyBorder="1" applyAlignment="1" applyProtection="1">
      <alignment horizontal="center" vertical="center" wrapText="1"/>
      <protection locked="0"/>
    </xf>
    <xf numFmtId="165" fontId="10" fillId="12" borderId="50" xfId="0" applyNumberFormat="1" applyFont="1" applyFill="1" applyBorder="1" applyAlignment="1" applyProtection="1">
      <alignment horizontal="center" vertical="center" wrapText="1"/>
      <protection locked="0"/>
    </xf>
    <xf numFmtId="165" fontId="10" fillId="12" borderId="36" xfId="0" applyNumberFormat="1" applyFont="1" applyFill="1" applyBorder="1" applyAlignment="1" applyProtection="1">
      <alignment horizontal="center" vertical="center" wrapText="1"/>
      <protection locked="0"/>
    </xf>
    <xf numFmtId="0" fontId="35" fillId="0" borderId="2" xfId="3" applyFont="1" applyBorder="1" applyAlignment="1" applyProtection="1">
      <alignment horizontal="left" vertical="top" wrapText="1"/>
      <protection locked="0"/>
    </xf>
    <xf numFmtId="0" fontId="10" fillId="25" borderId="50" xfId="0" applyFont="1" applyFill="1" applyBorder="1" applyAlignment="1" applyProtection="1">
      <alignment horizontal="center" vertical="center" wrapText="1"/>
      <protection locked="0"/>
    </xf>
    <xf numFmtId="0" fontId="10" fillId="25" borderId="36" xfId="0" applyFont="1" applyFill="1" applyBorder="1" applyAlignment="1" applyProtection="1">
      <alignment horizontal="center" vertical="center" wrapText="1"/>
      <protection locked="0"/>
    </xf>
    <xf numFmtId="0" fontId="10" fillId="12" borderId="50" xfId="0" applyFont="1" applyFill="1" applyBorder="1" applyAlignment="1" applyProtection="1">
      <alignment horizontal="center" vertical="center" wrapText="1"/>
      <protection locked="0"/>
    </xf>
    <xf numFmtId="0" fontId="10" fillId="12" borderId="36" xfId="0" applyFont="1" applyFill="1" applyBorder="1" applyAlignment="1" applyProtection="1">
      <alignment horizontal="center" vertical="center" wrapText="1"/>
      <protection locked="0"/>
    </xf>
    <xf numFmtId="165" fontId="26" fillId="12" borderId="54" xfId="0" applyNumberFormat="1" applyFont="1" applyFill="1" applyBorder="1" applyAlignment="1" applyProtection="1">
      <alignment horizontal="center" vertical="center" wrapText="1"/>
      <protection locked="0"/>
    </xf>
    <xf numFmtId="165" fontId="26" fillId="12" borderId="38" xfId="0" applyNumberFormat="1" applyFont="1" applyFill="1" applyBorder="1" applyAlignment="1" applyProtection="1">
      <alignment horizontal="center" vertical="center" wrapText="1"/>
      <protection locked="0"/>
    </xf>
    <xf numFmtId="165" fontId="10" fillId="25" borderId="11" xfId="0" applyNumberFormat="1" applyFont="1" applyFill="1" applyBorder="1" applyAlignment="1" applyProtection="1">
      <alignment horizontal="center" vertical="center" wrapText="1"/>
      <protection locked="0"/>
    </xf>
    <xf numFmtId="0" fontId="51" fillId="12" borderId="48" xfId="3" applyFont="1" applyFill="1" applyBorder="1" applyAlignment="1" applyProtection="1">
      <alignment vertical="top" wrapText="1"/>
      <protection locked="0"/>
    </xf>
    <xf numFmtId="0" fontId="34" fillId="0" borderId="24" xfId="3" applyFont="1" applyBorder="1" applyAlignment="1" applyProtection="1">
      <alignment vertical="top" wrapText="1"/>
      <protection locked="0"/>
    </xf>
    <xf numFmtId="0" fontId="0" fillId="12" borderId="0" xfId="0" applyFill="1" applyProtection="1"/>
    <xf numFmtId="0" fontId="28" fillId="0" borderId="1" xfId="0" applyFont="1" applyBorder="1" applyAlignment="1" applyProtection="1">
      <alignment vertical="top" wrapText="1"/>
      <protection locked="0"/>
    </xf>
    <xf numFmtId="0" fontId="15" fillId="0" borderId="41" xfId="0" applyFont="1" applyBorder="1" applyAlignment="1" applyProtection="1">
      <alignment vertical="top" wrapText="1"/>
      <protection locked="0"/>
    </xf>
    <xf numFmtId="0" fontId="15" fillId="0" borderId="8" xfId="0" applyFont="1" applyBorder="1" applyAlignment="1" applyProtection="1">
      <alignment vertical="top" wrapText="1"/>
      <protection locked="0"/>
    </xf>
    <xf numFmtId="0" fontId="15" fillId="0" borderId="0" xfId="0" applyFont="1" applyAlignment="1">
      <alignment wrapText="1"/>
    </xf>
    <xf numFmtId="9" fontId="0" fillId="0" borderId="0" xfId="1" applyFont="1" applyAlignment="1">
      <alignment horizontal="center" vertical="center"/>
    </xf>
    <xf numFmtId="0" fontId="0" fillId="0" borderId="66" xfId="0" applyBorder="1" applyAlignment="1" applyProtection="1">
      <alignment vertical="top"/>
      <protection locked="0"/>
    </xf>
    <xf numFmtId="9" fontId="23" fillId="11" borderId="5" xfId="1" applyFont="1" applyFill="1" applyBorder="1" applyAlignment="1" applyProtection="1">
      <alignment horizontal="center" vertical="center" wrapText="1"/>
    </xf>
    <xf numFmtId="0" fontId="0" fillId="0" borderId="11" xfId="0" applyBorder="1" applyAlignment="1" applyProtection="1">
      <alignment vertical="top" wrapText="1"/>
      <protection locked="0"/>
    </xf>
    <xf numFmtId="0" fontId="15" fillId="0" borderId="11" xfId="0" applyFont="1" applyBorder="1" applyAlignment="1" applyProtection="1">
      <alignment vertical="top" wrapText="1"/>
      <protection locked="0"/>
    </xf>
    <xf numFmtId="0" fontId="0" fillId="0" borderId="17" xfId="0" applyBorder="1" applyAlignment="1" applyProtection="1">
      <alignment vertical="top"/>
      <protection locked="0"/>
    </xf>
    <xf numFmtId="0" fontId="0" fillId="0" borderId="18" xfId="0" applyBorder="1" applyAlignment="1" applyProtection="1">
      <alignment vertical="top" wrapText="1"/>
      <protection locked="0"/>
    </xf>
    <xf numFmtId="0" fontId="15" fillId="0" borderId="18" xfId="0" applyFont="1" applyBorder="1" applyAlignment="1" applyProtection="1">
      <alignment vertical="top" wrapText="1"/>
      <protection locked="0"/>
    </xf>
    <xf numFmtId="9" fontId="23" fillId="11" borderId="19" xfId="1" applyFont="1" applyFill="1" applyBorder="1" applyAlignment="1" applyProtection="1">
      <alignment horizontal="center" vertical="center" wrapText="1"/>
    </xf>
    <xf numFmtId="0" fontId="0" fillId="0" borderId="15" xfId="0" applyBorder="1" applyAlignment="1" applyProtection="1">
      <alignment vertical="top"/>
      <protection locked="0"/>
    </xf>
    <xf numFmtId="9" fontId="23" fillId="11" borderId="20" xfId="1" applyFont="1" applyFill="1" applyBorder="1" applyAlignment="1" applyProtection="1">
      <alignment horizontal="center" vertical="center" wrapText="1"/>
    </xf>
    <xf numFmtId="0" fontId="0" fillId="0" borderId="21" xfId="0" applyBorder="1" applyAlignment="1" applyProtection="1">
      <alignment vertical="top"/>
      <protection locked="0"/>
    </xf>
    <xf numFmtId="0" fontId="0" fillId="0" borderId="22" xfId="0" applyBorder="1" applyAlignment="1" applyProtection="1">
      <alignment vertical="top" wrapText="1"/>
      <protection locked="0"/>
    </xf>
    <xf numFmtId="0" fontId="15" fillId="0" borderId="22" xfId="0" applyFont="1" applyBorder="1" applyAlignment="1" applyProtection="1">
      <alignment vertical="top" wrapText="1"/>
      <protection locked="0"/>
    </xf>
    <xf numFmtId="0" fontId="2" fillId="0" borderId="42" xfId="0" applyFont="1" applyBorder="1" applyProtection="1">
      <protection locked="0"/>
    </xf>
    <xf numFmtId="0" fontId="24" fillId="25" borderId="19" xfId="0" applyFont="1" applyFill="1" applyBorder="1" applyAlignment="1" applyProtection="1">
      <alignment horizontal="center" vertical="center" wrapText="1"/>
      <protection locked="0"/>
    </xf>
    <xf numFmtId="0" fontId="25" fillId="25" borderId="15" xfId="0" applyFont="1" applyFill="1" applyBorder="1" applyAlignment="1" applyProtection="1">
      <alignment horizontal="center" vertical="center" wrapText="1"/>
      <protection locked="0"/>
    </xf>
    <xf numFmtId="0" fontId="38" fillId="25" borderId="20" xfId="0" applyFont="1" applyFill="1" applyBorder="1" applyAlignment="1" applyProtection="1">
      <alignment horizontal="center" vertical="center" wrapText="1"/>
      <protection locked="0"/>
    </xf>
    <xf numFmtId="0" fontId="38" fillId="25" borderId="15" xfId="0" applyFont="1" applyFill="1" applyBorder="1" applyAlignment="1" applyProtection="1">
      <alignment horizontal="center" vertical="center" wrapText="1"/>
      <protection locked="0"/>
    </xf>
    <xf numFmtId="0" fontId="25" fillId="25" borderId="23" xfId="0" applyFont="1" applyFill="1" applyBorder="1" applyAlignment="1" applyProtection="1">
      <alignment horizontal="center" vertical="center" wrapText="1"/>
      <protection locked="0"/>
    </xf>
    <xf numFmtId="0" fontId="40" fillId="12" borderId="1" xfId="0" applyFont="1" applyFill="1" applyBorder="1" applyAlignment="1" applyProtection="1">
      <alignment vertical="top" wrapText="1"/>
      <protection locked="0"/>
    </xf>
    <xf numFmtId="0" fontId="10" fillId="28" borderId="72" xfId="0" applyFont="1" applyFill="1" applyBorder="1" applyAlignment="1" applyProtection="1">
      <alignment horizontal="center" vertical="center" wrapText="1"/>
      <protection locked="0"/>
    </xf>
    <xf numFmtId="0" fontId="10" fillId="28" borderId="69" xfId="0" applyFont="1" applyFill="1" applyBorder="1" applyAlignment="1" applyProtection="1">
      <alignment horizontal="center" vertical="center" wrapText="1"/>
      <protection locked="0"/>
    </xf>
    <xf numFmtId="0" fontId="0" fillId="28" borderId="10" xfId="0" applyFill="1" applyBorder="1" applyAlignment="1" applyProtection="1">
      <alignment vertical="top" wrapText="1"/>
      <protection locked="0"/>
    </xf>
    <xf numFmtId="165" fontId="10" fillId="25" borderId="15" xfId="0" applyNumberFormat="1" applyFont="1" applyFill="1" applyBorder="1" applyAlignment="1" applyProtection="1">
      <alignment horizontal="center" vertical="center" wrapText="1"/>
      <protection locked="0"/>
    </xf>
    <xf numFmtId="165" fontId="10" fillId="25" borderId="20" xfId="0" applyNumberFormat="1" applyFont="1" applyFill="1" applyBorder="1" applyAlignment="1" applyProtection="1">
      <alignment horizontal="center" vertical="center" wrapText="1"/>
      <protection locked="0"/>
    </xf>
    <xf numFmtId="165" fontId="23" fillId="28" borderId="15" xfId="0" applyNumberFormat="1" applyFont="1" applyFill="1" applyBorder="1" applyAlignment="1" applyProtection="1">
      <alignment horizontal="center" vertical="center" wrapText="1"/>
      <protection locked="0"/>
    </xf>
    <xf numFmtId="165" fontId="23" fillId="28" borderId="20" xfId="0" applyNumberFormat="1" applyFont="1" applyFill="1" applyBorder="1" applyAlignment="1" applyProtection="1">
      <alignment horizontal="center" vertical="center" wrapText="1"/>
      <protection locked="0"/>
    </xf>
    <xf numFmtId="2" fontId="17" fillId="24" borderId="6" xfId="0" applyNumberFormat="1" applyFont="1" applyFill="1" applyBorder="1" applyProtection="1">
      <protection locked="0"/>
    </xf>
    <xf numFmtId="165" fontId="10" fillId="25" borderId="17" xfId="1" applyNumberFormat="1" applyFont="1" applyFill="1" applyBorder="1" applyAlignment="1" applyProtection="1">
      <alignment horizontal="center" vertical="center" wrapText="1"/>
      <protection locked="0"/>
    </xf>
    <xf numFmtId="165" fontId="23" fillId="12" borderId="19" xfId="0" applyNumberFormat="1" applyFont="1" applyFill="1" applyBorder="1" applyAlignment="1" applyProtection="1">
      <alignment horizontal="center" vertical="center" wrapText="1"/>
      <protection locked="0"/>
    </xf>
    <xf numFmtId="0" fontId="24" fillId="8" borderId="29" xfId="0" applyFont="1" applyFill="1" applyBorder="1" applyAlignment="1" applyProtection="1">
      <alignment vertical="center" wrapText="1"/>
    </xf>
    <xf numFmtId="165" fontId="10" fillId="25" borderId="21" xfId="1" applyNumberFormat="1" applyFont="1" applyFill="1" applyBorder="1" applyAlignment="1" applyProtection="1">
      <alignment horizontal="center" vertical="center" wrapText="1"/>
      <protection locked="0"/>
    </xf>
    <xf numFmtId="165" fontId="12" fillId="25" borderId="74" xfId="1" applyNumberFormat="1" applyFont="1" applyFill="1" applyBorder="1" applyAlignment="1" applyProtection="1">
      <alignment horizontal="center" vertical="center" wrapText="1"/>
      <protection locked="0"/>
    </xf>
    <xf numFmtId="165" fontId="10" fillId="25" borderId="17" xfId="0" applyNumberFormat="1" applyFont="1" applyFill="1" applyBorder="1" applyAlignment="1" applyProtection="1">
      <alignment horizontal="center" vertical="center" wrapText="1"/>
      <protection locked="0"/>
    </xf>
    <xf numFmtId="165" fontId="25" fillId="12" borderId="20" xfId="0" applyNumberFormat="1" applyFont="1" applyFill="1" applyBorder="1" applyAlignment="1" applyProtection="1">
      <alignment horizontal="center" vertical="center" wrapText="1"/>
      <protection locked="0"/>
    </xf>
    <xf numFmtId="0" fontId="39" fillId="0" borderId="30" xfId="0" applyFont="1" applyBorder="1" applyAlignment="1" applyProtection="1">
      <alignment horizontal="left" vertical="top" wrapText="1"/>
      <protection locked="0"/>
    </xf>
    <xf numFmtId="165" fontId="10" fillId="25" borderId="21" xfId="0" applyNumberFormat="1" applyFont="1" applyFill="1" applyBorder="1" applyAlignment="1" applyProtection="1">
      <alignment horizontal="center" vertical="center" wrapText="1"/>
      <protection locked="0"/>
    </xf>
    <xf numFmtId="165" fontId="25" fillId="12" borderId="23" xfId="0" applyNumberFormat="1" applyFont="1" applyFill="1" applyBorder="1" applyAlignment="1" applyProtection="1">
      <alignment horizontal="center" vertical="center" wrapText="1"/>
      <protection locked="0"/>
    </xf>
    <xf numFmtId="0" fontId="10" fillId="25" borderId="17" xfId="0" applyFont="1" applyFill="1" applyBorder="1" applyAlignment="1" applyProtection="1">
      <alignment horizontal="center" vertical="center" wrapText="1"/>
      <protection locked="0"/>
    </xf>
    <xf numFmtId="1" fontId="10" fillId="25" borderId="21" xfId="0" applyNumberFormat="1" applyFont="1" applyFill="1" applyBorder="1" applyAlignment="1" applyProtection="1">
      <alignment horizontal="center" vertical="center" wrapText="1"/>
      <protection locked="0"/>
    </xf>
    <xf numFmtId="165" fontId="50" fillId="25" borderId="17" xfId="0" applyNumberFormat="1" applyFont="1" applyFill="1" applyBorder="1" applyAlignment="1" applyProtection="1">
      <alignment horizontal="center" vertical="center" wrapText="1"/>
      <protection locked="0"/>
    </xf>
    <xf numFmtId="0" fontId="50" fillId="25" borderId="15" xfId="0" applyFont="1" applyFill="1" applyBorder="1" applyAlignment="1" applyProtection="1">
      <alignment horizontal="center" vertical="center" wrapText="1"/>
      <protection locked="0"/>
    </xf>
    <xf numFmtId="0" fontId="23" fillId="25" borderId="15" xfId="0" applyFont="1" applyFill="1" applyBorder="1" applyAlignment="1" applyProtection="1">
      <alignment horizontal="center" vertical="center" wrapText="1"/>
      <protection locked="0"/>
    </xf>
    <xf numFmtId="0" fontId="25" fillId="0" borderId="20" xfId="0" applyFont="1" applyBorder="1" applyAlignment="1" applyProtection="1">
      <alignment horizontal="center" vertical="center" wrapText="1"/>
      <protection locked="0"/>
    </xf>
    <xf numFmtId="0" fontId="25" fillId="25" borderId="21" xfId="0" applyFont="1" applyFill="1" applyBorder="1" applyAlignment="1" applyProtection="1">
      <alignment horizontal="center" vertical="center" wrapText="1"/>
      <protection locked="0"/>
    </xf>
    <xf numFmtId="165" fontId="23" fillId="25" borderId="50" xfId="0" applyNumberFormat="1" applyFont="1" applyFill="1" applyBorder="1" applyAlignment="1" applyProtection="1">
      <alignment horizontal="center" vertical="center" wrapText="1"/>
      <protection locked="0"/>
    </xf>
    <xf numFmtId="165" fontId="23" fillId="25" borderId="52" xfId="0" applyNumberFormat="1" applyFont="1" applyFill="1" applyBorder="1" applyAlignment="1" applyProtection="1">
      <alignment horizontal="center" vertical="center" wrapText="1"/>
      <protection locked="0"/>
    </xf>
    <xf numFmtId="165" fontId="26" fillId="25" borderId="12" xfId="0" applyNumberFormat="1" applyFont="1" applyFill="1" applyBorder="1" applyAlignment="1" applyProtection="1">
      <alignment horizontal="center" vertical="center" wrapText="1"/>
      <protection locked="0"/>
    </xf>
    <xf numFmtId="165" fontId="26" fillId="25" borderId="38" xfId="0" applyNumberFormat="1" applyFont="1" applyFill="1" applyBorder="1" applyAlignment="1" applyProtection="1">
      <alignment horizontal="center" vertical="center" wrapText="1"/>
      <protection locked="0"/>
    </xf>
    <xf numFmtId="165" fontId="26" fillId="25" borderId="55" xfId="0" applyNumberFormat="1" applyFont="1" applyFill="1" applyBorder="1" applyAlignment="1" applyProtection="1">
      <alignment horizontal="center" vertical="center" wrapText="1"/>
      <protection locked="0"/>
    </xf>
    <xf numFmtId="0" fontId="24" fillId="25" borderId="17" xfId="0" applyFont="1" applyFill="1" applyBorder="1" applyAlignment="1" applyProtection="1">
      <alignment horizontal="center" vertical="center" wrapText="1"/>
      <protection locked="0"/>
    </xf>
    <xf numFmtId="1" fontId="25" fillId="25" borderId="15" xfId="0" applyNumberFormat="1" applyFont="1" applyFill="1" applyBorder="1" applyAlignment="1" applyProtection="1">
      <alignment horizontal="center" vertical="center" wrapText="1"/>
      <protection locked="0"/>
    </xf>
    <xf numFmtId="165" fontId="23" fillId="28" borderId="11" xfId="0" applyNumberFormat="1" applyFont="1" applyFill="1" applyBorder="1" applyAlignment="1" applyProtection="1">
      <alignment horizontal="center" vertical="center" wrapText="1"/>
      <protection locked="0"/>
    </xf>
    <xf numFmtId="165" fontId="23" fillId="25" borderId="11" xfId="0" applyNumberFormat="1" applyFont="1" applyFill="1" applyBorder="1" applyAlignment="1" applyProtection="1">
      <alignment horizontal="center" vertical="center" wrapText="1"/>
      <protection locked="0"/>
    </xf>
    <xf numFmtId="0" fontId="50" fillId="25" borderId="17" xfId="0" applyFont="1" applyFill="1" applyBorder="1" applyAlignment="1" applyProtection="1">
      <alignment horizontal="center" vertical="center" wrapText="1"/>
      <protection locked="0"/>
    </xf>
    <xf numFmtId="0" fontId="50" fillId="25" borderId="19" xfId="0" applyFont="1" applyFill="1" applyBorder="1" applyAlignment="1" applyProtection="1">
      <alignment horizontal="center" vertical="center" wrapText="1"/>
      <protection locked="0"/>
    </xf>
    <xf numFmtId="0" fontId="50" fillId="25" borderId="21" xfId="0" applyFont="1" applyFill="1" applyBorder="1" applyAlignment="1" applyProtection="1">
      <alignment horizontal="center" vertical="center" wrapText="1"/>
      <protection locked="0"/>
    </xf>
    <xf numFmtId="0" fontId="16" fillId="0" borderId="2" xfId="0" applyFont="1" applyBorder="1" applyAlignment="1" applyProtection="1">
      <alignment vertical="top" wrapText="1"/>
      <protection locked="0"/>
    </xf>
    <xf numFmtId="0" fontId="25" fillId="25" borderId="50" xfId="0" applyFont="1" applyFill="1" applyBorder="1" applyAlignment="1" applyProtection="1">
      <alignment horizontal="center" vertical="center" wrapText="1"/>
      <protection locked="0"/>
    </xf>
    <xf numFmtId="0" fontId="50" fillId="25" borderId="36" xfId="0" applyFont="1" applyFill="1" applyBorder="1" applyAlignment="1" applyProtection="1">
      <alignment horizontal="center" vertical="center" wrapText="1"/>
      <protection locked="0"/>
    </xf>
    <xf numFmtId="0" fontId="44" fillId="0" borderId="2" xfId="0" applyFont="1" applyBorder="1" applyAlignment="1" applyProtection="1">
      <alignment vertical="top" wrapText="1"/>
      <protection locked="0"/>
    </xf>
    <xf numFmtId="0" fontId="38" fillId="25" borderId="23" xfId="0" applyFont="1" applyFill="1" applyBorder="1" applyAlignment="1" applyProtection="1">
      <alignment horizontal="center" vertical="center" wrapText="1"/>
      <protection locked="0"/>
    </xf>
    <xf numFmtId="0" fontId="44" fillId="0" borderId="26" xfId="3" applyFont="1" applyBorder="1" applyAlignment="1" applyProtection="1">
      <alignment vertical="top" wrapText="1"/>
      <protection locked="0"/>
    </xf>
    <xf numFmtId="165" fontId="26" fillId="28" borderId="15" xfId="0" applyNumberFormat="1" applyFont="1" applyFill="1" applyBorder="1" applyAlignment="1" applyProtection="1">
      <alignment horizontal="center" vertical="center" wrapText="1"/>
      <protection locked="0"/>
    </xf>
    <xf numFmtId="165" fontId="26" fillId="28" borderId="20" xfId="0" applyNumberFormat="1" applyFont="1" applyFill="1" applyBorder="1" applyAlignment="1" applyProtection="1">
      <alignment horizontal="center" vertical="center" wrapText="1"/>
      <protection locked="0"/>
    </xf>
    <xf numFmtId="165" fontId="26" fillId="12" borderId="19" xfId="0" applyNumberFormat="1" applyFont="1" applyFill="1" applyBorder="1" applyAlignment="1" applyProtection="1">
      <alignment horizontal="center" vertical="center" wrapText="1"/>
      <protection locked="0"/>
    </xf>
    <xf numFmtId="3" fontId="26" fillId="12" borderId="17" xfId="0" applyNumberFormat="1" applyFont="1" applyFill="1" applyBorder="1" applyAlignment="1" applyProtection="1">
      <alignment horizontal="center" vertical="center" wrapText="1"/>
      <protection locked="0"/>
    </xf>
    <xf numFmtId="4" fontId="26" fillId="12" borderId="46" xfId="0" applyNumberFormat="1" applyFont="1" applyFill="1" applyBorder="1" applyAlignment="1" applyProtection="1">
      <alignment horizontal="center" vertical="center" wrapText="1"/>
      <protection locked="0"/>
    </xf>
    <xf numFmtId="0" fontId="26" fillId="12" borderId="46" xfId="0" applyFont="1" applyFill="1" applyBorder="1" applyAlignment="1" applyProtection="1">
      <alignment horizontal="center" vertical="center" wrapText="1"/>
      <protection locked="0"/>
    </xf>
    <xf numFmtId="0" fontId="26" fillId="12" borderId="56" xfId="0" applyFont="1" applyFill="1" applyBorder="1" applyAlignment="1" applyProtection="1">
      <alignment horizontal="center" vertical="center" wrapText="1"/>
      <protection locked="0"/>
    </xf>
    <xf numFmtId="0" fontId="26" fillId="12" borderId="65" xfId="0" applyFont="1" applyFill="1" applyBorder="1" applyAlignment="1" applyProtection="1">
      <alignment horizontal="center" vertical="center" wrapText="1"/>
      <protection locked="0"/>
    </xf>
    <xf numFmtId="165" fontId="26" fillId="12" borderId="74" xfId="0" applyNumberFormat="1" applyFont="1" applyFill="1" applyBorder="1" applyAlignment="1" applyProtection="1">
      <alignment horizontal="center" vertical="center" wrapText="1"/>
      <protection locked="0"/>
    </xf>
    <xf numFmtId="2" fontId="26" fillId="12" borderId="50" xfId="0" applyNumberFormat="1" applyFont="1" applyFill="1" applyBorder="1" applyAlignment="1" applyProtection="1">
      <alignment horizontal="center" vertical="center" wrapText="1"/>
      <protection locked="0"/>
    </xf>
    <xf numFmtId="0" fontId="0" fillId="0" borderId="0" xfId="0" applyAlignment="1" applyProtection="1">
      <alignment vertical="top" wrapText="1"/>
      <protection locked="0"/>
    </xf>
    <xf numFmtId="0" fontId="40" fillId="12" borderId="33" xfId="0" applyFont="1" applyFill="1" applyBorder="1" applyAlignment="1" applyProtection="1">
      <alignment vertical="center" wrapText="1"/>
      <protection locked="0"/>
    </xf>
    <xf numFmtId="0" fontId="15" fillId="12" borderId="41" xfId="3" applyFont="1" applyFill="1" applyBorder="1" applyAlignment="1" applyProtection="1">
      <alignment vertical="center" wrapText="1"/>
      <protection locked="0"/>
    </xf>
    <xf numFmtId="165" fontId="23" fillId="12" borderId="36" xfId="0" applyNumberFormat="1" applyFont="1" applyFill="1" applyBorder="1" applyAlignment="1" applyProtection="1">
      <alignment horizontal="center" vertical="center" wrapText="1"/>
      <protection locked="0"/>
    </xf>
    <xf numFmtId="0" fontId="16" fillId="11" borderId="9" xfId="0" applyFont="1" applyFill="1" applyBorder="1" applyAlignment="1" applyProtection="1">
      <alignment vertical="center" wrapText="1"/>
      <protection locked="0"/>
    </xf>
    <xf numFmtId="0" fontId="15" fillId="12" borderId="4" xfId="0" applyFont="1" applyFill="1" applyBorder="1" applyAlignment="1" applyProtection="1">
      <alignment vertical="top" wrapText="1"/>
      <protection locked="0"/>
    </xf>
    <xf numFmtId="0" fontId="16" fillId="11" borderId="45" xfId="0" applyFont="1" applyFill="1" applyBorder="1" applyAlignment="1" applyProtection="1">
      <alignment vertical="center" wrapText="1"/>
      <protection locked="0"/>
    </xf>
    <xf numFmtId="0" fontId="51" fillId="0" borderId="32" xfId="3" applyFont="1" applyBorder="1" applyAlignment="1" applyProtection="1">
      <alignment wrapText="1"/>
      <protection locked="0"/>
    </xf>
    <xf numFmtId="165" fontId="38" fillId="12" borderId="50" xfId="0" applyNumberFormat="1" applyFont="1" applyFill="1" applyBorder="1" applyAlignment="1" applyProtection="1">
      <alignment horizontal="center" vertical="center" wrapText="1"/>
      <protection locked="0"/>
    </xf>
    <xf numFmtId="0" fontId="16" fillId="0" borderId="7" xfId="0" applyFont="1" applyBorder="1" applyAlignment="1" applyProtection="1">
      <alignment vertical="center" wrapText="1"/>
      <protection locked="0"/>
    </xf>
    <xf numFmtId="0" fontId="16" fillId="11" borderId="4" xfId="0" applyFont="1" applyFill="1" applyBorder="1" applyAlignment="1" applyProtection="1">
      <alignment vertical="center" wrapText="1"/>
      <protection locked="0"/>
    </xf>
    <xf numFmtId="165" fontId="24" fillId="12" borderId="17" xfId="0" applyNumberFormat="1" applyFont="1" applyFill="1" applyBorder="1" applyAlignment="1" applyProtection="1">
      <alignment horizontal="center" vertical="center" wrapText="1"/>
      <protection locked="0"/>
    </xf>
    <xf numFmtId="165" fontId="24" fillId="12" borderId="19" xfId="0" applyNumberFormat="1" applyFont="1" applyFill="1" applyBorder="1" applyAlignment="1" applyProtection="1">
      <alignment horizontal="center" vertical="center" wrapText="1"/>
      <protection locked="0"/>
    </xf>
    <xf numFmtId="0" fontId="51" fillId="0" borderId="33" xfId="3" applyFont="1" applyBorder="1" applyAlignment="1" applyProtection="1">
      <alignment wrapText="1"/>
      <protection locked="0"/>
    </xf>
    <xf numFmtId="0" fontId="40" fillId="0" borderId="8" xfId="0" applyFont="1" applyBorder="1" applyAlignment="1" applyProtection="1">
      <alignment vertical="center" wrapText="1"/>
      <protection locked="0"/>
    </xf>
    <xf numFmtId="0" fontId="16" fillId="0" borderId="4"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34" xfId="3" applyFont="1" applyBorder="1" applyAlignment="1" applyProtection="1">
      <alignment vertical="center" wrapText="1"/>
      <protection locked="0"/>
    </xf>
    <xf numFmtId="0" fontId="10" fillId="25" borderId="21" xfId="0" applyFont="1" applyFill="1" applyBorder="1" applyAlignment="1" applyProtection="1">
      <alignment horizontal="center" vertical="center" wrapText="1"/>
      <protection locked="0"/>
    </xf>
    <xf numFmtId="0" fontId="10" fillId="25" borderId="23" xfId="0" applyFont="1" applyFill="1" applyBorder="1" applyAlignment="1" applyProtection="1">
      <alignment horizontal="center" vertical="center" wrapText="1"/>
      <protection locked="0"/>
    </xf>
    <xf numFmtId="165" fontId="26" fillId="12" borderId="39" xfId="0" applyNumberFormat="1" applyFont="1" applyFill="1" applyBorder="1" applyAlignment="1" applyProtection="1">
      <alignment horizontal="center" vertical="center" wrapText="1"/>
      <protection locked="0"/>
    </xf>
    <xf numFmtId="0" fontId="40" fillId="28" borderId="33" xfId="0" applyFont="1" applyFill="1" applyBorder="1" applyAlignment="1" applyProtection="1">
      <alignment vertical="top" wrapText="1"/>
      <protection locked="0"/>
    </xf>
    <xf numFmtId="0" fontId="0" fillId="2" borderId="1" xfId="0" applyFill="1" applyBorder="1" applyAlignment="1" applyProtection="1">
      <alignment vertical="center" wrapText="1"/>
      <protection locked="0"/>
    </xf>
    <xf numFmtId="0" fontId="40" fillId="0" borderId="58" xfId="0" applyFont="1" applyBorder="1" applyAlignment="1" applyProtection="1">
      <alignment vertical="top" wrapText="1"/>
      <protection locked="0"/>
    </xf>
    <xf numFmtId="0" fontId="40" fillId="0" borderId="32" xfId="3" applyFont="1" applyBorder="1" applyAlignment="1" applyProtection="1">
      <alignment vertical="top" wrapText="1"/>
      <protection locked="0"/>
    </xf>
    <xf numFmtId="0" fontId="40" fillId="0" borderId="34" xfId="3" applyFont="1" applyBorder="1" applyAlignment="1" applyProtection="1">
      <alignment vertical="top" wrapText="1"/>
      <protection locked="0"/>
    </xf>
    <xf numFmtId="0" fontId="40" fillId="0" borderId="33" xfId="3" applyFont="1" applyBorder="1" applyAlignment="1" applyProtection="1">
      <alignment vertical="top" wrapText="1"/>
      <protection locked="0"/>
    </xf>
    <xf numFmtId="0" fontId="32" fillId="3" borderId="75" xfId="0" applyFont="1" applyFill="1" applyBorder="1" applyAlignment="1" applyProtection="1">
      <alignment horizontal="center" vertical="center" wrapText="1"/>
      <protection locked="0"/>
    </xf>
    <xf numFmtId="0" fontId="32" fillId="3" borderId="76" xfId="0" applyFont="1" applyFill="1" applyBorder="1" applyAlignment="1" applyProtection="1">
      <alignment horizontal="center" vertical="center" wrapText="1"/>
      <protection locked="0"/>
    </xf>
    <xf numFmtId="0" fontId="40" fillId="0" borderId="1" xfId="3" applyFont="1" applyBorder="1" applyAlignment="1" applyProtection="1">
      <alignment horizontal="left" vertical="top" wrapText="1"/>
      <protection locked="0"/>
    </xf>
    <xf numFmtId="0" fontId="40" fillId="0" borderId="1" xfId="3" applyFont="1" applyBorder="1" applyAlignment="1" applyProtection="1">
      <alignment vertical="top" wrapText="1"/>
      <protection locked="0"/>
    </xf>
    <xf numFmtId="165" fontId="38" fillId="12" borderId="17" xfId="0" applyNumberFormat="1" applyFont="1" applyFill="1" applyBorder="1" applyAlignment="1" applyProtection="1">
      <alignment horizontal="center" vertical="center" wrapText="1"/>
      <protection locked="0"/>
    </xf>
    <xf numFmtId="165" fontId="38" fillId="12" borderId="19" xfId="0" applyNumberFormat="1" applyFont="1" applyFill="1" applyBorder="1" applyAlignment="1" applyProtection="1">
      <alignment horizontal="center" vertical="center" wrapText="1"/>
      <protection locked="0"/>
    </xf>
    <xf numFmtId="0" fontId="0" fillId="12" borderId="33" xfId="0" applyFill="1" applyBorder="1" applyAlignment="1" applyProtection="1">
      <alignment wrapText="1"/>
      <protection locked="0"/>
    </xf>
    <xf numFmtId="0" fontId="40" fillId="28" borderId="4" xfId="0" applyFont="1" applyFill="1" applyBorder="1" applyAlignment="1" applyProtection="1">
      <alignment vertical="top" wrapText="1"/>
      <protection locked="0"/>
    </xf>
    <xf numFmtId="0" fontId="15" fillId="0" borderId="4" xfId="0" applyFont="1" applyBorder="1" applyAlignment="1" applyProtection="1">
      <alignment vertical="top" wrapText="1"/>
      <protection locked="0"/>
    </xf>
    <xf numFmtId="0" fontId="40" fillId="12" borderId="32" xfId="3" applyFont="1" applyFill="1" applyBorder="1" applyAlignment="1" applyProtection="1">
      <alignment vertical="top" wrapText="1"/>
      <protection locked="0"/>
    </xf>
    <xf numFmtId="0" fontId="16" fillId="0" borderId="10" xfId="0" applyFont="1" applyBorder="1" applyAlignment="1" applyProtection="1">
      <alignment vertical="center" wrapText="1"/>
      <protection locked="0"/>
    </xf>
    <xf numFmtId="0" fontId="34" fillId="0" borderId="32" xfId="3" applyFont="1" applyBorder="1" applyAlignment="1" applyProtection="1">
      <alignment vertical="top" wrapText="1"/>
      <protection locked="0"/>
    </xf>
    <xf numFmtId="0" fontId="40" fillId="0" borderId="2" xfId="3" applyFont="1" applyBorder="1" applyAlignment="1" applyProtection="1">
      <alignment vertical="top" wrapText="1"/>
      <protection locked="0"/>
    </xf>
    <xf numFmtId="165" fontId="50" fillId="12" borderId="50" xfId="0" applyNumberFormat="1" applyFont="1" applyFill="1" applyBorder="1" applyAlignment="1" applyProtection="1">
      <alignment horizontal="center" vertical="center" wrapText="1"/>
      <protection locked="0"/>
    </xf>
    <xf numFmtId="165" fontId="38" fillId="12" borderId="36" xfId="0" applyNumberFormat="1" applyFont="1" applyFill="1" applyBorder="1" applyAlignment="1" applyProtection="1">
      <alignment horizontal="center" vertical="center" wrapText="1"/>
      <protection locked="0"/>
    </xf>
    <xf numFmtId="0" fontId="40" fillId="0" borderId="17" xfId="0" applyFont="1" applyBorder="1" applyAlignment="1" applyProtection="1">
      <alignment vertical="top" wrapText="1"/>
      <protection locked="0"/>
    </xf>
    <xf numFmtId="0" fontId="40" fillId="0" borderId="21" xfId="0" applyFont="1" applyBorder="1" applyAlignment="1" applyProtection="1">
      <alignment vertical="top" wrapText="1"/>
      <protection locked="0"/>
    </xf>
    <xf numFmtId="0" fontId="40" fillId="12" borderId="25" xfId="0" applyFont="1" applyFill="1" applyBorder="1" applyAlignment="1" applyProtection="1">
      <alignment vertical="top" wrapText="1"/>
      <protection locked="0"/>
    </xf>
    <xf numFmtId="9" fontId="23" fillId="11" borderId="32" xfId="1" applyFont="1" applyFill="1" applyBorder="1" applyAlignment="1" applyProtection="1">
      <alignment horizontal="center" vertical="center" wrapText="1"/>
    </xf>
    <xf numFmtId="9" fontId="23" fillId="11" borderId="34" xfId="1" applyFont="1" applyFill="1" applyBorder="1" applyAlignment="1" applyProtection="1">
      <alignment horizontal="center" vertical="center" wrapText="1"/>
    </xf>
    <xf numFmtId="9" fontId="23" fillId="11" borderId="33" xfId="1" applyFont="1" applyFill="1" applyBorder="1" applyAlignment="1" applyProtection="1">
      <alignment horizontal="center" vertical="center" wrapText="1"/>
    </xf>
    <xf numFmtId="0" fontId="6" fillId="3" borderId="0" xfId="0" applyFont="1" applyFill="1" applyBorder="1" applyAlignment="1" applyProtection="1">
      <alignment vertical="center" wrapText="1"/>
    </xf>
    <xf numFmtId="0" fontId="40" fillId="0" borderId="24" xfId="0" applyFont="1" applyBorder="1" applyAlignment="1" applyProtection="1">
      <alignment horizontal="left" vertical="top" wrapText="1"/>
      <protection locked="0"/>
    </xf>
    <xf numFmtId="0" fontId="40" fillId="0" borderId="37" xfId="0" applyFont="1" applyBorder="1" applyAlignment="1" applyProtection="1">
      <alignment horizontal="left" vertical="top" wrapText="1"/>
      <protection locked="0"/>
    </xf>
    <xf numFmtId="0" fontId="40" fillId="0" borderId="17" xfId="0" applyFont="1" applyBorder="1" applyAlignment="1" applyProtection="1">
      <alignment horizontal="left" vertical="top" wrapText="1"/>
      <protection locked="0"/>
    </xf>
    <xf numFmtId="0" fontId="0" fillId="0" borderId="19" xfId="0" applyBorder="1" applyAlignment="1" applyProtection="1">
      <alignment vertical="top" wrapText="1"/>
      <protection locked="0"/>
    </xf>
    <xf numFmtId="0" fontId="40" fillId="0" borderId="21" xfId="0" applyFont="1" applyBorder="1" applyAlignment="1" applyProtection="1">
      <alignment horizontal="left" vertical="top" wrapText="1"/>
      <protection locked="0"/>
    </xf>
    <xf numFmtId="0" fontId="0" fillId="0" borderId="23" xfId="0" applyBorder="1" applyAlignment="1" applyProtection="1">
      <alignment vertical="top" wrapText="1"/>
      <protection locked="0"/>
    </xf>
    <xf numFmtId="0" fontId="40" fillId="0" borderId="61" xfId="0" applyFont="1" applyBorder="1" applyAlignment="1" applyProtection="1">
      <alignment vertical="top" wrapText="1"/>
      <protection locked="0"/>
    </xf>
    <xf numFmtId="0" fontId="22" fillId="25" borderId="1" xfId="0" applyFont="1" applyFill="1" applyBorder="1" applyAlignment="1" applyProtection="1">
      <alignment vertical="top" wrapText="1"/>
      <protection locked="0"/>
    </xf>
    <xf numFmtId="0" fontId="40" fillId="0" borderId="31" xfId="0" applyFont="1" applyBorder="1" applyAlignment="1" applyProtection="1">
      <alignment vertical="top" wrapText="1"/>
      <protection locked="0"/>
    </xf>
    <xf numFmtId="0" fontId="40" fillId="11" borderId="8" xfId="0" applyFont="1" applyFill="1" applyBorder="1" applyAlignment="1" applyProtection="1">
      <alignment vertical="top" wrapText="1"/>
      <protection locked="0"/>
    </xf>
    <xf numFmtId="0" fontId="0" fillId="11" borderId="8" xfId="0" applyFill="1" applyBorder="1" applyAlignment="1" applyProtection="1">
      <alignment vertical="top" wrapText="1"/>
      <protection locked="0"/>
    </xf>
    <xf numFmtId="0" fontId="51" fillId="0" borderId="32" xfId="3" applyFont="1" applyBorder="1" applyAlignment="1" applyProtection="1">
      <alignment vertical="top" wrapText="1"/>
      <protection locked="0"/>
    </xf>
    <xf numFmtId="0" fontId="22" fillId="25" borderId="58" xfId="0" applyFont="1" applyFill="1" applyBorder="1" applyAlignment="1" applyProtection="1">
      <alignment vertical="top" wrapText="1"/>
      <protection locked="0"/>
    </xf>
    <xf numFmtId="0" fontId="22" fillId="25" borderId="59" xfId="0" applyFont="1" applyFill="1" applyBorder="1" applyAlignment="1" applyProtection="1">
      <alignment vertical="top" wrapText="1"/>
      <protection locked="0"/>
    </xf>
    <xf numFmtId="0" fontId="40" fillId="0" borderId="30" xfId="0" applyFont="1" applyBorder="1" applyAlignment="1" applyProtection="1">
      <alignment vertical="top" wrapText="1"/>
      <protection locked="0"/>
    </xf>
    <xf numFmtId="0" fontId="51" fillId="0" borderId="25" xfId="3" applyFont="1" applyBorder="1" applyAlignment="1" applyProtection="1">
      <alignment vertical="top" wrapText="1"/>
      <protection locked="0"/>
    </xf>
    <xf numFmtId="0" fontId="22" fillId="25" borderId="33" xfId="0" applyFont="1" applyFill="1" applyBorder="1" applyAlignment="1" applyProtection="1">
      <alignment vertical="top" wrapText="1"/>
      <protection locked="0"/>
    </xf>
    <xf numFmtId="0" fontId="51" fillId="0" borderId="26" xfId="3" applyFont="1" applyBorder="1" applyAlignment="1" applyProtection="1">
      <alignment vertical="top" wrapText="1"/>
      <protection locked="0"/>
    </xf>
    <xf numFmtId="0" fontId="15" fillId="12" borderId="34" xfId="0" applyFont="1" applyFill="1" applyBorder="1" applyAlignment="1" applyProtection="1">
      <alignment vertical="top" wrapText="1"/>
      <protection locked="0"/>
    </xf>
    <xf numFmtId="165" fontId="32" fillId="3" borderId="75" xfId="0" applyNumberFormat="1" applyFont="1" applyFill="1" applyBorder="1" applyAlignment="1" applyProtection="1">
      <alignment vertical="center" wrapText="1"/>
      <protection locked="0"/>
    </xf>
    <xf numFmtId="165" fontId="32" fillId="3" borderId="76" xfId="0" applyNumberFormat="1" applyFont="1" applyFill="1" applyBorder="1" applyAlignment="1" applyProtection="1">
      <alignment vertical="center" wrapText="1"/>
      <protection locked="0"/>
    </xf>
    <xf numFmtId="0" fontId="51" fillId="0" borderId="2" xfId="3" applyFont="1" applyBorder="1" applyAlignment="1" applyProtection="1">
      <alignment horizontal="left" vertical="top" wrapText="1"/>
      <protection locked="0"/>
    </xf>
    <xf numFmtId="165" fontId="26" fillId="25" borderId="50" xfId="0" applyNumberFormat="1" applyFont="1" applyFill="1" applyBorder="1" applyAlignment="1" applyProtection="1">
      <alignment horizontal="center" vertical="center" wrapText="1"/>
      <protection locked="0"/>
    </xf>
    <xf numFmtId="0" fontId="51" fillId="0" borderId="2" xfId="3" applyFont="1" applyBorder="1" applyAlignment="1" applyProtection="1">
      <alignment vertical="top" wrapText="1"/>
      <protection locked="0"/>
    </xf>
    <xf numFmtId="165" fontId="26" fillId="25" borderId="52" xfId="0" applyNumberFormat="1" applyFont="1" applyFill="1" applyBorder="1" applyAlignment="1" applyProtection="1">
      <alignment horizontal="center" vertical="center" wrapText="1"/>
      <protection locked="0"/>
    </xf>
    <xf numFmtId="0" fontId="40" fillId="11" borderId="5" xfId="0" applyFont="1" applyFill="1" applyBorder="1" applyAlignment="1" applyProtection="1">
      <alignment vertical="top" wrapText="1"/>
      <protection locked="0"/>
    </xf>
    <xf numFmtId="165" fontId="26" fillId="25" borderId="47" xfId="0" applyNumberFormat="1" applyFont="1" applyFill="1" applyBorder="1" applyAlignment="1" applyProtection="1">
      <alignment horizontal="center" vertical="center" wrapText="1"/>
      <protection locked="0"/>
    </xf>
    <xf numFmtId="165" fontId="10" fillId="3" borderId="3" xfId="0" applyNumberFormat="1" applyFont="1" applyFill="1" applyBorder="1" applyAlignment="1" applyProtection="1">
      <alignment vertical="center" wrapText="1"/>
      <protection locked="0"/>
    </xf>
    <xf numFmtId="0" fontId="40" fillId="11" borderId="42" xfId="0" applyFont="1" applyFill="1" applyBorder="1" applyAlignment="1" applyProtection="1">
      <alignment vertical="top" wrapText="1"/>
      <protection locked="0"/>
    </xf>
    <xf numFmtId="0" fontId="0" fillId="11" borderId="10" xfId="0" applyFill="1" applyBorder="1" applyAlignment="1" applyProtection="1">
      <alignment vertical="top" wrapText="1"/>
      <protection locked="0"/>
    </xf>
    <xf numFmtId="0" fontId="51" fillId="0" borderId="24" xfId="3" applyFont="1" applyBorder="1" applyAlignment="1" applyProtection="1">
      <alignment vertical="top" wrapText="1"/>
      <protection locked="0"/>
    </xf>
    <xf numFmtId="165" fontId="32" fillId="3" borderId="3" xfId="0" applyNumberFormat="1" applyFont="1" applyFill="1" applyBorder="1" applyAlignment="1" applyProtection="1">
      <alignment vertical="center" wrapText="1"/>
      <protection locked="0"/>
    </xf>
    <xf numFmtId="0" fontId="40" fillId="11" borderId="10" xfId="0" applyFont="1" applyFill="1" applyBorder="1" applyAlignment="1" applyProtection="1">
      <alignment vertical="top" wrapText="1"/>
      <protection locked="0"/>
    </xf>
    <xf numFmtId="165" fontId="16" fillId="2" borderId="16" xfId="0" applyNumberFormat="1" applyFont="1" applyFill="1" applyBorder="1" applyAlignment="1" applyProtection="1">
      <alignment vertical="center" wrapText="1"/>
      <protection locked="0"/>
    </xf>
    <xf numFmtId="165" fontId="16" fillId="2" borderId="7" xfId="0" applyNumberFormat="1" applyFont="1" applyFill="1" applyBorder="1" applyAlignment="1" applyProtection="1">
      <alignment vertical="center" wrapText="1"/>
      <protection locked="0"/>
    </xf>
    <xf numFmtId="0" fontId="40" fillId="0" borderId="5" xfId="0" applyFont="1" applyBorder="1" applyAlignment="1" applyProtection="1">
      <alignment vertical="top" wrapText="1"/>
      <protection locked="0"/>
    </xf>
    <xf numFmtId="0" fontId="0" fillId="0" borderId="5" xfId="0" applyBorder="1" applyAlignment="1" applyProtection="1">
      <alignment vertical="top" wrapText="1"/>
      <protection locked="0"/>
    </xf>
    <xf numFmtId="165" fontId="26" fillId="25" borderId="56" xfId="0" applyNumberFormat="1" applyFont="1" applyFill="1" applyBorder="1" applyAlignment="1" applyProtection="1">
      <alignment horizontal="center" vertical="center" wrapText="1"/>
      <protection locked="0"/>
    </xf>
    <xf numFmtId="165" fontId="26" fillId="25" borderId="65" xfId="0" applyNumberFormat="1" applyFont="1" applyFill="1" applyBorder="1" applyAlignment="1" applyProtection="1">
      <alignment horizontal="center" vertical="center" wrapText="1"/>
      <protection locked="0"/>
    </xf>
    <xf numFmtId="165" fontId="16" fillId="3" borderId="3" xfId="0" applyNumberFormat="1" applyFont="1" applyFill="1" applyBorder="1" applyAlignment="1" applyProtection="1">
      <alignment vertical="center" wrapText="1"/>
      <protection locked="0"/>
    </xf>
    <xf numFmtId="0" fontId="0" fillId="11" borderId="1" xfId="0" applyFill="1" applyBorder="1" applyAlignment="1" applyProtection="1">
      <alignment vertical="top" wrapText="1"/>
      <protection locked="0"/>
    </xf>
    <xf numFmtId="165" fontId="10" fillId="28" borderId="72" xfId="0" applyNumberFormat="1" applyFont="1" applyFill="1" applyBorder="1" applyAlignment="1" applyProtection="1">
      <alignment horizontal="center" vertical="center" wrapText="1"/>
      <protection locked="0"/>
    </xf>
    <xf numFmtId="165" fontId="10" fillId="28" borderId="69" xfId="0" applyNumberFormat="1" applyFont="1" applyFill="1" applyBorder="1" applyAlignment="1" applyProtection="1">
      <alignment horizontal="center" vertical="center" wrapText="1"/>
      <protection locked="0"/>
    </xf>
    <xf numFmtId="0" fontId="40" fillId="12" borderId="10" xfId="0" applyFont="1" applyFill="1" applyBorder="1" applyAlignment="1" applyProtection="1">
      <alignment vertical="top" wrapText="1"/>
      <protection locked="0"/>
    </xf>
    <xf numFmtId="0" fontId="22" fillId="28" borderId="1" xfId="0" applyFont="1" applyFill="1" applyBorder="1" applyAlignment="1" applyProtection="1">
      <alignment vertical="top" wrapText="1"/>
      <protection locked="0"/>
    </xf>
    <xf numFmtId="165" fontId="27" fillId="25" borderId="17" xfId="0" applyNumberFormat="1" applyFont="1" applyFill="1" applyBorder="1" applyAlignment="1" applyProtection="1">
      <alignment horizontal="center" vertical="center" wrapText="1"/>
      <protection locked="0"/>
    </xf>
    <xf numFmtId="165" fontId="27" fillId="25" borderId="19" xfId="0" applyNumberFormat="1" applyFont="1" applyFill="1" applyBorder="1" applyAlignment="1" applyProtection="1">
      <alignment horizontal="center" vertical="center" wrapText="1"/>
      <protection locked="0"/>
    </xf>
    <xf numFmtId="0" fontId="40" fillId="12" borderId="24" xfId="0" applyFont="1" applyFill="1" applyBorder="1" applyAlignment="1" applyProtection="1">
      <alignment vertical="top" wrapText="1"/>
      <protection locked="0"/>
    </xf>
    <xf numFmtId="0" fontId="22" fillId="25" borderId="32" xfId="0" applyFont="1" applyFill="1" applyBorder="1" applyAlignment="1" applyProtection="1">
      <alignment vertical="top" wrapText="1"/>
      <protection locked="0"/>
    </xf>
    <xf numFmtId="0" fontId="22" fillId="25" borderId="34" xfId="0" applyFont="1" applyFill="1" applyBorder="1" applyAlignment="1" applyProtection="1">
      <alignment vertical="top" wrapText="1"/>
      <protection locked="0"/>
    </xf>
    <xf numFmtId="165" fontId="33" fillId="2" borderId="6" xfId="0" applyNumberFormat="1" applyFont="1" applyFill="1" applyBorder="1" applyAlignment="1" applyProtection="1">
      <alignment vertical="center" wrapText="1"/>
      <protection locked="0"/>
    </xf>
    <xf numFmtId="0" fontId="41" fillId="0" borderId="5"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165" fontId="32" fillId="3" borderId="44" xfId="0" applyNumberFormat="1" applyFont="1" applyFill="1" applyBorder="1" applyAlignment="1" applyProtection="1">
      <alignment vertical="center" wrapText="1"/>
      <protection locked="0"/>
    </xf>
    <xf numFmtId="0" fontId="15" fillId="28" borderId="33" xfId="0" applyFont="1" applyFill="1" applyBorder="1" applyAlignment="1" applyProtection="1">
      <alignment vertical="top" wrapText="1"/>
      <protection locked="0"/>
    </xf>
    <xf numFmtId="165" fontId="32" fillId="3" borderId="6" xfId="0" applyNumberFormat="1" applyFont="1" applyFill="1" applyBorder="1" applyAlignment="1" applyProtection="1">
      <alignment vertical="center" wrapText="1"/>
      <protection locked="0"/>
    </xf>
    <xf numFmtId="0" fontId="40" fillId="11" borderId="0" xfId="0" applyFont="1" applyFill="1" applyAlignment="1" applyProtection="1">
      <alignment vertical="top" wrapText="1"/>
      <protection locked="0"/>
    </xf>
    <xf numFmtId="165" fontId="16" fillId="9" borderId="2" xfId="0" applyNumberFormat="1" applyFont="1" applyFill="1" applyBorder="1" applyAlignment="1" applyProtection="1">
      <alignment vertical="center" wrapText="1"/>
      <protection locked="0"/>
    </xf>
    <xf numFmtId="165" fontId="16" fillId="9" borderId="3" xfId="0" applyNumberFormat="1" applyFont="1" applyFill="1" applyBorder="1" applyAlignment="1" applyProtection="1">
      <alignment vertical="center" wrapText="1"/>
      <protection locked="0"/>
    </xf>
    <xf numFmtId="0" fontId="40" fillId="9" borderId="3" xfId="0" applyFont="1" applyFill="1" applyBorder="1" applyAlignment="1" applyProtection="1">
      <alignment vertical="top" wrapText="1"/>
      <protection locked="0"/>
    </xf>
    <xf numFmtId="0" fontId="0" fillId="9" borderId="1" xfId="0" applyFill="1" applyBorder="1" applyAlignment="1" applyProtection="1">
      <alignment vertical="top" wrapText="1"/>
      <protection locked="0"/>
    </xf>
    <xf numFmtId="165" fontId="32" fillId="3" borderId="2" xfId="0" applyNumberFormat="1" applyFont="1" applyFill="1" applyBorder="1" applyAlignment="1" applyProtection="1">
      <alignment vertical="center" wrapText="1"/>
      <protection locked="0"/>
    </xf>
    <xf numFmtId="165" fontId="32" fillId="3" borderId="4" xfId="0" applyNumberFormat="1" applyFont="1" applyFill="1" applyBorder="1" applyAlignment="1" applyProtection="1">
      <alignment vertical="center" wrapText="1"/>
      <protection locked="0"/>
    </xf>
    <xf numFmtId="165" fontId="10" fillId="3" borderId="2" xfId="0" applyNumberFormat="1" applyFont="1" applyFill="1" applyBorder="1" applyAlignment="1" applyProtection="1">
      <alignment vertical="center" wrapText="1"/>
      <protection locked="0"/>
    </xf>
    <xf numFmtId="165" fontId="26" fillId="25" borderId="36" xfId="0" applyNumberFormat="1" applyFont="1" applyFill="1" applyBorder="1" applyAlignment="1" applyProtection="1">
      <alignment horizontal="center" vertical="center" wrapText="1"/>
      <protection locked="0"/>
    </xf>
    <xf numFmtId="0" fontId="40" fillId="0" borderId="0" xfId="0" applyFont="1" applyAlignment="1" applyProtection="1">
      <alignment vertical="top" wrapText="1"/>
      <protection locked="0"/>
    </xf>
    <xf numFmtId="165" fontId="16" fillId="2" borderId="2" xfId="0" applyNumberFormat="1" applyFont="1" applyFill="1" applyBorder="1" applyAlignment="1" applyProtection="1">
      <alignment vertical="center" wrapText="1"/>
      <protection locked="0"/>
    </xf>
    <xf numFmtId="165" fontId="16" fillId="2" borderId="4" xfId="0" applyNumberFormat="1" applyFont="1" applyFill="1" applyBorder="1" applyAlignment="1" applyProtection="1">
      <alignment vertical="center" wrapText="1"/>
      <protection locked="0"/>
    </xf>
    <xf numFmtId="0" fontId="0" fillId="0" borderId="1" xfId="0" applyBorder="1" applyAlignment="1" applyProtection="1">
      <alignment vertical="top" wrapText="1"/>
      <protection locked="0"/>
    </xf>
    <xf numFmtId="165" fontId="32" fillId="3" borderId="42" xfId="0" applyNumberFormat="1" applyFont="1" applyFill="1" applyBorder="1" applyAlignment="1" applyProtection="1">
      <alignment vertical="center" wrapText="1"/>
      <protection locked="0"/>
    </xf>
    <xf numFmtId="165" fontId="32" fillId="3" borderId="45" xfId="0" applyNumberFormat="1" applyFont="1" applyFill="1" applyBorder="1" applyAlignment="1" applyProtection="1">
      <alignment vertical="center" wrapText="1"/>
      <protection locked="0"/>
    </xf>
    <xf numFmtId="0" fontId="22" fillId="25" borderId="53" xfId="0" applyFont="1" applyFill="1" applyBorder="1" applyAlignment="1" applyProtection="1">
      <alignment vertical="top" wrapText="1"/>
      <protection locked="0"/>
    </xf>
    <xf numFmtId="0" fontId="40" fillId="12" borderId="37" xfId="0" applyFont="1" applyFill="1" applyBorder="1" applyAlignment="1" applyProtection="1">
      <alignment vertical="top" wrapText="1"/>
      <protection locked="0"/>
    </xf>
    <xf numFmtId="165" fontId="32" fillId="3" borderId="16" xfId="0" applyNumberFormat="1" applyFont="1" applyFill="1" applyBorder="1" applyAlignment="1" applyProtection="1">
      <alignment vertical="center" wrapText="1"/>
      <protection locked="0"/>
    </xf>
    <xf numFmtId="165" fontId="32" fillId="3" borderId="7" xfId="0" applyNumberFormat="1" applyFont="1" applyFill="1" applyBorder="1" applyAlignment="1" applyProtection="1">
      <alignment vertical="center" wrapText="1"/>
      <protection locked="0"/>
    </xf>
    <xf numFmtId="165" fontId="26" fillId="25" borderId="74" xfId="0" applyNumberFormat="1" applyFont="1" applyFill="1" applyBorder="1" applyAlignment="1" applyProtection="1">
      <alignment horizontal="center" vertical="center" wrapText="1"/>
      <protection locked="0"/>
    </xf>
    <xf numFmtId="0" fontId="53" fillId="0" borderId="25" xfId="3" applyFont="1" applyBorder="1" applyAlignment="1" applyProtection="1">
      <alignment vertical="top" wrapText="1"/>
      <protection locked="0"/>
    </xf>
    <xf numFmtId="0" fontId="53" fillId="0" borderId="26" xfId="3" applyFont="1" applyBorder="1" applyAlignment="1" applyProtection="1">
      <alignment vertical="top" wrapText="1"/>
      <protection locked="0"/>
    </xf>
    <xf numFmtId="165" fontId="26" fillId="25" borderId="48" xfId="0" applyNumberFormat="1" applyFont="1" applyFill="1" applyBorder="1" applyAlignment="1" applyProtection="1">
      <alignment horizontal="center" vertical="center" wrapText="1"/>
      <protection locked="0"/>
    </xf>
    <xf numFmtId="165" fontId="10" fillId="11" borderId="42" xfId="0" applyNumberFormat="1" applyFont="1" applyFill="1" applyBorder="1" applyAlignment="1" applyProtection="1">
      <alignment vertical="center" wrapText="1"/>
      <protection locked="0"/>
    </xf>
    <xf numFmtId="165" fontId="10" fillId="11" borderId="45" xfId="0" applyNumberFormat="1" applyFont="1" applyFill="1" applyBorder="1" applyAlignment="1" applyProtection="1">
      <alignment vertical="center" wrapText="1"/>
      <protection locked="0"/>
    </xf>
    <xf numFmtId="0" fontId="16" fillId="11" borderId="10" xfId="0" applyFont="1" applyFill="1" applyBorder="1" applyAlignment="1" applyProtection="1">
      <alignment vertical="top" wrapText="1"/>
      <protection locked="0"/>
    </xf>
    <xf numFmtId="0" fontId="6" fillId="3" borderId="43" xfId="0" applyFont="1" applyFill="1" applyBorder="1" applyAlignment="1" applyProtection="1">
      <alignment vertical="center" wrapText="1"/>
    </xf>
    <xf numFmtId="0" fontId="0" fillId="25" borderId="33" xfId="0" applyFill="1" applyBorder="1" applyAlignment="1" applyProtection="1">
      <alignment vertical="top" wrapText="1"/>
      <protection locked="0"/>
    </xf>
    <xf numFmtId="0" fontId="0" fillId="11" borderId="5" xfId="0" applyFill="1" applyBorder="1" applyAlignment="1" applyProtection="1">
      <alignment vertical="top" wrapText="1"/>
      <protection locked="0"/>
    </xf>
    <xf numFmtId="0" fontId="40" fillId="0" borderId="58" xfId="3" applyFont="1" applyBorder="1" applyAlignment="1" applyProtection="1">
      <alignment vertical="top" wrapText="1"/>
      <protection locked="0"/>
    </xf>
    <xf numFmtId="0" fontId="40" fillId="0" borderId="60" xfId="3" applyFont="1" applyBorder="1" applyAlignment="1" applyProtection="1">
      <alignment vertical="top" wrapText="1"/>
      <protection locked="0"/>
    </xf>
    <xf numFmtId="0" fontId="0" fillId="25" borderId="32" xfId="0" applyFill="1" applyBorder="1" applyAlignment="1" applyProtection="1">
      <alignment vertical="top" wrapText="1"/>
      <protection locked="0"/>
    </xf>
    <xf numFmtId="0" fontId="0" fillId="25" borderId="34" xfId="0" applyFill="1" applyBorder="1" applyAlignment="1" applyProtection="1">
      <alignment vertical="top" wrapText="1"/>
      <protection locked="0"/>
    </xf>
    <xf numFmtId="0" fontId="15" fillId="0" borderId="24" xfId="0" applyFont="1" applyBorder="1" applyAlignment="1" applyProtection="1">
      <alignment vertical="top" wrapText="1"/>
      <protection locked="0"/>
    </xf>
    <xf numFmtId="165" fontId="23" fillId="25" borderId="21" xfId="0" applyNumberFormat="1" applyFont="1" applyFill="1" applyBorder="1" applyAlignment="1" applyProtection="1">
      <alignment horizontal="center" vertical="center" wrapText="1"/>
      <protection locked="0"/>
    </xf>
    <xf numFmtId="165" fontId="23" fillId="25" borderId="23" xfId="0" applyNumberFormat="1" applyFont="1" applyFill="1" applyBorder="1" applyAlignment="1" applyProtection="1">
      <alignment horizontal="center" vertical="center" wrapText="1"/>
      <protection locked="0"/>
    </xf>
    <xf numFmtId="0" fontId="0" fillId="11" borderId="42" xfId="0" applyFill="1" applyBorder="1" applyAlignment="1" applyProtection="1">
      <alignment vertical="top" wrapText="1"/>
      <protection locked="0"/>
    </xf>
    <xf numFmtId="0" fontId="26" fillId="29" borderId="38" xfId="0" applyFont="1" applyFill="1" applyBorder="1" applyAlignment="1" applyProtection="1">
      <alignment horizontal="center" vertical="center" wrapText="1"/>
      <protection locked="0"/>
    </xf>
    <xf numFmtId="0" fontId="26" fillId="29" borderId="55" xfId="0" applyFont="1" applyFill="1" applyBorder="1" applyAlignment="1" applyProtection="1">
      <alignment horizontal="center" vertical="center" wrapText="1"/>
      <protection locked="0"/>
    </xf>
    <xf numFmtId="0" fontId="40" fillId="29" borderId="34" xfId="0" applyFont="1" applyFill="1" applyBorder="1" applyAlignment="1" applyProtection="1">
      <alignment vertical="top" wrapText="1"/>
      <protection locked="0"/>
    </xf>
    <xf numFmtId="165" fontId="23" fillId="25" borderId="19" xfId="0" applyNumberFormat="1" applyFont="1" applyFill="1" applyBorder="1" applyAlignment="1" applyProtection="1">
      <alignment horizontal="center" vertical="center" wrapText="1"/>
      <protection locked="0"/>
    </xf>
    <xf numFmtId="0" fontId="0" fillId="0" borderId="24" xfId="0" applyBorder="1" applyAlignment="1" applyProtection="1">
      <alignment vertical="top" wrapText="1"/>
      <protection locked="0"/>
    </xf>
    <xf numFmtId="0" fontId="0" fillId="0" borderId="26" xfId="0" applyBorder="1" applyAlignment="1" applyProtection="1">
      <alignment vertical="top" wrapText="1"/>
      <protection locked="0"/>
    </xf>
    <xf numFmtId="0" fontId="15" fillId="0" borderId="26" xfId="0" applyFont="1" applyBorder="1" applyAlignment="1" applyProtection="1">
      <alignment vertical="top" wrapText="1"/>
      <protection locked="0"/>
    </xf>
    <xf numFmtId="0" fontId="26" fillId="28" borderId="50" xfId="0" applyFont="1" applyFill="1" applyBorder="1" applyAlignment="1" applyProtection="1">
      <alignment horizontal="center" vertical="center" wrapText="1"/>
      <protection locked="0"/>
    </xf>
    <xf numFmtId="0" fontId="26" fillId="28" borderId="36" xfId="0" applyFont="1" applyFill="1" applyBorder="1" applyAlignment="1" applyProtection="1">
      <alignment horizontal="center" vertical="center" wrapText="1"/>
      <protection locked="0"/>
    </xf>
    <xf numFmtId="0" fontId="27" fillId="12" borderId="17" xfId="0" applyFont="1" applyFill="1" applyBorder="1" applyAlignment="1" applyProtection="1">
      <alignment horizontal="center" vertical="center" wrapText="1"/>
      <protection locked="0"/>
    </xf>
    <xf numFmtId="0" fontId="27" fillId="12" borderId="19" xfId="0" applyFont="1" applyFill="1" applyBorder="1" applyAlignment="1" applyProtection="1">
      <alignment horizontal="center" vertical="center" wrapText="1"/>
      <protection locked="0"/>
    </xf>
    <xf numFmtId="0" fontId="0" fillId="12" borderId="24" xfId="0" applyFill="1" applyBorder="1" applyAlignment="1" applyProtection="1">
      <alignment vertical="top" wrapText="1"/>
      <protection locked="0"/>
    </xf>
    <xf numFmtId="0" fontId="0" fillId="12" borderId="32" xfId="0" applyFill="1" applyBorder="1" applyAlignment="1" applyProtection="1">
      <alignment vertical="top" wrapText="1"/>
      <protection locked="0"/>
    </xf>
    <xf numFmtId="0" fontId="0" fillId="0" borderId="25" xfId="0" applyBorder="1" applyAlignment="1" applyProtection="1">
      <alignment vertical="top" wrapText="1"/>
      <protection locked="0"/>
    </xf>
    <xf numFmtId="0" fontId="2" fillId="0" borderId="5" xfId="0" applyFont="1" applyBorder="1" applyAlignment="1" applyProtection="1">
      <alignment vertical="top" wrapText="1"/>
      <protection locked="0"/>
    </xf>
    <xf numFmtId="165" fontId="38" fillId="25" borderId="17" xfId="0" applyNumberFormat="1" applyFont="1" applyFill="1" applyBorder="1" applyAlignment="1" applyProtection="1">
      <alignment horizontal="center" vertical="center" wrapText="1"/>
      <protection locked="0"/>
    </xf>
    <xf numFmtId="165" fontId="38" fillId="25" borderId="19" xfId="0" applyNumberFormat="1" applyFont="1" applyFill="1" applyBorder="1" applyAlignment="1" applyProtection="1">
      <alignment horizontal="center" vertical="center" wrapText="1"/>
      <protection locked="0"/>
    </xf>
    <xf numFmtId="0" fontId="50" fillId="25" borderId="20" xfId="0" applyFont="1" applyFill="1" applyBorder="1" applyAlignment="1" applyProtection="1">
      <alignment horizontal="center" vertical="center" wrapText="1"/>
      <protection locked="0"/>
    </xf>
    <xf numFmtId="165" fontId="23" fillId="0" borderId="15" xfId="0" applyNumberFormat="1" applyFont="1" applyBorder="1" applyAlignment="1" applyProtection="1">
      <alignment horizontal="center" vertical="center" wrapText="1"/>
      <protection locked="0"/>
    </xf>
    <xf numFmtId="165" fontId="23" fillId="0" borderId="20" xfId="0" applyNumberFormat="1" applyFont="1" applyBorder="1" applyAlignment="1" applyProtection="1">
      <alignment horizontal="center" vertical="center" wrapText="1"/>
      <protection locked="0"/>
    </xf>
    <xf numFmtId="165" fontId="23" fillId="0" borderId="21" xfId="0" applyNumberFormat="1" applyFont="1" applyBorder="1" applyAlignment="1" applyProtection="1">
      <alignment horizontal="center" vertical="center" wrapText="1"/>
      <protection locked="0"/>
    </xf>
    <xf numFmtId="165" fontId="23" fillId="0" borderId="23" xfId="0" applyNumberFormat="1" applyFont="1" applyBorder="1" applyAlignment="1" applyProtection="1">
      <alignment horizontal="center" vertical="center" wrapText="1"/>
      <protection locked="0"/>
    </xf>
    <xf numFmtId="0" fontId="41" fillId="9" borderId="2" xfId="0" applyFont="1" applyFill="1" applyBorder="1" applyAlignment="1" applyProtection="1">
      <alignment vertical="center" wrapText="1"/>
      <protection locked="0"/>
    </xf>
    <xf numFmtId="0" fontId="41" fillId="9" borderId="4" xfId="0" applyFont="1" applyFill="1" applyBorder="1" applyAlignment="1" applyProtection="1">
      <alignment vertical="center" wrapText="1"/>
      <protection locked="0"/>
    </xf>
    <xf numFmtId="0" fontId="0" fillId="9" borderId="2" xfId="0" applyFill="1" applyBorder="1" applyAlignment="1" applyProtection="1">
      <alignment vertical="top" wrapText="1"/>
      <protection locked="0"/>
    </xf>
    <xf numFmtId="0" fontId="26" fillId="12" borderId="1" xfId="0" applyFont="1" applyFill="1" applyBorder="1" applyAlignment="1" applyProtection="1">
      <alignment horizontal="center" vertical="center" wrapText="1"/>
      <protection locked="0"/>
    </xf>
    <xf numFmtId="0" fontId="15" fillId="0" borderId="0" xfId="0" applyFont="1" applyAlignment="1" applyProtection="1">
      <alignment vertical="top" wrapText="1"/>
      <protection locked="0"/>
    </xf>
    <xf numFmtId="0" fontId="26" fillId="25" borderId="1" xfId="0" applyFont="1" applyFill="1" applyBorder="1" applyAlignment="1" applyProtection="1">
      <alignment horizontal="center" vertical="center" wrapText="1"/>
      <protection locked="0"/>
    </xf>
    <xf numFmtId="0" fontId="40" fillId="12" borderId="66" xfId="3" applyFont="1" applyFill="1" applyBorder="1" applyAlignment="1" applyProtection="1">
      <alignment vertical="top" wrapText="1"/>
      <protection locked="0"/>
    </xf>
    <xf numFmtId="0" fontId="41" fillId="2" borderId="16" xfId="0" applyFont="1" applyFill="1" applyBorder="1" applyAlignment="1" applyProtection="1">
      <alignment vertical="center" wrapText="1"/>
      <protection locked="0"/>
    </xf>
    <xf numFmtId="0" fontId="41" fillId="2" borderId="7" xfId="0" applyFont="1" applyFill="1" applyBorder="1" applyAlignment="1" applyProtection="1">
      <alignment vertical="center" wrapText="1"/>
      <protection locked="0"/>
    </xf>
    <xf numFmtId="0" fontId="0" fillId="0" borderId="2" xfId="0" applyBorder="1" applyAlignment="1" applyProtection="1">
      <alignment vertical="top" wrapText="1"/>
      <protection locked="0"/>
    </xf>
    <xf numFmtId="0" fontId="34" fillId="0" borderId="26" xfId="3" applyFont="1" applyBorder="1" applyAlignment="1" applyProtection="1">
      <alignment vertical="top" wrapText="1"/>
      <protection locked="0"/>
    </xf>
    <xf numFmtId="9" fontId="23" fillId="11" borderId="41" xfId="1" applyFont="1" applyFill="1" applyBorder="1" applyAlignment="1" applyProtection="1">
      <alignment horizontal="center" vertical="center" wrapText="1"/>
    </xf>
    <xf numFmtId="0" fontId="10" fillId="11" borderId="43" xfId="0" applyFont="1" applyFill="1" applyBorder="1" applyAlignment="1" applyProtection="1">
      <alignment vertical="center" wrapText="1"/>
    </xf>
    <xf numFmtId="0" fontId="11" fillId="27" borderId="7" xfId="0" applyFont="1" applyFill="1" applyBorder="1" applyAlignment="1" applyProtection="1">
      <alignment vertical="center" wrapText="1"/>
    </xf>
    <xf numFmtId="0" fontId="22" fillId="0" borderId="21" xfId="0" applyFont="1" applyBorder="1" applyAlignment="1" applyProtection="1">
      <alignment vertical="center" wrapText="1"/>
    </xf>
    <xf numFmtId="0" fontId="24" fillId="0" borderId="33" xfId="0" applyFont="1" applyBorder="1" applyAlignment="1" applyProtection="1">
      <alignment vertical="center" wrapText="1"/>
    </xf>
    <xf numFmtId="0" fontId="24" fillId="0" borderId="33" xfId="0" applyFont="1" applyFill="1" applyBorder="1" applyAlignment="1" applyProtection="1">
      <alignment vertical="center" wrapText="1"/>
    </xf>
    <xf numFmtId="0" fontId="24" fillId="0" borderId="32"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24" xfId="0" applyFont="1" applyBorder="1" applyAlignment="1" applyProtection="1">
      <alignment vertical="center" wrapText="1"/>
    </xf>
    <xf numFmtId="0" fontId="24" fillId="0" borderId="26" xfId="0" applyFont="1" applyBorder="1" applyAlignment="1" applyProtection="1">
      <alignment vertical="center" wrapText="1"/>
    </xf>
    <xf numFmtId="9" fontId="23" fillId="11" borderId="10" xfId="1" applyFont="1" applyFill="1" applyBorder="1" applyAlignment="1" applyProtection="1">
      <alignment horizontal="center" vertical="center" wrapText="1"/>
    </xf>
    <xf numFmtId="0" fontId="20" fillId="24" borderId="44" xfId="0" applyFont="1" applyFill="1" applyBorder="1"/>
    <xf numFmtId="0" fontId="0" fillId="24" borderId="0" xfId="0" applyFill="1"/>
    <xf numFmtId="0" fontId="20" fillId="24" borderId="43" xfId="0" applyFont="1" applyFill="1" applyBorder="1"/>
    <xf numFmtId="0" fontId="20" fillId="24" borderId="0" xfId="0" applyFont="1" applyFill="1"/>
    <xf numFmtId="0" fontId="21" fillId="24" borderId="0" xfId="0" applyFont="1" applyFill="1"/>
    <xf numFmtId="0" fontId="20" fillId="24" borderId="0" xfId="0" applyFont="1" applyFill="1" applyProtection="1">
      <protection locked="0"/>
    </xf>
    <xf numFmtId="0" fontId="17" fillId="24" borderId="43" xfId="0" applyFont="1" applyFill="1" applyBorder="1"/>
    <xf numFmtId="0" fontId="17" fillId="24" borderId="0" xfId="0" applyFont="1" applyFill="1"/>
    <xf numFmtId="0" fontId="17" fillId="24" borderId="0" xfId="0" applyFont="1" applyFill="1" applyProtection="1">
      <protection locked="0"/>
    </xf>
    <xf numFmtId="0" fontId="19" fillId="23" borderId="1" xfId="0" applyFont="1" applyFill="1" applyBorder="1" applyAlignment="1">
      <alignment horizontal="center" vertical="center"/>
    </xf>
    <xf numFmtId="9" fontId="37" fillId="11" borderId="1" xfId="1" applyFont="1" applyFill="1" applyBorder="1" applyAlignment="1">
      <alignment horizontal="center" vertical="center" wrapText="1"/>
    </xf>
    <xf numFmtId="1" fontId="37" fillId="11" borderId="1" xfId="1" applyNumberFormat="1" applyFont="1" applyFill="1" applyBorder="1" applyAlignment="1">
      <alignment horizontal="center" vertical="center" wrapText="1"/>
    </xf>
    <xf numFmtId="165" fontId="0" fillId="15" borderId="5" xfId="0" applyNumberFormat="1" applyFill="1" applyBorder="1" applyAlignment="1">
      <alignment horizontal="center" vertical="center"/>
    </xf>
    <xf numFmtId="0" fontId="17" fillId="24" borderId="6" xfId="0" applyFont="1" applyFill="1" applyBorder="1"/>
    <xf numFmtId="0" fontId="0" fillId="2" borderId="3" xfId="0" applyFill="1" applyBorder="1" applyAlignment="1">
      <alignment vertical="center" wrapText="1"/>
    </xf>
    <xf numFmtId="0" fontId="0" fillId="9" borderId="3" xfId="0" applyFill="1" applyBorder="1" applyAlignment="1">
      <alignment vertical="center" wrapText="1"/>
    </xf>
    <xf numFmtId="2" fontId="0" fillId="9" borderId="3" xfId="0" applyNumberFormat="1" applyFill="1" applyBorder="1" applyAlignment="1">
      <alignment vertical="center" wrapText="1"/>
    </xf>
    <xf numFmtId="0" fontId="0" fillId="11" borderId="43" xfId="0" applyFill="1" applyBorder="1" applyAlignment="1">
      <alignment vertical="center" wrapText="1"/>
    </xf>
    <xf numFmtId="0" fontId="2" fillId="11" borderId="70" xfId="0" applyFont="1" applyFill="1" applyBorder="1" applyAlignment="1">
      <alignment horizontal="center" vertical="center" wrapText="1"/>
    </xf>
    <xf numFmtId="0" fontId="2" fillId="11" borderId="71" xfId="0" applyFont="1" applyFill="1" applyBorder="1" applyAlignment="1">
      <alignment horizontal="center" vertical="center" wrapText="1"/>
    </xf>
    <xf numFmtId="0" fontId="2" fillId="11" borderId="75" xfId="0" applyFont="1" applyFill="1" applyBorder="1" applyAlignment="1">
      <alignment horizontal="center" vertical="center" wrapText="1"/>
    </xf>
    <xf numFmtId="0" fontId="2" fillId="11" borderId="68" xfId="0" applyFont="1" applyFill="1" applyBorder="1" applyAlignment="1">
      <alignment horizontal="center" vertical="center" wrapText="1"/>
    </xf>
    <xf numFmtId="2" fontId="2" fillId="11" borderId="9" xfId="0" applyNumberFormat="1" applyFont="1" applyFill="1" applyBorder="1" applyAlignment="1">
      <alignment horizontal="center" vertical="center" wrapText="1"/>
    </xf>
    <xf numFmtId="0" fontId="2" fillId="11" borderId="9" xfId="0" applyFont="1" applyFill="1" applyBorder="1" applyAlignment="1">
      <alignment horizontal="center" vertical="center"/>
    </xf>
    <xf numFmtId="0" fontId="2" fillId="9" borderId="8" xfId="0" applyFont="1" applyFill="1" applyBorder="1" applyAlignment="1">
      <alignment horizontal="center" vertical="center" wrapText="1"/>
    </xf>
    <xf numFmtId="0" fontId="2" fillId="0" borderId="8" xfId="0" applyFont="1" applyBorder="1" applyAlignment="1">
      <alignment horizontal="center" vertical="center"/>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0" fillId="0" borderId="1" xfId="0" applyBorder="1"/>
    <xf numFmtId="2" fontId="0" fillId="0" borderId="1" xfId="0" applyNumberFormat="1" applyBorder="1"/>
    <xf numFmtId="2" fontId="0" fillId="0" borderId="4" xfId="0" applyNumberFormat="1" applyBorder="1"/>
    <xf numFmtId="0" fontId="2" fillId="5" borderId="17" xfId="0" applyFont="1" applyFill="1" applyBorder="1"/>
    <xf numFmtId="0" fontId="0" fillId="5" borderId="18" xfId="0" applyFill="1" applyBorder="1"/>
    <xf numFmtId="0" fontId="0" fillId="5" borderId="19" xfId="0" applyFill="1" applyBorder="1"/>
    <xf numFmtId="0" fontId="4" fillId="9" borderId="10" xfId="0" applyFont="1" applyFill="1" applyBorder="1" applyAlignment="1">
      <alignment vertical="center" wrapText="1"/>
    </xf>
    <xf numFmtId="0" fontId="4" fillId="9" borderId="42" xfId="0" applyFont="1" applyFill="1" applyBorder="1" applyAlignment="1">
      <alignment vertical="center" wrapText="1"/>
    </xf>
    <xf numFmtId="0" fontId="4" fillId="9" borderId="45" xfId="0" applyFont="1" applyFill="1" applyBorder="1" applyAlignment="1">
      <alignment vertical="center" wrapText="1"/>
    </xf>
    <xf numFmtId="0" fontId="4" fillId="9" borderId="44" xfId="0" applyFont="1" applyFill="1" applyBorder="1" applyAlignment="1">
      <alignment vertical="center" wrapText="1"/>
    </xf>
    <xf numFmtId="9" fontId="23" fillId="11" borderId="4" xfId="1" applyFont="1" applyFill="1" applyBorder="1" applyAlignment="1">
      <alignment horizontal="center" vertical="center" wrapText="1"/>
    </xf>
    <xf numFmtId="2" fontId="23" fillId="11" borderId="4" xfId="1" applyNumberFormat="1" applyFont="1" applyFill="1" applyBorder="1" applyAlignment="1">
      <alignment horizontal="center" vertical="center" wrapText="1"/>
    </xf>
    <xf numFmtId="9" fontId="23" fillId="11" borderId="1" xfId="1" applyFont="1" applyFill="1" applyBorder="1" applyAlignment="1">
      <alignment horizontal="center" vertical="center" wrapText="1"/>
    </xf>
    <xf numFmtId="0" fontId="0" fillId="9" borderId="10" xfId="0" applyFill="1" applyBorder="1"/>
    <xf numFmtId="0" fontId="0" fillId="9" borderId="0" xfId="0" applyFill="1"/>
    <xf numFmtId="0" fontId="2" fillId="9" borderId="54" xfId="0" applyFont="1" applyFill="1" applyBorder="1"/>
    <xf numFmtId="0" fontId="0" fillId="9" borderId="14" xfId="0" applyFill="1" applyBorder="1"/>
    <xf numFmtId="0" fontId="0" fillId="9" borderId="74" xfId="0" applyFill="1" applyBorder="1"/>
    <xf numFmtId="0" fontId="4" fillId="11" borderId="10" xfId="0" applyFont="1" applyFill="1" applyBorder="1" applyAlignment="1">
      <alignment vertical="center" wrapText="1"/>
    </xf>
    <xf numFmtId="0" fontId="4" fillId="11" borderId="42" xfId="0" applyFont="1" applyFill="1" applyBorder="1" applyAlignment="1">
      <alignment vertical="center" wrapText="1"/>
    </xf>
    <xf numFmtId="0" fontId="4" fillId="11" borderId="45" xfId="0" applyFont="1" applyFill="1" applyBorder="1" applyAlignment="1">
      <alignment vertical="center" wrapText="1"/>
    </xf>
    <xf numFmtId="0" fontId="4" fillId="11" borderId="44" xfId="0" applyFont="1" applyFill="1" applyBorder="1" applyAlignment="1">
      <alignment vertical="center" wrapText="1"/>
    </xf>
    <xf numFmtId="0" fontId="0" fillId="11" borderId="10" xfId="0" applyFill="1" applyBorder="1"/>
    <xf numFmtId="0" fontId="0" fillId="11" borderId="0" xfId="0" applyFill="1"/>
    <xf numFmtId="0" fontId="2" fillId="11" borderId="54" xfId="0" applyFont="1" applyFill="1" applyBorder="1"/>
    <xf numFmtId="0" fontId="0" fillId="11" borderId="14" xfId="0" applyFill="1" applyBorder="1"/>
    <xf numFmtId="0" fontId="0" fillId="11" borderId="74" xfId="0" applyFill="1" applyBorder="1"/>
    <xf numFmtId="0" fontId="22" fillId="0" borderId="29" xfId="0" applyFont="1" applyBorder="1" applyAlignment="1">
      <alignment vertical="center" wrapText="1"/>
    </xf>
    <xf numFmtId="165" fontId="23" fillId="20" borderId="32" xfId="0" applyNumberFormat="1" applyFont="1" applyFill="1" applyBorder="1" applyAlignment="1">
      <alignment horizontal="center" vertical="center" wrapText="1"/>
    </xf>
    <xf numFmtId="0" fontId="24" fillId="0" borderId="29" xfId="0" applyFont="1" applyBorder="1" applyAlignment="1">
      <alignment vertical="center" wrapText="1"/>
    </xf>
    <xf numFmtId="165" fontId="25" fillId="4" borderId="32" xfId="0" applyNumberFormat="1" applyFont="1" applyFill="1" applyBorder="1" applyAlignment="1">
      <alignment horizontal="center" vertical="center" wrapText="1"/>
    </xf>
    <xf numFmtId="165" fontId="26" fillId="0" borderId="17" xfId="1" applyNumberFormat="1" applyFont="1" applyBorder="1" applyAlignment="1" applyProtection="1">
      <alignment horizontal="center" vertical="center" wrapText="1"/>
      <protection locked="0"/>
    </xf>
    <xf numFmtId="165" fontId="26" fillId="0" borderId="19" xfId="1" applyNumberFormat="1" applyFont="1" applyBorder="1" applyAlignment="1" applyProtection="1">
      <alignment horizontal="center" vertical="center" wrapText="1"/>
      <protection locked="0"/>
    </xf>
    <xf numFmtId="165" fontId="24" fillId="0" borderId="49" xfId="1" applyNumberFormat="1" applyFont="1" applyBorder="1" applyAlignment="1">
      <alignment horizontal="center" vertical="center" wrapText="1"/>
    </xf>
    <xf numFmtId="165" fontId="24" fillId="0" borderId="18" xfId="1" applyNumberFormat="1" applyFont="1" applyBorder="1" applyAlignment="1">
      <alignment horizontal="center" vertical="center" wrapText="1"/>
    </xf>
    <xf numFmtId="165" fontId="24" fillId="0" borderId="46" xfId="1" applyNumberFormat="1" applyFont="1" applyBorder="1" applyAlignment="1">
      <alignment horizontal="center" vertical="center" wrapText="1"/>
    </xf>
    <xf numFmtId="9" fontId="24" fillId="11" borderId="32" xfId="1" applyFont="1" applyFill="1" applyBorder="1" applyAlignment="1">
      <alignment horizontal="center" vertical="center" wrapText="1"/>
    </xf>
    <xf numFmtId="0" fontId="24" fillId="8" borderId="29" xfId="0" applyFont="1" applyFill="1" applyBorder="1" applyAlignment="1">
      <alignment vertical="center" wrapText="1"/>
    </xf>
    <xf numFmtId="0" fontId="2" fillId="5" borderId="15" xfId="0" applyFont="1" applyFill="1" applyBorder="1"/>
    <xf numFmtId="2" fontId="2" fillId="5" borderId="11" xfId="0" applyNumberFormat="1" applyFont="1" applyFill="1" applyBorder="1"/>
    <xf numFmtId="0" fontId="0" fillId="5" borderId="11" xfId="0" applyFill="1" applyBorder="1"/>
    <xf numFmtId="0" fontId="0" fillId="5" borderId="20" xfId="0" applyFill="1" applyBorder="1"/>
    <xf numFmtId="0" fontId="22" fillId="0" borderId="31" xfId="0" applyFont="1" applyBorder="1" applyAlignment="1">
      <alignment vertical="center" wrapText="1"/>
    </xf>
    <xf numFmtId="165" fontId="23" fillId="20" borderId="34" xfId="0" applyNumberFormat="1" applyFont="1" applyFill="1" applyBorder="1" applyAlignment="1">
      <alignment horizontal="center" vertical="center" wrapText="1"/>
    </xf>
    <xf numFmtId="0" fontId="24" fillId="0" borderId="31" xfId="0" applyFont="1" applyBorder="1" applyAlignment="1">
      <alignment vertical="center" wrapText="1"/>
    </xf>
    <xf numFmtId="165" fontId="25" fillId="4" borderId="34" xfId="0" applyNumberFormat="1" applyFont="1" applyFill="1" applyBorder="1" applyAlignment="1">
      <alignment horizontal="center" vertical="center" wrapText="1"/>
    </xf>
    <xf numFmtId="165" fontId="26" fillId="0" borderId="21" xfId="1" applyNumberFormat="1" applyFont="1" applyBorder="1" applyAlignment="1" applyProtection="1">
      <alignment horizontal="center" vertical="center" wrapText="1"/>
      <protection locked="0"/>
    </xf>
    <xf numFmtId="165" fontId="26" fillId="0" borderId="23" xfId="1" applyNumberFormat="1" applyFont="1" applyBorder="1" applyAlignment="1" applyProtection="1">
      <alignment horizontal="center" vertical="center" wrapText="1"/>
      <protection locked="0"/>
    </xf>
    <xf numFmtId="165" fontId="24" fillId="0" borderId="28" xfId="1" applyNumberFormat="1" applyFont="1" applyBorder="1" applyAlignment="1">
      <alignment horizontal="center" vertical="center" wrapText="1"/>
    </xf>
    <xf numFmtId="165" fontId="24" fillId="0" borderId="22" xfId="1" applyNumberFormat="1" applyFont="1" applyBorder="1" applyAlignment="1">
      <alignment horizontal="center" vertical="center" wrapText="1"/>
    </xf>
    <xf numFmtId="165" fontId="24" fillId="0" borderId="48" xfId="1" applyNumberFormat="1" applyFont="1" applyBorder="1" applyAlignment="1">
      <alignment horizontal="center" vertical="center" wrapText="1"/>
    </xf>
    <xf numFmtId="9" fontId="24" fillId="11" borderId="34" xfId="1" applyFont="1" applyFill="1" applyBorder="1" applyAlignment="1">
      <alignment horizontal="center" vertical="center" wrapText="1"/>
    </xf>
    <xf numFmtId="0" fontId="24" fillId="8" borderId="31" xfId="0" applyFont="1" applyFill="1" applyBorder="1" applyAlignment="1">
      <alignment vertical="center" wrapText="1"/>
    </xf>
    <xf numFmtId="0" fontId="13" fillId="5" borderId="15" xfId="0" applyFont="1" applyFill="1" applyBorder="1" applyAlignment="1">
      <alignment vertical="center"/>
    </xf>
    <xf numFmtId="2" fontId="14" fillId="5" borderId="11" xfId="0" applyNumberFormat="1" applyFont="1" applyFill="1" applyBorder="1" applyAlignment="1">
      <alignment horizontal="center" vertical="center"/>
    </xf>
    <xf numFmtId="0" fontId="22" fillId="0" borderId="61" xfId="0" applyFont="1" applyBorder="1" applyAlignment="1">
      <alignment vertical="center" wrapText="1"/>
    </xf>
    <xf numFmtId="165" fontId="23" fillId="4" borderId="53" xfId="0" applyNumberFormat="1" applyFont="1" applyFill="1" applyBorder="1" applyAlignment="1">
      <alignment horizontal="center" vertical="center" wrapText="1"/>
    </xf>
    <xf numFmtId="0" fontId="24" fillId="0" borderId="53" xfId="0" applyFont="1" applyBorder="1" applyAlignment="1">
      <alignment vertical="center" wrapText="1"/>
    </xf>
    <xf numFmtId="165" fontId="12" fillId="4" borderId="53" xfId="0" applyNumberFormat="1" applyFont="1" applyFill="1" applyBorder="1" applyAlignment="1">
      <alignment horizontal="center" vertical="center" wrapText="1"/>
    </xf>
    <xf numFmtId="165" fontId="10" fillId="0" borderId="54" xfId="1" applyNumberFormat="1" applyFont="1" applyBorder="1" applyAlignment="1" applyProtection="1">
      <alignment horizontal="center" vertical="center" wrapText="1"/>
      <protection locked="0"/>
    </xf>
    <xf numFmtId="165" fontId="10" fillId="0" borderId="74" xfId="1" applyNumberFormat="1" applyFont="1" applyBorder="1" applyAlignment="1" applyProtection="1">
      <alignment horizontal="center" vertical="center" wrapText="1"/>
      <protection locked="0"/>
    </xf>
    <xf numFmtId="1" fontId="24" fillId="0" borderId="73" xfId="1" applyNumberFormat="1" applyFont="1" applyBorder="1" applyAlignment="1">
      <alignment horizontal="center" vertical="center" wrapText="1"/>
    </xf>
    <xf numFmtId="165" fontId="24" fillId="0" borderId="14" xfId="0" applyNumberFormat="1" applyFont="1" applyBorder="1" applyAlignment="1">
      <alignment horizontal="center" vertical="center" wrapText="1"/>
    </xf>
    <xf numFmtId="165" fontId="24" fillId="0" borderId="12" xfId="1" applyNumberFormat="1" applyFont="1" applyBorder="1" applyAlignment="1">
      <alignment horizontal="center" vertical="center" wrapText="1"/>
    </xf>
    <xf numFmtId="9" fontId="24" fillId="11" borderId="53" xfId="1" applyFont="1" applyFill="1" applyBorder="1" applyAlignment="1">
      <alignment horizontal="center" vertical="center" wrapText="1"/>
    </xf>
    <xf numFmtId="0" fontId="24" fillId="9" borderId="62" xfId="0" applyFont="1" applyFill="1" applyBorder="1" applyAlignment="1">
      <alignment vertical="center" wrapText="1"/>
    </xf>
    <xf numFmtId="9" fontId="0" fillId="5" borderId="11" xfId="1" applyFont="1" applyFill="1" applyBorder="1"/>
    <xf numFmtId="165" fontId="23" fillId="4" borderId="33" xfId="0" applyNumberFormat="1" applyFont="1" applyFill="1" applyBorder="1" applyAlignment="1">
      <alignment horizontal="center" vertical="center" wrapText="1"/>
    </xf>
    <xf numFmtId="0" fontId="24" fillId="0" borderId="41" xfId="0" applyFont="1" applyBorder="1" applyAlignment="1">
      <alignment vertical="center" wrapText="1"/>
    </xf>
    <xf numFmtId="165" fontId="12" fillId="4" borderId="41" xfId="0" applyNumberFormat="1" applyFont="1" applyFill="1" applyBorder="1" applyAlignment="1">
      <alignment horizontal="center" vertical="center" wrapText="1"/>
    </xf>
    <xf numFmtId="165" fontId="10" fillId="0" borderId="38" xfId="1" applyNumberFormat="1" applyFont="1" applyBorder="1" applyAlignment="1" applyProtection="1">
      <alignment horizontal="center" vertical="center" wrapText="1"/>
      <protection locked="0"/>
    </xf>
    <xf numFmtId="165" fontId="10" fillId="0" borderId="39" xfId="1" applyNumberFormat="1" applyFont="1" applyBorder="1" applyAlignment="1" applyProtection="1">
      <alignment horizontal="center" vertical="center" wrapText="1"/>
      <protection locked="0"/>
    </xf>
    <xf numFmtId="165" fontId="24" fillId="0" borderId="63" xfId="0" applyNumberFormat="1" applyFont="1" applyBorder="1" applyAlignment="1">
      <alignment horizontal="center" vertical="center" wrapText="1"/>
    </xf>
    <xf numFmtId="0" fontId="24" fillId="0" borderId="13" xfId="0" applyFont="1" applyBorder="1" applyAlignment="1">
      <alignment horizontal="center" vertical="center" wrapText="1"/>
    </xf>
    <xf numFmtId="165" fontId="24" fillId="0" borderId="55" xfId="0" applyNumberFormat="1" applyFont="1" applyBorder="1" applyAlignment="1">
      <alignment horizontal="center" vertical="center" wrapText="1"/>
    </xf>
    <xf numFmtId="9" fontId="24" fillId="11" borderId="41" xfId="1" applyFont="1" applyFill="1" applyBorder="1" applyAlignment="1">
      <alignment horizontal="center" vertical="center" wrapText="1"/>
    </xf>
    <xf numFmtId="0" fontId="24" fillId="9" borderId="64" xfId="0" applyFont="1" applyFill="1" applyBorder="1" applyAlignment="1">
      <alignment vertical="center" wrapText="1"/>
    </xf>
    <xf numFmtId="0" fontId="13" fillId="5" borderId="21" xfId="0" applyFont="1" applyFill="1" applyBorder="1" applyAlignment="1">
      <alignment vertical="center"/>
    </xf>
    <xf numFmtId="2" fontId="14" fillId="5" borderId="22" xfId="0" applyNumberFormat="1" applyFont="1" applyFill="1" applyBorder="1" applyAlignment="1">
      <alignment horizontal="center" vertical="center"/>
    </xf>
    <xf numFmtId="2" fontId="0" fillId="5" borderId="22" xfId="0" applyNumberFormat="1" applyFill="1" applyBorder="1"/>
    <xf numFmtId="0" fontId="0" fillId="5" borderId="23" xfId="0" applyFill="1" applyBorder="1"/>
    <xf numFmtId="0" fontId="24" fillId="0" borderId="24" xfId="0" applyFont="1" applyBorder="1" applyAlignment="1">
      <alignment vertical="center" wrapText="1"/>
    </xf>
    <xf numFmtId="165" fontId="25" fillId="4" borderId="24" xfId="0" applyNumberFormat="1" applyFont="1" applyFill="1" applyBorder="1" applyAlignment="1">
      <alignment horizontal="center" vertical="center" wrapText="1"/>
    </xf>
    <xf numFmtId="165" fontId="26" fillId="0" borderId="17" xfId="0" applyNumberFormat="1" applyFont="1" applyBorder="1" applyAlignment="1" applyProtection="1">
      <alignment horizontal="center" vertical="center" wrapText="1"/>
      <protection locked="0"/>
    </xf>
    <xf numFmtId="165" fontId="26" fillId="0" borderId="19" xfId="0" applyNumberFormat="1" applyFont="1" applyBorder="1" applyAlignment="1" applyProtection="1">
      <alignment horizontal="center" vertical="center" wrapText="1"/>
      <protection locked="0"/>
    </xf>
    <xf numFmtId="165" fontId="24" fillId="0" borderId="49" xfId="0" applyNumberFormat="1" applyFont="1" applyBorder="1" applyAlignment="1">
      <alignment horizontal="center" vertical="center" wrapText="1"/>
    </xf>
    <xf numFmtId="165" fontId="24" fillId="0" borderId="18" xfId="0" applyNumberFormat="1" applyFont="1" applyBorder="1" applyAlignment="1">
      <alignment horizontal="center" vertical="center" wrapText="1"/>
    </xf>
    <xf numFmtId="0" fontId="24" fillId="10" borderId="58" xfId="0" applyFont="1" applyFill="1" applyBorder="1" applyAlignment="1">
      <alignment vertical="center" wrapText="1"/>
    </xf>
    <xf numFmtId="0" fontId="24" fillId="0" borderId="25" xfId="0" applyFont="1" applyBorder="1" applyAlignment="1">
      <alignment vertical="center" wrapText="1"/>
    </xf>
    <xf numFmtId="165" fontId="25" fillId="4" borderId="25" xfId="0" applyNumberFormat="1" applyFont="1" applyFill="1" applyBorder="1" applyAlignment="1">
      <alignment horizontal="center" vertical="center" wrapText="1"/>
    </xf>
    <xf numFmtId="165" fontId="24" fillId="0" borderId="27" xfId="0" applyNumberFormat="1" applyFont="1" applyBorder="1" applyAlignment="1">
      <alignment horizontal="center" vertical="center" wrapText="1"/>
    </xf>
    <xf numFmtId="165" fontId="24" fillId="0" borderId="11" xfId="0" applyNumberFormat="1" applyFont="1" applyBorder="1" applyAlignment="1">
      <alignment horizontal="center" vertical="center" wrapText="1"/>
    </xf>
    <xf numFmtId="165" fontId="24" fillId="0" borderId="47" xfId="1" applyNumberFormat="1" applyFont="1" applyBorder="1" applyAlignment="1">
      <alignment horizontal="center" vertical="center" wrapText="1"/>
    </xf>
    <xf numFmtId="9" fontId="24" fillId="11" borderId="33" xfId="1" applyFont="1" applyFill="1" applyBorder="1" applyAlignment="1">
      <alignment horizontal="center" vertical="center" wrapText="1"/>
    </xf>
    <xf numFmtId="0" fontId="24" fillId="10" borderId="59" xfId="0" applyFont="1" applyFill="1" applyBorder="1" applyAlignment="1">
      <alignment vertical="center" wrapText="1"/>
    </xf>
    <xf numFmtId="0" fontId="24" fillId="0" borderId="26" xfId="0" applyFont="1" applyBorder="1" applyAlignment="1">
      <alignment vertical="center" wrapText="1"/>
    </xf>
    <xf numFmtId="165" fontId="25" fillId="4" borderId="26" xfId="0" applyNumberFormat="1" applyFont="1" applyFill="1" applyBorder="1" applyAlignment="1">
      <alignment horizontal="center" vertical="center" wrapText="1"/>
    </xf>
    <xf numFmtId="165" fontId="24" fillId="0" borderId="28" xfId="0" applyNumberFormat="1" applyFont="1" applyBorder="1" applyAlignment="1">
      <alignment horizontal="center" vertical="center" wrapText="1"/>
    </xf>
    <xf numFmtId="165" fontId="24" fillId="0" borderId="22" xfId="0" applyNumberFormat="1" applyFont="1" applyBorder="1" applyAlignment="1">
      <alignment horizontal="center" vertical="center" wrapText="1"/>
    </xf>
    <xf numFmtId="0" fontId="24" fillId="10" borderId="60" xfId="0" applyFont="1" applyFill="1" applyBorder="1" applyAlignment="1">
      <alignment vertical="center" wrapText="1"/>
    </xf>
    <xf numFmtId="0" fontId="3" fillId="3" borderId="1" xfId="0" applyFont="1" applyFill="1" applyBorder="1" applyAlignment="1">
      <alignment vertical="center" wrapText="1"/>
    </xf>
    <xf numFmtId="0" fontId="3" fillId="3" borderId="0" xfId="0" applyFont="1" applyFill="1" applyAlignment="1">
      <alignment vertical="center" wrapText="1"/>
    </xf>
    <xf numFmtId="0" fontId="3" fillId="3" borderId="8" xfId="0" applyFont="1" applyFill="1" applyBorder="1" applyAlignment="1">
      <alignment vertical="center" wrapText="1"/>
    </xf>
    <xf numFmtId="0" fontId="24" fillId="0" borderId="32" xfId="0" applyFont="1" applyBorder="1" applyAlignment="1">
      <alignment vertical="center" wrapText="1"/>
    </xf>
    <xf numFmtId="0" fontId="24" fillId="0" borderId="19" xfId="0" applyFont="1" applyBorder="1" applyAlignment="1">
      <alignment vertical="center" wrapText="1"/>
    </xf>
    <xf numFmtId="0" fontId="26" fillId="0" borderId="17" xfId="0" applyFont="1" applyBorder="1" applyAlignment="1" applyProtection="1">
      <alignment horizontal="center" vertical="center" wrapText="1"/>
      <protection locked="0"/>
    </xf>
    <xf numFmtId="0" fontId="26" fillId="0" borderId="19" xfId="0" applyFont="1" applyBorder="1" applyAlignment="1" applyProtection="1">
      <alignment horizontal="center" vertical="center" wrapText="1"/>
      <protection locked="0"/>
    </xf>
    <xf numFmtId="0" fontId="24" fillId="0" borderId="49" xfId="0" applyFont="1" applyBorder="1" applyAlignment="1">
      <alignment horizontal="center" vertical="center" wrapText="1"/>
    </xf>
    <xf numFmtId="165" fontId="24" fillId="0" borderId="46" xfId="0" applyNumberFormat="1" applyFont="1" applyBorder="1" applyAlignment="1">
      <alignment horizontal="center" vertical="center" wrapText="1"/>
    </xf>
    <xf numFmtId="0" fontId="27" fillId="22" borderId="58" xfId="0" applyFont="1" applyFill="1" applyBorder="1" applyAlignment="1">
      <alignment vertical="center" wrapText="1"/>
    </xf>
    <xf numFmtId="0" fontId="24" fillId="0" borderId="33" xfId="0" applyFont="1" applyBorder="1" applyAlignment="1">
      <alignment vertical="center" wrapText="1"/>
    </xf>
    <xf numFmtId="165" fontId="25" fillId="4" borderId="33" xfId="0" applyNumberFormat="1" applyFont="1" applyFill="1" applyBorder="1" applyAlignment="1">
      <alignment horizontal="center" vertical="center" wrapText="1"/>
    </xf>
    <xf numFmtId="0" fontId="24" fillId="0" borderId="20" xfId="0" applyFont="1" applyBorder="1" applyAlignment="1">
      <alignment vertical="center" wrapText="1"/>
    </xf>
    <xf numFmtId="0" fontId="24" fillId="0" borderId="27" xfId="0" applyFont="1" applyBorder="1" applyAlignment="1">
      <alignment horizontal="center" vertical="center" wrapText="1"/>
    </xf>
    <xf numFmtId="165" fontId="24" fillId="0" borderId="47" xfId="0" applyNumberFormat="1" applyFont="1" applyBorder="1" applyAlignment="1">
      <alignment horizontal="center" vertical="center" wrapText="1"/>
    </xf>
    <xf numFmtId="0" fontId="27" fillId="22" borderId="59" xfId="0" applyFont="1" applyFill="1" applyBorder="1" applyAlignment="1">
      <alignment vertical="center" wrapText="1"/>
    </xf>
    <xf numFmtId="165" fontId="25" fillId="4" borderId="41" xfId="0" applyNumberFormat="1" applyFont="1" applyFill="1" applyBorder="1" applyAlignment="1">
      <alignment horizontal="center" vertical="center" wrapText="1"/>
    </xf>
    <xf numFmtId="0" fontId="24" fillId="0" borderId="39" xfId="0" applyFont="1" applyBorder="1" applyAlignment="1">
      <alignment vertical="center" wrapText="1"/>
    </xf>
    <xf numFmtId="165" fontId="25" fillId="4" borderId="37" xfId="0" applyNumberFormat="1" applyFont="1" applyFill="1" applyBorder="1" applyAlignment="1">
      <alignment horizontal="center" vertical="center" wrapText="1"/>
    </xf>
    <xf numFmtId="1" fontId="26" fillId="0" borderId="21" xfId="0" applyNumberFormat="1" applyFont="1" applyBorder="1" applyAlignment="1" applyProtection="1">
      <alignment horizontal="center" vertical="center" wrapText="1"/>
      <protection locked="0"/>
    </xf>
    <xf numFmtId="0" fontId="24" fillId="0" borderId="28" xfId="0" applyFont="1" applyBorder="1" applyAlignment="1">
      <alignment horizontal="center" vertical="center" wrapText="1"/>
    </xf>
    <xf numFmtId="165" fontId="24" fillId="0" borderId="48" xfId="0" applyNumberFormat="1" applyFont="1" applyBorder="1" applyAlignment="1">
      <alignment horizontal="center" vertical="center" wrapText="1"/>
    </xf>
    <xf numFmtId="0" fontId="27" fillId="22" borderId="60" xfId="0" applyFont="1" applyFill="1" applyBorder="1" applyAlignment="1">
      <alignment vertical="center" wrapText="1"/>
    </xf>
    <xf numFmtId="0" fontId="3" fillId="3" borderId="42" xfId="0" applyFont="1" applyFill="1" applyBorder="1" applyAlignment="1">
      <alignment vertical="center" wrapText="1"/>
    </xf>
    <xf numFmtId="0" fontId="3" fillId="3" borderId="44" xfId="0" applyFont="1" applyFill="1" applyBorder="1" applyAlignment="1">
      <alignment vertical="center" wrapText="1"/>
    </xf>
    <xf numFmtId="0" fontId="3" fillId="3" borderId="10" xfId="0" applyFont="1" applyFill="1" applyBorder="1" applyAlignment="1">
      <alignment vertical="center" wrapText="1"/>
    </xf>
    <xf numFmtId="165" fontId="24" fillId="0" borderId="17" xfId="0" applyNumberFormat="1" applyFont="1" applyBorder="1" applyAlignment="1">
      <alignment horizontal="center" vertical="center" wrapText="1"/>
    </xf>
    <xf numFmtId="0" fontId="24" fillId="8" borderId="58" xfId="0" applyFont="1" applyFill="1" applyBorder="1" applyAlignment="1">
      <alignment vertical="center" wrapText="1"/>
    </xf>
    <xf numFmtId="0" fontId="24" fillId="0" borderId="15" xfId="0" applyFont="1" applyBorder="1" applyAlignment="1">
      <alignment horizontal="center" vertical="center" wrapText="1"/>
    </xf>
    <xf numFmtId="0" fontId="24" fillId="8" borderId="59" xfId="0" applyFont="1" applyFill="1" applyBorder="1" applyAlignment="1">
      <alignment vertical="center" wrapText="1"/>
    </xf>
    <xf numFmtId="0" fontId="24" fillId="0" borderId="34" xfId="0" applyFont="1" applyBorder="1" applyAlignment="1">
      <alignment vertical="center" wrapText="1"/>
    </xf>
    <xf numFmtId="0" fontId="24" fillId="12" borderId="34" xfId="0" applyFont="1" applyFill="1" applyBorder="1" applyAlignment="1">
      <alignment vertical="center" wrapText="1"/>
    </xf>
    <xf numFmtId="0" fontId="24" fillId="0" borderId="21" xfId="0" applyFont="1" applyBorder="1" applyAlignment="1">
      <alignment horizontal="center" vertical="center" wrapText="1"/>
    </xf>
    <xf numFmtId="0" fontId="24" fillId="8" borderId="60" xfId="0" applyFont="1" applyFill="1" applyBorder="1" applyAlignment="1">
      <alignment vertical="center" wrapText="1"/>
    </xf>
    <xf numFmtId="0" fontId="3" fillId="3" borderId="70" xfId="0" applyFont="1" applyFill="1" applyBorder="1" applyAlignment="1">
      <alignment vertical="center" wrapText="1"/>
    </xf>
    <xf numFmtId="0" fontId="3" fillId="3" borderId="68" xfId="0" applyFont="1" applyFill="1" applyBorder="1" applyAlignment="1">
      <alignment vertical="center" wrapText="1"/>
    </xf>
    <xf numFmtId="0" fontId="3" fillId="3" borderId="76" xfId="0" applyFont="1" applyFill="1" applyBorder="1" applyAlignment="1">
      <alignment vertical="center" wrapText="1"/>
    </xf>
    <xf numFmtId="9" fontId="5" fillId="11" borderId="1" xfId="1" applyFont="1" applyFill="1" applyBorder="1" applyAlignment="1">
      <alignment horizontal="center" vertical="center" wrapText="1"/>
    </xf>
    <xf numFmtId="0" fontId="24" fillId="0" borderId="2" xfId="0" applyFont="1" applyBorder="1" applyAlignment="1">
      <alignment vertical="center" wrapText="1"/>
    </xf>
    <xf numFmtId="165" fontId="25" fillId="4" borderId="2" xfId="0" applyNumberFormat="1" applyFont="1" applyFill="1" applyBorder="1" applyAlignment="1">
      <alignment horizontal="center" vertical="center" wrapText="1"/>
    </xf>
    <xf numFmtId="0" fontId="24" fillId="12" borderId="2" xfId="0" applyFont="1" applyFill="1" applyBorder="1" applyAlignment="1">
      <alignment vertical="center" wrapText="1"/>
    </xf>
    <xf numFmtId="165" fontId="25" fillId="4" borderId="1" xfId="0" applyNumberFormat="1" applyFont="1" applyFill="1" applyBorder="1" applyAlignment="1">
      <alignment horizontal="center" vertical="center" wrapText="1"/>
    </xf>
    <xf numFmtId="165" fontId="22" fillId="12" borderId="50" xfId="0" applyNumberFormat="1" applyFont="1" applyFill="1" applyBorder="1" applyAlignment="1">
      <alignment horizontal="center" vertical="center" wrapText="1"/>
    </xf>
    <xf numFmtId="165" fontId="22" fillId="12" borderId="35" xfId="0" applyNumberFormat="1" applyFont="1" applyFill="1" applyBorder="1" applyAlignment="1">
      <alignment horizontal="center" vertical="center" wrapText="1"/>
    </xf>
    <xf numFmtId="165" fontId="24" fillId="12" borderId="52" xfId="0" applyNumberFormat="1" applyFont="1" applyFill="1" applyBorder="1" applyAlignment="1">
      <alignment horizontal="center" vertical="center" wrapText="1"/>
    </xf>
    <xf numFmtId="9" fontId="24" fillId="11" borderId="1" xfId="1" applyFont="1" applyFill="1" applyBorder="1" applyAlignment="1">
      <alignment horizontal="center" vertical="center" wrapText="1"/>
    </xf>
    <xf numFmtId="9" fontId="22" fillId="11" borderId="4" xfId="1" applyFont="1" applyFill="1" applyBorder="1" applyAlignment="1">
      <alignment horizontal="center" vertical="center" wrapText="1"/>
    </xf>
    <xf numFmtId="2" fontId="23" fillId="11" borderId="1" xfId="1" applyNumberFormat="1" applyFont="1" applyFill="1" applyBorder="1" applyAlignment="1">
      <alignment horizontal="center" vertical="center" wrapText="1"/>
    </xf>
    <xf numFmtId="0" fontId="24" fillId="4" borderId="51" xfId="0" applyFont="1" applyFill="1" applyBorder="1" applyAlignment="1">
      <alignment vertical="center" wrapText="1"/>
    </xf>
    <xf numFmtId="0" fontId="41" fillId="0" borderId="1" xfId="0" applyFont="1" applyBorder="1" applyAlignment="1" applyProtection="1">
      <alignment vertical="center" wrapText="1"/>
      <protection locked="0"/>
    </xf>
    <xf numFmtId="165" fontId="26" fillId="0" borderId="50" xfId="0" applyNumberFormat="1" applyFont="1" applyBorder="1" applyAlignment="1" applyProtection="1">
      <alignment horizontal="center" vertical="center" wrapText="1"/>
      <protection locked="0"/>
    </xf>
    <xf numFmtId="165" fontId="26" fillId="0" borderId="36" xfId="0" applyNumberFormat="1" applyFont="1" applyBorder="1" applyAlignment="1" applyProtection="1">
      <alignment horizontal="center" vertical="center" wrapText="1"/>
      <protection locked="0"/>
    </xf>
    <xf numFmtId="0" fontId="22" fillId="0" borderId="68" xfId="0" applyFont="1" applyBorder="1" applyAlignment="1">
      <alignment horizontal="center" vertical="center" wrapText="1"/>
    </xf>
    <xf numFmtId="165" fontId="24" fillId="0" borderId="68" xfId="0" applyNumberFormat="1" applyFont="1" applyBorder="1" applyAlignment="1">
      <alignment horizontal="center" vertical="center" wrapText="1"/>
    </xf>
    <xf numFmtId="165" fontId="24" fillId="0" borderId="76" xfId="0" applyNumberFormat="1" applyFont="1" applyBorder="1" applyAlignment="1">
      <alignment horizontal="center" vertical="center" wrapText="1"/>
    </xf>
    <xf numFmtId="0" fontId="22" fillId="12" borderId="50" xfId="0" applyFont="1" applyFill="1" applyBorder="1" applyAlignment="1">
      <alignment horizontal="center" vertical="center" wrapText="1"/>
    </xf>
    <xf numFmtId="165" fontId="24" fillId="12" borderId="35" xfId="0" applyNumberFormat="1" applyFont="1" applyFill="1" applyBorder="1" applyAlignment="1">
      <alignment horizontal="center" vertical="center" wrapText="1"/>
    </xf>
    <xf numFmtId="0" fontId="22" fillId="0" borderId="2" xfId="0" applyFont="1" applyBorder="1" applyAlignment="1">
      <alignment vertical="center" wrapText="1"/>
    </xf>
    <xf numFmtId="0" fontId="22" fillId="0" borderId="50" xfId="0" applyFont="1" applyBorder="1" applyAlignment="1">
      <alignment horizontal="center" vertical="center" wrapText="1"/>
    </xf>
    <xf numFmtId="165" fontId="24" fillId="0" borderId="35" xfId="0" applyNumberFormat="1" applyFont="1" applyBorder="1" applyAlignment="1">
      <alignment horizontal="center" vertical="center" wrapText="1"/>
    </xf>
    <xf numFmtId="165" fontId="24" fillId="0" borderId="52" xfId="0" applyNumberFormat="1" applyFont="1" applyBorder="1" applyAlignment="1">
      <alignment horizontal="center" vertical="center" wrapText="1"/>
    </xf>
    <xf numFmtId="0" fontId="22" fillId="4" borderId="51" xfId="0" applyFont="1" applyFill="1" applyBorder="1" applyAlignment="1">
      <alignment vertical="center" wrapText="1"/>
    </xf>
    <xf numFmtId="0" fontId="6" fillId="3" borderId="1" xfId="0" applyFont="1" applyFill="1" applyBorder="1" applyAlignment="1">
      <alignment vertical="center" wrapText="1"/>
    </xf>
    <xf numFmtId="0" fontId="6" fillId="3" borderId="16" xfId="0" applyFont="1" applyFill="1" applyBorder="1" applyAlignment="1">
      <alignment vertical="center" wrapText="1"/>
    </xf>
    <xf numFmtId="0" fontId="6" fillId="3" borderId="6" xfId="0" applyFont="1" applyFill="1" applyBorder="1" applyAlignment="1">
      <alignment vertical="center" wrapText="1"/>
    </xf>
    <xf numFmtId="0" fontId="31" fillId="3" borderId="1" xfId="0" applyFont="1" applyFill="1" applyBorder="1" applyAlignment="1">
      <alignment vertical="center" wrapText="1"/>
    </xf>
    <xf numFmtId="0" fontId="6" fillId="3" borderId="7" xfId="0" applyFont="1" applyFill="1" applyBorder="1" applyAlignment="1">
      <alignment vertical="center" wrapText="1"/>
    </xf>
    <xf numFmtId="0" fontId="24" fillId="0" borderId="58" xfId="0" applyFont="1" applyBorder="1" applyAlignment="1">
      <alignment vertical="center" wrapText="1"/>
    </xf>
    <xf numFmtId="4" fontId="24" fillId="0" borderId="17" xfId="0" applyNumberFormat="1" applyFont="1" applyBorder="1" applyAlignment="1">
      <alignment horizontal="center" vertical="center" wrapText="1"/>
    </xf>
    <xf numFmtId="4" fontId="24" fillId="0" borderId="18" xfId="1" applyNumberFormat="1" applyFont="1" applyBorder="1" applyAlignment="1">
      <alignment horizontal="center" vertical="center" wrapText="1"/>
    </xf>
    <xf numFmtId="4" fontId="24" fillId="0" borderId="46" xfId="0" applyNumberFormat="1" applyFont="1" applyBorder="1" applyAlignment="1">
      <alignment horizontal="center" vertical="center" wrapText="1"/>
    </xf>
    <xf numFmtId="0" fontId="24" fillId="22" borderId="58" xfId="0" applyFont="1" applyFill="1" applyBorder="1" applyAlignment="1">
      <alignment vertical="center" wrapText="1"/>
    </xf>
    <xf numFmtId="0" fontId="24" fillId="0" borderId="59" xfId="0" applyFont="1" applyBorder="1" applyAlignment="1">
      <alignment vertical="center" wrapText="1"/>
    </xf>
    <xf numFmtId="0" fontId="24" fillId="12" borderId="15" xfId="0" applyFont="1" applyFill="1" applyBorder="1" applyAlignment="1">
      <alignment horizontal="center" vertical="center" wrapText="1"/>
    </xf>
    <xf numFmtId="0" fontId="24" fillId="12" borderId="11" xfId="0" applyFont="1" applyFill="1" applyBorder="1" applyAlignment="1">
      <alignment horizontal="center" vertical="center" wrapText="1"/>
    </xf>
    <xf numFmtId="4" fontId="24" fillId="0" borderId="47" xfId="0" applyNumberFormat="1" applyFont="1" applyBorder="1" applyAlignment="1">
      <alignment horizontal="center" vertical="center" wrapText="1"/>
    </xf>
    <xf numFmtId="0" fontId="24" fillId="22" borderId="59" xfId="0" applyFont="1" applyFill="1" applyBorder="1" applyAlignment="1">
      <alignment vertical="center" wrapText="1"/>
    </xf>
    <xf numFmtId="0" fontId="6" fillId="3" borderId="2" xfId="0" applyFont="1" applyFill="1" applyBorder="1" applyAlignment="1">
      <alignment vertical="center" wrapText="1"/>
    </xf>
    <xf numFmtId="0" fontId="6" fillId="3" borderId="3" xfId="0" applyFont="1" applyFill="1" applyBorder="1" applyAlignment="1">
      <alignment vertical="center" wrapText="1"/>
    </xf>
    <xf numFmtId="0" fontId="31" fillId="3" borderId="5" xfId="0" applyFont="1" applyFill="1" applyBorder="1" applyAlignment="1">
      <alignment vertical="center" wrapText="1"/>
    </xf>
    <xf numFmtId="0" fontId="6" fillId="3" borderId="45" xfId="0" applyFont="1" applyFill="1" applyBorder="1" applyAlignment="1">
      <alignment vertical="center" wrapText="1"/>
    </xf>
    <xf numFmtId="0" fontId="24" fillId="0" borderId="66" xfId="0" applyFont="1" applyBorder="1" applyAlignment="1">
      <alignment vertical="center" wrapText="1"/>
    </xf>
    <xf numFmtId="165" fontId="25" fillId="4" borderId="53" xfId="0" applyNumberFormat="1" applyFont="1" applyFill="1" applyBorder="1" applyAlignment="1">
      <alignment horizontal="center" vertical="center" wrapText="1"/>
    </xf>
    <xf numFmtId="165" fontId="26" fillId="4" borderId="61" xfId="0" applyNumberFormat="1" applyFont="1" applyFill="1" applyBorder="1" applyAlignment="1">
      <alignment horizontal="center" vertical="center" wrapText="1"/>
    </xf>
    <xf numFmtId="0" fontId="24" fillId="0" borderId="54" xfId="0" applyFont="1" applyBorder="1" applyAlignment="1">
      <alignment horizontal="center" vertical="center" wrapText="1"/>
    </xf>
    <xf numFmtId="0" fontId="24" fillId="0" borderId="14" xfId="0" applyFont="1" applyBorder="1" applyAlignment="1">
      <alignment horizontal="center" vertical="center" wrapText="1"/>
    </xf>
    <xf numFmtId="167" fontId="24" fillId="0" borderId="12" xfId="0" applyNumberFormat="1" applyFont="1" applyBorder="1" applyAlignment="1">
      <alignment horizontal="center" vertical="center" wrapText="1"/>
    </xf>
    <xf numFmtId="0" fontId="24" fillId="5" borderId="27" xfId="0" applyFont="1" applyFill="1" applyBorder="1" applyAlignment="1">
      <alignment vertical="center" wrapText="1"/>
    </xf>
    <xf numFmtId="0" fontId="24" fillId="0" borderId="37" xfId="0" applyFont="1" applyBorder="1" applyAlignment="1">
      <alignment vertical="center" wrapText="1"/>
    </xf>
    <xf numFmtId="165" fontId="26" fillId="4" borderId="40" xfId="0" applyNumberFormat="1" applyFont="1" applyFill="1" applyBorder="1" applyAlignment="1">
      <alignment horizontal="center" vertical="center" wrapText="1"/>
    </xf>
    <xf numFmtId="0" fontId="24" fillId="0" borderId="38" xfId="0" applyFont="1" applyBorder="1" applyAlignment="1">
      <alignment horizontal="center" vertical="center" wrapText="1"/>
    </xf>
    <xf numFmtId="167" fontId="24" fillId="0" borderId="55" xfId="0" applyNumberFormat="1" applyFont="1" applyBorder="1" applyAlignment="1">
      <alignment horizontal="center" vertical="center" wrapText="1"/>
    </xf>
    <xf numFmtId="0" fontId="3" fillId="3" borderId="2" xfId="0" applyFont="1" applyFill="1" applyBorder="1" applyAlignment="1">
      <alignment vertical="center" wrapText="1"/>
    </xf>
    <xf numFmtId="0" fontId="3" fillId="3" borderId="3" xfId="0" applyFont="1" applyFill="1" applyBorder="1" applyAlignment="1">
      <alignment vertical="center" wrapText="1"/>
    </xf>
    <xf numFmtId="0" fontId="3" fillId="3" borderId="45" xfId="0" applyFont="1" applyFill="1" applyBorder="1" applyAlignment="1">
      <alignment vertical="center" wrapText="1"/>
    </xf>
    <xf numFmtId="165" fontId="25" fillId="4" borderId="49" xfId="0" applyNumberFormat="1" applyFont="1" applyFill="1" applyBorder="1" applyAlignment="1">
      <alignment horizontal="center" vertical="center" wrapText="1"/>
    </xf>
    <xf numFmtId="1" fontId="24" fillId="0" borderId="49" xfId="1" applyNumberFormat="1" applyFont="1" applyBorder="1" applyAlignment="1">
      <alignment horizontal="center" vertical="center" wrapText="1"/>
    </xf>
    <xf numFmtId="166" fontId="24" fillId="0" borderId="46" xfId="0" applyNumberFormat="1" applyFont="1" applyBorder="1" applyAlignment="1">
      <alignment horizontal="center" vertical="center" wrapText="1"/>
    </xf>
    <xf numFmtId="165" fontId="25" fillId="4" borderId="28" xfId="0" applyNumberFormat="1" applyFont="1" applyFill="1" applyBorder="1" applyAlignment="1">
      <alignment horizontal="center" vertical="center" wrapText="1"/>
    </xf>
    <xf numFmtId="1" fontId="24" fillId="0" borderId="77" xfId="1" applyNumberFormat="1" applyFont="1" applyBorder="1" applyAlignment="1">
      <alignment horizontal="center" vertical="center" wrapText="1"/>
    </xf>
    <xf numFmtId="165" fontId="24" fillId="0" borderId="67" xfId="0" applyNumberFormat="1" applyFont="1" applyBorder="1" applyAlignment="1">
      <alignment horizontal="center" vertical="center" wrapText="1"/>
    </xf>
    <xf numFmtId="166" fontId="24" fillId="0" borderId="65" xfId="0" applyNumberFormat="1" applyFont="1" applyBorder="1" applyAlignment="1">
      <alignment horizontal="center" vertical="center" wrapText="1"/>
    </xf>
    <xf numFmtId="0" fontId="0" fillId="2" borderId="5" xfId="0" applyFill="1" applyBorder="1" applyAlignment="1">
      <alignment vertical="center" wrapText="1"/>
    </xf>
    <xf numFmtId="0" fontId="0" fillId="2" borderId="43" xfId="0" applyFill="1" applyBorder="1" applyAlignment="1">
      <alignment vertical="center" wrapText="1"/>
    </xf>
    <xf numFmtId="0" fontId="0" fillId="2" borderId="0" xfId="0" applyFill="1" applyAlignment="1">
      <alignment vertical="center" wrapText="1"/>
    </xf>
    <xf numFmtId="0" fontId="0" fillId="2" borderId="8" xfId="0" applyFill="1" applyBorder="1" applyAlignment="1">
      <alignment vertical="center" wrapText="1"/>
    </xf>
    <xf numFmtId="0" fontId="0" fillId="2" borderId="7" xfId="0" applyFill="1" applyBorder="1" applyAlignment="1">
      <alignment vertical="center" wrapText="1"/>
    </xf>
    <xf numFmtId="0" fontId="4" fillId="3" borderId="1" xfId="0" applyFont="1" applyFill="1" applyBorder="1" applyAlignment="1">
      <alignment vertical="center" wrapText="1"/>
    </xf>
    <xf numFmtId="0" fontId="4" fillId="3" borderId="2" xfId="0" applyFont="1" applyFill="1" applyBorder="1" applyAlignment="1">
      <alignment vertical="center" wrapText="1"/>
    </xf>
    <xf numFmtId="0" fontId="4" fillId="3" borderId="3" xfId="0" applyFont="1" applyFill="1" applyBorder="1" applyAlignment="1">
      <alignment vertical="center" wrapText="1"/>
    </xf>
    <xf numFmtId="0" fontId="27" fillId="0" borderId="32" xfId="0" applyFont="1" applyBorder="1" applyAlignment="1">
      <alignment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22" xfId="0" applyFont="1" applyBorder="1" applyAlignment="1">
      <alignment horizontal="center" vertical="center" wrapText="1"/>
    </xf>
    <xf numFmtId="166" fontId="24" fillId="0" borderId="23" xfId="0" applyNumberFormat="1" applyFont="1" applyBorder="1" applyAlignment="1">
      <alignment horizontal="center" vertical="center" wrapText="1"/>
    </xf>
    <xf numFmtId="0" fontId="0" fillId="3" borderId="1" xfId="0" applyFill="1" applyBorder="1" applyAlignment="1">
      <alignment vertical="center" wrapText="1"/>
    </xf>
    <xf numFmtId="0" fontId="0" fillId="3" borderId="3" xfId="0" applyFill="1" applyBorder="1" applyAlignment="1">
      <alignment vertical="center" wrapText="1"/>
    </xf>
    <xf numFmtId="0" fontId="0" fillId="3" borderId="5" xfId="0" applyFill="1" applyBorder="1" applyAlignment="1">
      <alignment vertical="center" wrapText="1"/>
    </xf>
    <xf numFmtId="0" fontId="0" fillId="3" borderId="0" xfId="0" applyFill="1" applyAlignment="1">
      <alignment vertical="center" wrapText="1"/>
    </xf>
    <xf numFmtId="0" fontId="22" fillId="0" borderId="0" xfId="0" applyFont="1" applyAlignment="1">
      <alignment wrapText="1"/>
    </xf>
    <xf numFmtId="165" fontId="23" fillId="4" borderId="10" xfId="0" applyNumberFormat="1" applyFont="1" applyFill="1" applyBorder="1" applyAlignment="1">
      <alignment horizontal="center" vertical="center" wrapText="1"/>
    </xf>
    <xf numFmtId="0" fontId="22" fillId="0" borderId="0" xfId="0" applyFont="1" applyAlignment="1">
      <alignment vertical="center"/>
    </xf>
    <xf numFmtId="165" fontId="25" fillId="4" borderId="10" xfId="0" applyNumberFormat="1" applyFont="1" applyFill="1" applyBorder="1" applyAlignment="1">
      <alignment horizontal="center" vertical="center" wrapText="1"/>
    </xf>
    <xf numFmtId="0" fontId="24" fillId="12" borderId="45" xfId="0" applyFont="1" applyFill="1" applyBorder="1" applyAlignment="1">
      <alignment vertical="center" wrapText="1"/>
    </xf>
    <xf numFmtId="165" fontId="25" fillId="12" borderId="42" xfId="0" applyNumberFormat="1" applyFont="1" applyFill="1" applyBorder="1" applyAlignment="1">
      <alignment horizontal="center" vertical="center" wrapText="1"/>
    </xf>
    <xf numFmtId="2" fontId="24" fillId="0" borderId="50" xfId="0" applyNumberFormat="1" applyFont="1" applyBorder="1" applyAlignment="1">
      <alignment horizontal="center" vertical="center" wrapText="1"/>
    </xf>
    <xf numFmtId="0" fontId="24" fillId="12" borderId="35" xfId="0" applyFont="1" applyFill="1" applyBorder="1" applyAlignment="1">
      <alignment horizontal="center" vertical="center" wrapText="1"/>
    </xf>
    <xf numFmtId="0" fontId="24" fillId="0" borderId="36" xfId="0" applyFont="1" applyBorder="1" applyAlignment="1">
      <alignment horizontal="center" vertical="center" wrapText="1"/>
    </xf>
    <xf numFmtId="0" fontId="5" fillId="12" borderId="45" xfId="0" applyFont="1" applyFill="1" applyBorder="1" applyAlignment="1">
      <alignment vertical="center" wrapText="1"/>
    </xf>
    <xf numFmtId="0" fontId="3" fillId="3" borderId="4" xfId="0" applyFont="1" applyFill="1" applyBorder="1" applyAlignment="1">
      <alignment vertical="center" wrapText="1"/>
    </xf>
    <xf numFmtId="0" fontId="24" fillId="12" borderId="32" xfId="0" applyFont="1" applyFill="1" applyBorder="1" applyAlignment="1">
      <alignment vertical="center" wrapText="1"/>
    </xf>
    <xf numFmtId="165" fontId="25" fillId="13" borderId="32" xfId="0" applyNumberFormat="1" applyFont="1" applyFill="1" applyBorder="1" applyAlignment="1">
      <alignment horizontal="center" vertical="center" wrapText="1"/>
    </xf>
    <xf numFmtId="0" fontId="24" fillId="12" borderId="29" xfId="0" applyFont="1" applyFill="1" applyBorder="1" applyAlignment="1">
      <alignment vertical="center" wrapText="1"/>
    </xf>
    <xf numFmtId="0" fontId="24" fillId="19" borderId="58" xfId="0" applyFont="1" applyFill="1" applyBorder="1" applyAlignment="1">
      <alignment vertical="center" wrapText="1"/>
    </xf>
    <xf numFmtId="0" fontId="24" fillId="12" borderId="33" xfId="0" applyFont="1" applyFill="1" applyBorder="1" applyAlignment="1">
      <alignment vertical="center" wrapText="1"/>
    </xf>
    <xf numFmtId="165" fontId="25" fillId="13" borderId="33" xfId="0" applyNumberFormat="1" applyFont="1" applyFill="1" applyBorder="1" applyAlignment="1">
      <alignment horizontal="center" vertical="center" wrapText="1"/>
    </xf>
    <xf numFmtId="0" fontId="24" fillId="0" borderId="30" xfId="0" applyFont="1" applyBorder="1" applyAlignment="1">
      <alignment vertical="center" wrapText="1"/>
    </xf>
    <xf numFmtId="0" fontId="24" fillId="19" borderId="59" xfId="0" applyFont="1" applyFill="1" applyBorder="1" applyAlignment="1">
      <alignment vertical="center" wrapText="1"/>
    </xf>
    <xf numFmtId="2" fontId="24" fillId="12" borderId="11" xfId="0" applyNumberFormat="1" applyFont="1" applyFill="1" applyBorder="1" applyAlignment="1">
      <alignment horizontal="center" vertical="center" wrapText="1"/>
    </xf>
    <xf numFmtId="1" fontId="26" fillId="0" borderId="15" xfId="0" applyNumberFormat="1" applyFont="1" applyBorder="1" applyAlignment="1" applyProtection="1">
      <alignment horizontal="center" vertical="center" wrapText="1"/>
      <protection locked="0"/>
    </xf>
    <xf numFmtId="0" fontId="24" fillId="0" borderId="11" xfId="0" applyFont="1" applyBorder="1" applyAlignment="1">
      <alignment horizontal="center" vertical="center" wrapText="1"/>
    </xf>
    <xf numFmtId="4" fontId="24" fillId="0" borderId="48" xfId="0" applyNumberFormat="1" applyFont="1" applyBorder="1" applyAlignment="1">
      <alignment horizontal="center" vertical="center" wrapText="1"/>
    </xf>
    <xf numFmtId="0" fontId="24" fillId="19" borderId="60" xfId="0" applyFont="1" applyFill="1" applyBorder="1" applyAlignment="1">
      <alignment vertical="center" wrapText="1"/>
    </xf>
    <xf numFmtId="0" fontId="2" fillId="2" borderId="1" xfId="0" applyFont="1" applyFill="1" applyBorder="1" applyAlignment="1">
      <alignment vertical="center" wrapText="1"/>
    </xf>
    <xf numFmtId="0" fontId="2" fillId="2" borderId="0" xfId="0" applyFont="1" applyFill="1" applyAlignment="1">
      <alignment vertical="center" wrapText="1"/>
    </xf>
    <xf numFmtId="0" fontId="2" fillId="2" borderId="7" xfId="0" applyFont="1" applyFill="1" applyBorder="1" applyAlignment="1">
      <alignment vertical="center" wrapText="1"/>
    </xf>
    <xf numFmtId="4" fontId="24" fillId="12" borderId="46" xfId="0" applyNumberFormat="1" applyFont="1" applyFill="1" applyBorder="1" applyAlignment="1">
      <alignment horizontal="center" vertical="center" wrapText="1"/>
    </xf>
    <xf numFmtId="1" fontId="24" fillId="0" borderId="27" xfId="1" applyNumberFormat="1" applyFont="1" applyBorder="1" applyAlignment="1">
      <alignment horizontal="center" vertical="center" wrapText="1"/>
    </xf>
    <xf numFmtId="4" fontId="24" fillId="12" borderId="47" xfId="0" applyNumberFormat="1" applyFont="1" applyFill="1" applyBorder="1" applyAlignment="1">
      <alignment horizontal="center" vertical="center" wrapText="1"/>
    </xf>
    <xf numFmtId="0" fontId="22" fillId="0" borderId="33" xfId="0" applyFont="1" applyBorder="1" applyAlignment="1">
      <alignment vertical="center" wrapText="1"/>
    </xf>
    <xf numFmtId="165" fontId="23" fillId="4" borderId="25" xfId="0" applyNumberFormat="1" applyFont="1" applyFill="1" applyBorder="1" applyAlignment="1">
      <alignment horizontal="center" vertical="center" wrapText="1"/>
    </xf>
    <xf numFmtId="165" fontId="24" fillId="12" borderId="27" xfId="0" applyNumberFormat="1" applyFont="1" applyFill="1" applyBorder="1" applyAlignment="1">
      <alignment horizontal="center" vertical="center" wrapText="1"/>
    </xf>
    <xf numFmtId="165" fontId="24" fillId="12" borderId="11" xfId="0" applyNumberFormat="1" applyFont="1" applyFill="1" applyBorder="1" applyAlignment="1">
      <alignment horizontal="center" vertical="center" wrapText="1"/>
    </xf>
    <xf numFmtId="0" fontId="22" fillId="0" borderId="34" xfId="0" applyFont="1" applyBorder="1" applyAlignment="1">
      <alignment vertical="center" wrapText="1"/>
    </xf>
    <xf numFmtId="165" fontId="23" fillId="4" borderId="26" xfId="0" applyNumberFormat="1" applyFont="1" applyFill="1" applyBorder="1" applyAlignment="1">
      <alignment horizontal="center" vertical="center" wrapText="1"/>
    </xf>
    <xf numFmtId="165" fontId="24" fillId="12" borderId="28" xfId="0" applyNumberFormat="1" applyFont="1" applyFill="1" applyBorder="1" applyAlignment="1">
      <alignment horizontal="center" vertical="center" wrapText="1"/>
    </xf>
    <xf numFmtId="165" fontId="24" fillId="12" borderId="22" xfId="0" applyNumberFormat="1" applyFont="1" applyFill="1" applyBorder="1" applyAlignment="1">
      <alignment horizontal="center" vertical="center" wrapText="1"/>
    </xf>
    <xf numFmtId="4" fontId="24" fillId="12" borderId="48" xfId="0" applyNumberFormat="1" applyFont="1" applyFill="1" applyBorder="1" applyAlignment="1">
      <alignment horizontal="center" vertical="center" wrapText="1"/>
    </xf>
    <xf numFmtId="0" fontId="24" fillId="22" borderId="60" xfId="0" applyFont="1" applyFill="1" applyBorder="1" applyAlignment="1">
      <alignment vertical="center" wrapText="1"/>
    </xf>
    <xf numFmtId="0" fontId="3" fillId="3" borderId="7" xfId="0" applyFont="1" applyFill="1" applyBorder="1" applyAlignment="1">
      <alignment vertical="center" wrapText="1"/>
    </xf>
    <xf numFmtId="0" fontId="22" fillId="0" borderId="1" xfId="0" applyFont="1" applyBorder="1" applyAlignment="1">
      <alignment vertical="center" wrapText="1"/>
    </xf>
    <xf numFmtId="165" fontId="23" fillId="4" borderId="1" xfId="0" applyNumberFormat="1" applyFont="1" applyFill="1" applyBorder="1" applyAlignment="1">
      <alignment horizontal="center" vertical="center" wrapText="1"/>
    </xf>
    <xf numFmtId="165" fontId="23" fillId="4" borderId="5" xfId="0" applyNumberFormat="1" applyFont="1" applyFill="1" applyBorder="1" applyAlignment="1">
      <alignment horizontal="center" vertical="center" wrapText="1"/>
    </xf>
    <xf numFmtId="2" fontId="26" fillId="0" borderId="50" xfId="0" applyNumberFormat="1" applyFont="1" applyBorder="1" applyAlignment="1" applyProtection="1">
      <alignment horizontal="center" vertical="center" wrapText="1"/>
      <protection locked="0"/>
    </xf>
    <xf numFmtId="0" fontId="26" fillId="0" borderId="36" xfId="0" applyFont="1" applyBorder="1" applyAlignment="1" applyProtection="1">
      <alignment horizontal="center" vertical="center" wrapText="1"/>
      <protection locked="0"/>
    </xf>
    <xf numFmtId="1" fontId="24" fillId="0" borderId="50" xfId="1" applyNumberFormat="1" applyFont="1" applyBorder="1" applyAlignment="1">
      <alignment horizontal="center" vertical="center" wrapText="1"/>
    </xf>
    <xf numFmtId="0" fontId="24" fillId="12" borderId="52" xfId="0" applyFont="1" applyFill="1" applyBorder="1" applyAlignment="1">
      <alignment horizontal="center" vertical="center" wrapText="1"/>
    </xf>
    <xf numFmtId="9" fontId="24" fillId="6" borderId="4" xfId="1" applyFont="1" applyFill="1" applyBorder="1" applyAlignment="1">
      <alignment horizontal="center" vertical="center" wrapText="1"/>
    </xf>
    <xf numFmtId="0" fontId="22" fillId="0" borderId="3" xfId="0" applyFont="1" applyBorder="1" applyAlignment="1">
      <alignment horizontal="left" vertical="center" wrapText="1"/>
    </xf>
    <xf numFmtId="0" fontId="0" fillId="9" borderId="1" xfId="0" applyFill="1" applyBorder="1" applyAlignment="1" applyProtection="1">
      <alignment vertical="center" wrapText="1"/>
      <protection locked="0"/>
    </xf>
    <xf numFmtId="0" fontId="3" fillId="3" borderId="5" xfId="0" applyFont="1" applyFill="1" applyBorder="1" applyAlignment="1">
      <alignment vertical="center" wrapText="1"/>
    </xf>
    <xf numFmtId="0" fontId="24" fillId="0" borderId="1" xfId="0" applyFont="1" applyBorder="1" applyAlignment="1">
      <alignment vertical="center" wrapText="1"/>
    </xf>
    <xf numFmtId="165" fontId="25" fillId="7" borderId="7" xfId="0" applyNumberFormat="1" applyFont="1" applyFill="1" applyBorder="1" applyAlignment="1">
      <alignment horizontal="center" vertical="center" wrapText="1"/>
    </xf>
    <xf numFmtId="0" fontId="24" fillId="12" borderId="1" xfId="0" applyFont="1" applyFill="1" applyBorder="1" applyAlignment="1">
      <alignment vertical="center" wrapText="1"/>
    </xf>
    <xf numFmtId="165" fontId="25" fillId="7" borderId="1" xfId="0" applyNumberFormat="1" applyFont="1" applyFill="1" applyBorder="1" applyAlignment="1">
      <alignment horizontal="center" vertical="center" wrapText="1"/>
    </xf>
    <xf numFmtId="0" fontId="22" fillId="12" borderId="1" xfId="0" applyFont="1" applyFill="1" applyBorder="1" applyAlignment="1">
      <alignment vertical="center" wrapText="1"/>
    </xf>
    <xf numFmtId="165" fontId="23" fillId="7" borderId="1" xfId="0" applyNumberFormat="1" applyFont="1" applyFill="1" applyBorder="1" applyAlignment="1">
      <alignment horizontal="center" vertical="center" wrapText="1"/>
    </xf>
    <xf numFmtId="2" fontId="24" fillId="12" borderId="50" xfId="0" applyNumberFormat="1" applyFont="1" applyFill="1" applyBorder="1" applyAlignment="1">
      <alignment horizontal="center" vertical="center" wrapText="1"/>
    </xf>
    <xf numFmtId="0" fontId="22" fillId="9" borderId="27" xfId="0" applyFont="1" applyFill="1" applyBorder="1" applyAlignment="1">
      <alignment vertical="center" wrapText="1"/>
    </xf>
    <xf numFmtId="0" fontId="6" fillId="3" borderId="4" xfId="0" applyFont="1" applyFill="1" applyBorder="1" applyAlignment="1">
      <alignment vertical="center" wrapText="1"/>
    </xf>
    <xf numFmtId="0" fontId="24" fillId="0" borderId="5" xfId="0" applyFont="1" applyBorder="1" applyAlignment="1">
      <alignment vertical="center" wrapText="1"/>
    </xf>
    <xf numFmtId="165" fontId="25" fillId="14" borderId="7" xfId="0" applyNumberFormat="1" applyFont="1" applyFill="1" applyBorder="1" applyAlignment="1">
      <alignment horizontal="center" vertical="center" wrapText="1"/>
    </xf>
    <xf numFmtId="0" fontId="24" fillId="12" borderId="7" xfId="0" applyFont="1" applyFill="1" applyBorder="1" applyAlignment="1">
      <alignment vertical="center" wrapText="1"/>
    </xf>
    <xf numFmtId="0" fontId="24" fillId="12" borderId="6" xfId="0" applyFont="1" applyFill="1" applyBorder="1" applyAlignment="1">
      <alignment vertical="center" wrapText="1"/>
    </xf>
    <xf numFmtId="165" fontId="23" fillId="7" borderId="2" xfId="0" applyNumberFormat="1" applyFont="1" applyFill="1" applyBorder="1" applyAlignment="1">
      <alignment horizontal="center" vertical="center" wrapText="1"/>
    </xf>
    <xf numFmtId="2" fontId="24" fillId="12" borderId="56" xfId="0" applyNumberFormat="1" applyFont="1" applyFill="1" applyBorder="1" applyAlignment="1">
      <alignment horizontal="center" vertical="center" wrapText="1"/>
    </xf>
    <xf numFmtId="0" fontId="24" fillId="12" borderId="67" xfId="0" applyFont="1" applyFill="1" applyBorder="1" applyAlignment="1">
      <alignment horizontal="center" vertical="center" wrapText="1"/>
    </xf>
    <xf numFmtId="0" fontId="24" fillId="12" borderId="65" xfId="0" applyFont="1" applyFill="1" applyBorder="1" applyAlignment="1">
      <alignment horizontal="center" vertical="center" wrapText="1"/>
    </xf>
    <xf numFmtId="0" fontId="24" fillId="21" borderId="4" xfId="0" applyFont="1" applyFill="1" applyBorder="1" applyAlignment="1">
      <alignment vertical="center" wrapText="1"/>
    </xf>
    <xf numFmtId="165" fontId="25" fillId="4" borderId="7" xfId="0" applyNumberFormat="1" applyFont="1" applyFill="1" applyBorder="1" applyAlignment="1">
      <alignment horizontal="center" vertical="center" wrapText="1"/>
    </xf>
    <xf numFmtId="0" fontId="26" fillId="0" borderId="50" xfId="0" applyFont="1" applyBorder="1" applyAlignment="1" applyProtection="1">
      <alignment horizontal="center" vertical="center" wrapText="1"/>
      <protection locked="0"/>
    </xf>
    <xf numFmtId="0" fontId="24" fillId="0" borderId="52" xfId="0" applyFont="1" applyBorder="1" applyAlignment="1">
      <alignment horizontal="center" vertical="center" wrapText="1"/>
    </xf>
    <xf numFmtId="9" fontId="24" fillId="11" borderId="53" xfId="1" quotePrefix="1" applyFont="1" applyFill="1" applyBorder="1" applyAlignment="1">
      <alignment horizontal="center" vertical="center" wrapText="1"/>
    </xf>
    <xf numFmtId="0" fontId="24" fillId="17" borderId="27" xfId="0" applyFont="1" applyFill="1" applyBorder="1" applyAlignment="1">
      <alignment vertical="center" wrapText="1"/>
    </xf>
    <xf numFmtId="0" fontId="0" fillId="2" borderId="1" xfId="0" applyFill="1" applyBorder="1" applyAlignment="1">
      <alignment vertical="center" wrapText="1"/>
    </xf>
    <xf numFmtId="0" fontId="0" fillId="2" borderId="2" xfId="0" applyFill="1" applyBorder="1" applyAlignment="1">
      <alignment vertical="center" wrapText="1"/>
    </xf>
    <xf numFmtId="0" fontId="0" fillId="2" borderId="4" xfId="0" applyFill="1" applyBorder="1" applyAlignment="1">
      <alignment vertical="center" wrapText="1"/>
    </xf>
    <xf numFmtId="0" fontId="24" fillId="0" borderId="7" xfId="0" applyFont="1" applyBorder="1" applyAlignment="1">
      <alignment vertical="center" wrapText="1"/>
    </xf>
    <xf numFmtId="0" fontId="24" fillId="8" borderId="27" xfId="0" applyFont="1" applyFill="1" applyBorder="1" applyAlignment="1">
      <alignment vertical="center" wrapText="1"/>
    </xf>
    <xf numFmtId="0" fontId="0" fillId="2" borderId="16" xfId="0" applyFill="1" applyBorder="1" applyAlignment="1">
      <alignment vertical="center" wrapText="1"/>
    </xf>
    <xf numFmtId="0" fontId="0" fillId="2" borderId="6" xfId="0" applyFill="1" applyBorder="1" applyAlignment="1">
      <alignment vertical="center" wrapText="1"/>
    </xf>
    <xf numFmtId="0" fontId="3" fillId="11" borderId="45" xfId="0" applyFont="1" applyFill="1" applyBorder="1" applyAlignment="1">
      <alignment vertical="center" wrapText="1"/>
    </xf>
    <xf numFmtId="1" fontId="24" fillId="12" borderId="46" xfId="0" applyNumberFormat="1" applyFont="1" applyFill="1" applyBorder="1" applyAlignment="1">
      <alignment horizontal="center" vertical="center" wrapText="1"/>
    </xf>
    <xf numFmtId="0" fontId="24" fillId="9" borderId="49" xfId="0" applyFont="1" applyFill="1" applyBorder="1" applyAlignment="1">
      <alignment vertical="center" wrapText="1"/>
    </xf>
    <xf numFmtId="1" fontId="24" fillId="0" borderId="28" xfId="1" applyNumberFormat="1" applyFont="1" applyBorder="1" applyAlignment="1">
      <alignment horizontal="center" vertical="center" wrapText="1"/>
    </xf>
    <xf numFmtId="1" fontId="24" fillId="12" borderId="48" xfId="0" applyNumberFormat="1" applyFont="1" applyFill="1" applyBorder="1" applyAlignment="1">
      <alignment horizontal="center" vertical="center" wrapText="1"/>
    </xf>
    <xf numFmtId="0" fontId="24" fillId="9" borderId="28" xfId="0" applyFont="1" applyFill="1" applyBorder="1" applyAlignment="1">
      <alignment vertical="center" wrapText="1"/>
    </xf>
    <xf numFmtId="0" fontId="24" fillId="0" borderId="61" xfId="0" applyFont="1" applyBorder="1" applyAlignment="1">
      <alignment vertical="center" wrapText="1"/>
    </xf>
    <xf numFmtId="2" fontId="24" fillId="12" borderId="73" xfId="0" applyNumberFormat="1" applyFont="1" applyFill="1" applyBorder="1" applyAlignment="1">
      <alignment horizontal="center" vertical="center" wrapText="1"/>
    </xf>
    <xf numFmtId="0" fontId="24" fillId="12" borderId="12" xfId="0" applyFont="1" applyFill="1" applyBorder="1" applyAlignment="1">
      <alignment horizontal="center" vertical="center" wrapText="1"/>
    </xf>
    <xf numFmtId="0" fontId="24" fillId="9" borderId="58" xfId="0" applyFont="1" applyFill="1" applyBorder="1" applyAlignment="1">
      <alignment vertical="center" wrapText="1"/>
    </xf>
    <xf numFmtId="0" fontId="24" fillId="12" borderId="30" xfId="0" applyFont="1" applyFill="1" applyBorder="1" applyAlignment="1">
      <alignment vertical="center" wrapText="1"/>
    </xf>
    <xf numFmtId="2" fontId="24" fillId="12" borderId="27" xfId="0" applyNumberFormat="1" applyFont="1" applyFill="1" applyBorder="1" applyAlignment="1">
      <alignment horizontal="center" vertical="center" wrapText="1"/>
    </xf>
    <xf numFmtId="0" fontId="24" fillId="12" borderId="47" xfId="0" applyFont="1" applyFill="1" applyBorder="1" applyAlignment="1">
      <alignment horizontal="center" vertical="center" wrapText="1"/>
    </xf>
    <xf numFmtId="0" fontId="24" fillId="9" borderId="59" xfId="0" applyFont="1" applyFill="1" applyBorder="1" applyAlignment="1">
      <alignment vertical="center" wrapText="1"/>
    </xf>
    <xf numFmtId="0" fontId="24" fillId="12" borderId="31" xfId="0" applyFont="1" applyFill="1" applyBorder="1" applyAlignment="1">
      <alignment vertical="center" wrapText="1"/>
    </xf>
    <xf numFmtId="2" fontId="24" fillId="12" borderId="28" xfId="0" applyNumberFormat="1" applyFont="1" applyFill="1" applyBorder="1" applyAlignment="1">
      <alignment horizontal="center" vertical="center" wrapText="1"/>
    </xf>
    <xf numFmtId="0" fontId="24" fillId="12" borderId="22" xfId="0" applyFont="1" applyFill="1" applyBorder="1" applyAlignment="1">
      <alignment horizontal="center" vertical="center" wrapText="1"/>
    </xf>
    <xf numFmtId="0" fontId="24" fillId="12" borderId="48" xfId="0" applyFont="1" applyFill="1" applyBorder="1" applyAlignment="1">
      <alignment horizontal="center" vertical="center" wrapText="1"/>
    </xf>
    <xf numFmtId="0" fontId="24" fillId="9" borderId="60" xfId="0" applyFont="1" applyFill="1" applyBorder="1" applyAlignment="1">
      <alignment vertical="center" wrapText="1"/>
    </xf>
    <xf numFmtId="0" fontId="3" fillId="3" borderId="16" xfId="0" applyFont="1" applyFill="1" applyBorder="1" applyAlignment="1">
      <alignment vertical="center" wrapText="1"/>
    </xf>
    <xf numFmtId="0" fontId="3" fillId="3" borderId="6" xfId="0" applyFont="1" applyFill="1" applyBorder="1" applyAlignment="1">
      <alignment vertical="center" wrapText="1"/>
    </xf>
    <xf numFmtId="0" fontId="24" fillId="0" borderId="74" xfId="0" applyFont="1" applyBorder="1" applyAlignment="1">
      <alignment vertical="center" wrapText="1"/>
    </xf>
    <xf numFmtId="165" fontId="25" fillId="4" borderId="61" xfId="0" applyNumberFormat="1" applyFont="1" applyFill="1" applyBorder="1" applyAlignment="1">
      <alignment horizontal="center" vertical="center" wrapText="1"/>
    </xf>
    <xf numFmtId="165" fontId="26" fillId="0" borderId="54" xfId="0" applyNumberFormat="1" applyFont="1" applyBorder="1" applyAlignment="1" applyProtection="1">
      <alignment horizontal="center" vertical="center" wrapText="1"/>
      <protection locked="0"/>
    </xf>
    <xf numFmtId="165" fontId="26" fillId="0" borderId="74" xfId="0" applyNumberFormat="1" applyFont="1" applyBorder="1" applyAlignment="1" applyProtection="1">
      <alignment horizontal="center" vertical="center" wrapText="1"/>
      <protection locked="0"/>
    </xf>
    <xf numFmtId="2" fontId="24" fillId="12" borderId="54" xfId="0" applyNumberFormat="1" applyFont="1" applyFill="1" applyBorder="1" applyAlignment="1">
      <alignment horizontal="center" vertical="center" wrapText="1"/>
    </xf>
    <xf numFmtId="1" fontId="24" fillId="0" borderId="14" xfId="1" applyNumberFormat="1" applyFont="1" applyBorder="1" applyAlignment="1">
      <alignment horizontal="center" vertical="center" wrapText="1"/>
    </xf>
    <xf numFmtId="1" fontId="24" fillId="0" borderId="12" xfId="1" applyNumberFormat="1" applyFont="1" applyBorder="1" applyAlignment="1">
      <alignment horizontal="center" vertical="center" wrapText="1"/>
    </xf>
    <xf numFmtId="0" fontId="24" fillId="16" borderId="62" xfId="0" applyFont="1" applyFill="1" applyBorder="1" applyAlignment="1">
      <alignment vertical="center" wrapText="1"/>
    </xf>
    <xf numFmtId="165" fontId="25" fillId="4" borderId="30" xfId="0" applyNumberFormat="1" applyFont="1" applyFill="1" applyBorder="1" applyAlignment="1">
      <alignment horizontal="center" vertical="center" wrapText="1"/>
    </xf>
    <xf numFmtId="2" fontId="24" fillId="12" borderId="15" xfId="0" applyNumberFormat="1" applyFont="1" applyFill="1" applyBorder="1" applyAlignment="1">
      <alignment horizontal="center" vertical="center" wrapText="1"/>
    </xf>
    <xf numFmtId="1" fontId="24" fillId="0" borderId="11" xfId="1" applyNumberFormat="1" applyFont="1" applyBorder="1" applyAlignment="1">
      <alignment horizontal="center" vertical="center" wrapText="1"/>
    </xf>
    <xf numFmtId="1" fontId="24" fillId="0" borderId="47" xfId="1" applyNumberFormat="1" applyFont="1" applyBorder="1" applyAlignment="1">
      <alignment horizontal="center" vertical="center" wrapText="1"/>
    </xf>
    <xf numFmtId="0" fontId="24" fillId="16" borderId="59" xfId="0" applyFont="1" applyFill="1" applyBorder="1" applyAlignment="1">
      <alignment vertical="center" wrapText="1"/>
    </xf>
    <xf numFmtId="1" fontId="24" fillId="12" borderId="11" xfId="1" applyNumberFormat="1" applyFont="1" applyFill="1" applyBorder="1" applyAlignment="1">
      <alignment horizontal="center" vertical="center" wrapText="1"/>
    </xf>
    <xf numFmtId="1" fontId="24" fillId="12" borderId="47" xfId="1" applyNumberFormat="1" applyFont="1" applyFill="1" applyBorder="1" applyAlignment="1">
      <alignment horizontal="center" vertical="center" wrapText="1"/>
    </xf>
    <xf numFmtId="0" fontId="22" fillId="16" borderId="59" xfId="0" applyFont="1" applyFill="1" applyBorder="1" applyAlignment="1">
      <alignment vertical="center" wrapText="1"/>
    </xf>
    <xf numFmtId="0" fontId="24" fillId="0" borderId="23" xfId="0" applyFont="1" applyBorder="1" applyAlignment="1">
      <alignment vertical="center" wrapText="1"/>
    </xf>
    <xf numFmtId="165" fontId="25" fillId="4" borderId="31" xfId="0" applyNumberFormat="1" applyFont="1" applyFill="1" applyBorder="1" applyAlignment="1">
      <alignment horizontal="center" vertical="center" wrapText="1"/>
    </xf>
    <xf numFmtId="2" fontId="24" fillId="12" borderId="21" xfId="0" applyNumberFormat="1" applyFont="1" applyFill="1" applyBorder="1" applyAlignment="1">
      <alignment horizontal="center" vertical="center" wrapText="1"/>
    </xf>
    <xf numFmtId="165" fontId="24" fillId="12" borderId="48" xfId="0" applyNumberFormat="1" applyFont="1" applyFill="1" applyBorder="1" applyAlignment="1">
      <alignment horizontal="center" vertical="center" wrapText="1"/>
    </xf>
    <xf numFmtId="0" fontId="24" fillId="16" borderId="60" xfId="0" applyFont="1" applyFill="1" applyBorder="1" applyAlignment="1">
      <alignment vertical="center" wrapText="1"/>
    </xf>
    <xf numFmtId="165" fontId="25" fillId="4" borderId="29" xfId="0" applyNumberFormat="1" applyFont="1" applyFill="1" applyBorder="1" applyAlignment="1">
      <alignment horizontal="center" vertical="center" wrapText="1"/>
    </xf>
    <xf numFmtId="2" fontId="24" fillId="12" borderId="17" xfId="0" applyNumberFormat="1" applyFont="1" applyFill="1" applyBorder="1" applyAlignment="1">
      <alignment horizontal="center" vertical="center" wrapText="1"/>
    </xf>
    <xf numFmtId="0" fontId="24" fillId="12" borderId="18" xfId="0" applyFont="1" applyFill="1" applyBorder="1" applyAlignment="1">
      <alignment horizontal="center" vertical="center" wrapText="1"/>
    </xf>
    <xf numFmtId="165" fontId="24" fillId="12" borderId="46" xfId="0" applyNumberFormat="1" applyFont="1" applyFill="1" applyBorder="1" applyAlignment="1">
      <alignment horizontal="center" vertical="center" wrapText="1"/>
    </xf>
    <xf numFmtId="0" fontId="24" fillId="18" borderId="58" xfId="0" applyFont="1" applyFill="1" applyBorder="1" applyAlignment="1">
      <alignment vertical="center" wrapText="1"/>
    </xf>
    <xf numFmtId="165" fontId="25" fillId="4" borderId="27" xfId="0" applyNumberFormat="1" applyFont="1" applyFill="1" applyBorder="1" applyAlignment="1">
      <alignment horizontal="center" vertical="center" wrapText="1"/>
    </xf>
    <xf numFmtId="165" fontId="24" fillId="12" borderId="47" xfId="0" applyNumberFormat="1" applyFont="1" applyFill="1" applyBorder="1" applyAlignment="1">
      <alignment horizontal="center" vertical="center" wrapText="1"/>
    </xf>
    <xf numFmtId="0" fontId="24" fillId="18" borderId="59" xfId="0" applyFont="1" applyFill="1" applyBorder="1" applyAlignment="1">
      <alignment vertical="center" wrapText="1"/>
    </xf>
    <xf numFmtId="0" fontId="24" fillId="18" borderId="60" xfId="0" applyFont="1" applyFill="1" applyBorder="1" applyAlignment="1">
      <alignment vertical="center" wrapText="1"/>
    </xf>
    <xf numFmtId="0" fontId="10" fillId="11" borderId="42" xfId="0" applyFont="1" applyFill="1" applyBorder="1" applyAlignment="1">
      <alignment vertical="center" wrapText="1"/>
    </xf>
    <xf numFmtId="0" fontId="10" fillId="11" borderId="44" xfId="0" applyFont="1" applyFill="1" applyBorder="1" applyAlignment="1">
      <alignment vertical="center" wrapText="1"/>
    </xf>
    <xf numFmtId="0" fontId="32" fillId="11" borderId="5" xfId="0" applyFont="1" applyFill="1" applyBorder="1" applyAlignment="1">
      <alignment vertical="center" wrapText="1"/>
    </xf>
    <xf numFmtId="9" fontId="23" fillId="11" borderId="45" xfId="1" applyFont="1" applyFill="1" applyBorder="1" applyAlignment="1">
      <alignment horizontal="center" vertical="center" wrapText="1"/>
    </xf>
    <xf numFmtId="2" fontId="23" fillId="11" borderId="45" xfId="1" applyNumberFormat="1" applyFont="1" applyFill="1" applyBorder="1" applyAlignment="1">
      <alignment horizontal="center" vertical="center" wrapText="1"/>
    </xf>
    <xf numFmtId="0" fontId="10" fillId="11" borderId="45" xfId="0" applyFont="1" applyFill="1" applyBorder="1" applyAlignment="1">
      <alignment vertical="center" wrapText="1"/>
    </xf>
    <xf numFmtId="1" fontId="24" fillId="0" borderId="35" xfId="1" applyNumberFormat="1" applyFont="1" applyBorder="1" applyAlignment="1">
      <alignment horizontal="center" vertical="center" wrapText="1"/>
    </xf>
    <xf numFmtId="0" fontId="5" fillId="5" borderId="4" xfId="0" applyFont="1" applyFill="1" applyBorder="1" applyAlignment="1">
      <alignment vertical="center" wrapText="1"/>
    </xf>
    <xf numFmtId="9" fontId="24" fillId="11" borderId="10" xfId="1" applyFont="1" applyFill="1" applyBorder="1" applyAlignment="1">
      <alignment horizontal="center" vertical="center" wrapText="1"/>
    </xf>
    <xf numFmtId="1" fontId="24" fillId="0" borderId="18" xfId="1" applyNumberFormat="1" applyFont="1" applyBorder="1" applyAlignment="1">
      <alignment horizontal="center" vertical="center" wrapText="1"/>
    </xf>
    <xf numFmtId="0" fontId="24" fillId="0" borderId="46" xfId="0" applyFont="1" applyBorder="1" applyAlignment="1">
      <alignment horizontal="center" vertical="center" wrapText="1"/>
    </xf>
    <xf numFmtId="0" fontId="5" fillId="5" borderId="58" xfId="0" applyFont="1" applyFill="1" applyBorder="1" applyAlignment="1">
      <alignment vertical="center" wrapText="1"/>
    </xf>
    <xf numFmtId="1" fontId="24" fillId="0" borderId="22" xfId="1" applyNumberFormat="1" applyFont="1" applyBorder="1" applyAlignment="1">
      <alignment horizontal="center" vertical="center" wrapText="1"/>
    </xf>
    <xf numFmtId="0" fontId="24" fillId="0" borderId="48" xfId="0" applyFont="1" applyBorder="1" applyAlignment="1">
      <alignment horizontal="center" vertical="center" wrapText="1"/>
    </xf>
    <xf numFmtId="0" fontId="5" fillId="5" borderId="60" xfId="0" applyFont="1" applyFill="1" applyBorder="1" applyAlignment="1">
      <alignment vertical="center" wrapText="1"/>
    </xf>
    <xf numFmtId="0" fontId="2" fillId="14" borderId="2" xfId="0" applyFont="1" applyFill="1" applyBorder="1" applyAlignment="1">
      <alignment horizontal="center" vertical="center"/>
    </xf>
    <xf numFmtId="1" fontId="2" fillId="14" borderId="5" xfId="0" applyNumberFormat="1" applyFont="1" applyFill="1" applyBorder="1" applyAlignment="1">
      <alignment horizontal="center" vertical="center"/>
    </xf>
    <xf numFmtId="0" fontId="0" fillId="14" borderId="6" xfId="0" applyFill="1" applyBorder="1"/>
    <xf numFmtId="0" fontId="0" fillId="14" borderId="65" xfId="0" applyFill="1" applyBorder="1"/>
    <xf numFmtId="0" fontId="0" fillId="14" borderId="56" xfId="0" applyFill="1" applyBorder="1"/>
    <xf numFmtId="0" fontId="0" fillId="14" borderId="57" xfId="0" applyFill="1" applyBorder="1"/>
    <xf numFmtId="0" fontId="0" fillId="14" borderId="67" xfId="0" applyFill="1" applyBorder="1"/>
    <xf numFmtId="0" fontId="0" fillId="14" borderId="5" xfId="0" applyFill="1" applyBorder="1"/>
    <xf numFmtId="9" fontId="0" fillId="14" borderId="7" xfId="0" applyNumberFormat="1" applyFill="1" applyBorder="1"/>
    <xf numFmtId="9" fontId="0" fillId="14" borderId="6" xfId="0" applyNumberFormat="1" applyFill="1" applyBorder="1"/>
    <xf numFmtId="0" fontId="0" fillId="14" borderId="35" xfId="0" applyFill="1" applyBorder="1"/>
    <xf numFmtId="0" fontId="2" fillId="23" borderId="0" xfId="0" applyFont="1" applyFill="1" applyAlignment="1">
      <alignment horizontal="center"/>
    </xf>
    <xf numFmtId="0" fontId="2" fillId="0" borderId="0" xfId="0" applyFont="1"/>
    <xf numFmtId="0" fontId="32" fillId="3" borderId="0" xfId="0" applyFont="1" applyFill="1" applyAlignment="1" applyProtection="1">
      <alignment vertical="center" wrapText="1"/>
      <protection locked="0"/>
    </xf>
    <xf numFmtId="9" fontId="5" fillId="11" borderId="5" xfId="1" applyFont="1" applyFill="1" applyBorder="1" applyAlignment="1">
      <alignment horizontal="center" vertical="center" wrapText="1"/>
    </xf>
    <xf numFmtId="0" fontId="28" fillId="0" borderId="1" xfId="0" applyFont="1" applyBorder="1" applyAlignment="1" applyProtection="1">
      <alignment vertical="center" wrapText="1"/>
      <protection locked="0"/>
    </xf>
    <xf numFmtId="165" fontId="26" fillId="0" borderId="52" xfId="0" applyNumberFormat="1" applyFont="1" applyBorder="1" applyAlignment="1" applyProtection="1">
      <alignment horizontal="center" vertical="center" wrapText="1"/>
      <protection locked="0"/>
    </xf>
    <xf numFmtId="0" fontId="10" fillId="3" borderId="0" xfId="0" applyFont="1" applyFill="1" applyAlignment="1" applyProtection="1">
      <alignment vertical="center" wrapText="1"/>
      <protection locked="0"/>
    </xf>
    <xf numFmtId="3" fontId="26" fillId="0" borderId="17" xfId="0" applyNumberFormat="1" applyFont="1" applyBorder="1" applyAlignment="1" applyProtection="1">
      <alignment horizontal="center" vertical="center" wrapText="1"/>
      <protection locked="0"/>
    </xf>
    <xf numFmtId="4" fontId="26" fillId="0" borderId="46" xfId="0" applyNumberFormat="1" applyFont="1" applyBorder="1" applyAlignment="1" applyProtection="1">
      <alignment horizontal="center" vertical="center" wrapText="1"/>
      <protection locked="0"/>
    </xf>
    <xf numFmtId="0" fontId="26" fillId="0" borderId="51" xfId="0" applyFont="1" applyBorder="1" applyAlignment="1" applyProtection="1">
      <alignment horizontal="center" vertical="center" wrapText="1"/>
      <protection locked="0"/>
    </xf>
    <xf numFmtId="0" fontId="26" fillId="0" borderId="52" xfId="0" applyFont="1" applyBorder="1" applyAlignment="1" applyProtection="1">
      <alignment horizontal="center" vertical="center" wrapText="1"/>
      <protection locked="0"/>
    </xf>
    <xf numFmtId="165" fontId="26" fillId="0" borderId="46" xfId="0" applyNumberFormat="1" applyFont="1" applyBorder="1" applyAlignment="1" applyProtection="1">
      <alignment horizontal="center" vertical="center" wrapText="1"/>
      <protection locked="0"/>
    </xf>
    <xf numFmtId="0" fontId="26" fillId="0" borderId="48" xfId="0" applyFont="1" applyBorder="1" applyAlignment="1" applyProtection="1">
      <alignment horizontal="center" vertical="center" wrapText="1"/>
      <protection locked="0"/>
    </xf>
    <xf numFmtId="165" fontId="10" fillId="0" borderId="17" xfId="1" applyNumberFormat="1" applyFont="1" applyBorder="1" applyAlignment="1" applyProtection="1">
      <alignment horizontal="center" vertical="center" wrapText="1"/>
      <protection locked="0"/>
    </xf>
    <xf numFmtId="165" fontId="10" fillId="0" borderId="19" xfId="1" applyNumberFormat="1" applyFont="1" applyBorder="1" applyAlignment="1" applyProtection="1">
      <alignment horizontal="center" vertical="center" wrapText="1"/>
      <protection locked="0"/>
    </xf>
    <xf numFmtId="165" fontId="10" fillId="0" borderId="21" xfId="1" applyNumberFormat="1" applyFont="1" applyBorder="1" applyAlignment="1" applyProtection="1">
      <alignment horizontal="center" vertical="center" wrapText="1"/>
      <protection locked="0"/>
    </xf>
    <xf numFmtId="165" fontId="10" fillId="0" borderId="23" xfId="1" applyNumberFormat="1" applyFont="1" applyBorder="1" applyAlignment="1" applyProtection="1">
      <alignment horizontal="center" vertical="center" wrapText="1"/>
      <protection locked="0"/>
    </xf>
    <xf numFmtId="165" fontId="10" fillId="0" borderId="17" xfId="0" applyNumberFormat="1" applyFont="1" applyBorder="1" applyAlignment="1" applyProtection="1">
      <alignment horizontal="center" vertical="center" wrapText="1"/>
      <protection locked="0"/>
    </xf>
    <xf numFmtId="165" fontId="10" fillId="0" borderId="19" xfId="0" applyNumberFormat="1" applyFont="1" applyBorder="1" applyAlignment="1" applyProtection="1">
      <alignment horizontal="center" vertical="center" wrapText="1"/>
      <protection locked="0"/>
    </xf>
    <xf numFmtId="0" fontId="10" fillId="0" borderId="17" xfId="0" applyFont="1" applyBorder="1" applyAlignment="1" applyProtection="1">
      <alignment horizontal="center" vertical="center" wrapText="1"/>
      <protection locked="0"/>
    </xf>
    <xf numFmtId="0" fontId="10" fillId="0" borderId="19" xfId="0" applyFont="1" applyBorder="1" applyAlignment="1" applyProtection="1">
      <alignment horizontal="center" vertical="center" wrapText="1"/>
      <protection locked="0"/>
    </xf>
    <xf numFmtId="1" fontId="10" fillId="0" borderId="21" xfId="0" applyNumberFormat="1" applyFont="1" applyBorder="1" applyAlignment="1" applyProtection="1">
      <alignment horizontal="center" vertical="center" wrapText="1"/>
      <protection locked="0"/>
    </xf>
    <xf numFmtId="0" fontId="10" fillId="0" borderId="23" xfId="0" applyFont="1" applyBorder="1" applyAlignment="1" applyProtection="1">
      <alignment horizontal="center" vertical="center" wrapText="1"/>
      <protection locked="0"/>
    </xf>
    <xf numFmtId="0" fontId="3" fillId="3" borderId="75" xfId="0" applyFont="1" applyFill="1" applyBorder="1" applyAlignment="1">
      <alignment vertical="center" wrapText="1"/>
    </xf>
    <xf numFmtId="165" fontId="22" fillId="12" borderId="51" xfId="0" applyNumberFormat="1" applyFont="1" applyFill="1" applyBorder="1" applyAlignment="1">
      <alignment horizontal="center" vertical="center" wrapText="1"/>
    </xf>
    <xf numFmtId="165" fontId="10" fillId="0" borderId="50" xfId="0" applyNumberFormat="1" applyFont="1" applyBorder="1" applyAlignment="1" applyProtection="1">
      <alignment horizontal="center" vertical="center" wrapText="1"/>
      <protection locked="0"/>
    </xf>
    <xf numFmtId="165" fontId="10" fillId="0" borderId="36" xfId="0" applyNumberFormat="1" applyFont="1" applyBorder="1" applyAlignment="1" applyProtection="1">
      <alignment horizontal="center" vertical="center" wrapText="1"/>
      <protection locked="0"/>
    </xf>
    <xf numFmtId="0" fontId="22" fillId="0" borderId="75" xfId="0" applyFont="1" applyBorder="1" applyAlignment="1">
      <alignment horizontal="center" vertical="center" wrapText="1"/>
    </xf>
    <xf numFmtId="0" fontId="22" fillId="12" borderId="51" xfId="0" applyFont="1" applyFill="1" applyBorder="1" applyAlignment="1">
      <alignment horizontal="center" vertical="center" wrapText="1"/>
    </xf>
    <xf numFmtId="0" fontId="22" fillId="0" borderId="51" xfId="0" applyFont="1" applyBorder="1" applyAlignment="1">
      <alignment horizontal="center" vertical="center" wrapText="1"/>
    </xf>
    <xf numFmtId="4" fontId="24" fillId="0" borderId="49" xfId="0" applyNumberFormat="1" applyFont="1" applyBorder="1" applyAlignment="1">
      <alignment horizontal="center" vertical="center" wrapText="1"/>
    </xf>
    <xf numFmtId="0" fontId="24" fillId="12" borderId="27" xfId="0" applyFont="1" applyFill="1" applyBorder="1" applyAlignment="1">
      <alignment horizontal="center" vertical="center" wrapText="1"/>
    </xf>
    <xf numFmtId="165" fontId="26" fillId="4" borderId="53" xfId="0" applyNumberFormat="1" applyFont="1" applyFill="1" applyBorder="1" applyAlignment="1">
      <alignment horizontal="center" vertical="center" wrapText="1"/>
    </xf>
    <xf numFmtId="0" fontId="24" fillId="0" borderId="73" xfId="0" applyFont="1" applyBorder="1" applyAlignment="1">
      <alignment horizontal="center" vertical="center" wrapText="1"/>
    </xf>
    <xf numFmtId="165" fontId="26" fillId="4" borderId="41" xfId="0" applyNumberFormat="1" applyFont="1" applyFill="1" applyBorder="1" applyAlignment="1">
      <alignment horizontal="center" vertical="center" wrapText="1"/>
    </xf>
    <xf numFmtId="0" fontId="24" fillId="0" borderId="63" xfId="0" applyFont="1" applyBorder="1" applyAlignment="1">
      <alignment horizontal="center" vertical="center" wrapText="1"/>
    </xf>
    <xf numFmtId="9" fontId="24" fillId="11" borderId="5" xfId="1" applyFont="1" applyFill="1" applyBorder="1" applyAlignment="1">
      <alignment horizontal="center" vertical="center" wrapText="1"/>
    </xf>
    <xf numFmtId="165" fontId="25" fillId="12" borderId="10" xfId="0" applyNumberFormat="1" applyFont="1" applyFill="1" applyBorder="1" applyAlignment="1">
      <alignment horizontal="center" vertical="center" wrapText="1"/>
    </xf>
    <xf numFmtId="2" fontId="24" fillId="0" borderId="51" xfId="0" applyNumberFormat="1" applyFont="1" applyBorder="1" applyAlignment="1">
      <alignment horizontal="center" vertical="center" wrapText="1"/>
    </xf>
    <xf numFmtId="165" fontId="23" fillId="4" borderId="34" xfId="0" applyNumberFormat="1" applyFont="1" applyFill="1" applyBorder="1" applyAlignment="1">
      <alignment horizontal="center" vertical="center" wrapText="1"/>
    </xf>
    <xf numFmtId="1" fontId="24" fillId="0" borderId="51" xfId="1" applyNumberFormat="1" applyFont="1" applyBorder="1" applyAlignment="1">
      <alignment horizontal="center" vertical="center" wrapText="1"/>
    </xf>
    <xf numFmtId="2" fontId="24" fillId="12" borderId="51" xfId="0" applyNumberFormat="1" applyFont="1" applyFill="1" applyBorder="1" applyAlignment="1">
      <alignment horizontal="center" vertical="center" wrapText="1"/>
    </xf>
    <xf numFmtId="2" fontId="24" fillId="12" borderId="77" xfId="0" applyNumberFormat="1" applyFont="1" applyFill="1" applyBorder="1" applyAlignment="1">
      <alignment horizontal="center" vertical="center" wrapText="1"/>
    </xf>
    <xf numFmtId="2" fontId="24" fillId="12" borderId="49" xfId="0" applyNumberFormat="1" applyFont="1" applyFill="1" applyBorder="1" applyAlignment="1">
      <alignment horizontal="center" vertical="center" wrapText="1"/>
    </xf>
    <xf numFmtId="0" fontId="10" fillId="11" borderId="10" xfId="0" applyFont="1" applyFill="1" applyBorder="1" applyAlignment="1">
      <alignment vertical="center" wrapText="1"/>
    </xf>
    <xf numFmtId="165" fontId="12" fillId="0" borderId="17" xfId="1" applyNumberFormat="1" applyFont="1" applyBorder="1" applyAlignment="1" applyProtection="1">
      <alignment horizontal="center" vertical="center" wrapText="1"/>
      <protection locked="0"/>
    </xf>
    <xf numFmtId="165" fontId="12" fillId="0" borderId="19" xfId="1" applyNumberFormat="1" applyFont="1" applyBorder="1" applyAlignment="1" applyProtection="1">
      <alignment horizontal="center" vertical="center" wrapText="1"/>
      <protection locked="0"/>
    </xf>
    <xf numFmtId="165" fontId="12" fillId="0" borderId="38" xfId="1" applyNumberFormat="1" applyFont="1" applyBorder="1" applyAlignment="1" applyProtection="1">
      <alignment horizontal="center" vertical="center" wrapText="1"/>
      <protection locked="0"/>
    </xf>
    <xf numFmtId="165" fontId="12" fillId="0" borderId="39" xfId="1" applyNumberFormat="1" applyFont="1" applyBorder="1" applyAlignment="1" applyProtection="1">
      <alignment horizontal="center" vertical="center" wrapText="1"/>
      <protection locked="0"/>
    </xf>
    <xf numFmtId="165" fontId="4" fillId="25" borderId="17" xfId="1" applyNumberFormat="1" applyFont="1" applyFill="1" applyBorder="1" applyAlignment="1" applyProtection="1">
      <alignment horizontal="center" vertical="center" wrapText="1"/>
      <protection locked="0"/>
    </xf>
    <xf numFmtId="165" fontId="4" fillId="25" borderId="19" xfId="1" applyNumberFormat="1" applyFont="1" applyFill="1" applyBorder="1" applyAlignment="1" applyProtection="1">
      <alignment horizontal="center" vertical="center" wrapText="1"/>
      <protection locked="0"/>
    </xf>
    <xf numFmtId="165" fontId="4" fillId="0" borderId="38" xfId="1" applyNumberFormat="1" applyFont="1" applyBorder="1" applyAlignment="1" applyProtection="1">
      <alignment horizontal="center" vertical="center" wrapText="1"/>
      <protection locked="0"/>
    </xf>
    <xf numFmtId="165" fontId="4" fillId="0" borderId="39" xfId="1" applyNumberFormat="1" applyFont="1" applyBorder="1" applyAlignment="1" applyProtection="1">
      <alignment horizontal="center" vertical="center" wrapText="1"/>
      <protection locked="0"/>
    </xf>
    <xf numFmtId="165" fontId="4" fillId="0" borderId="17" xfId="0" applyNumberFormat="1" applyFont="1" applyBorder="1" applyAlignment="1" applyProtection="1">
      <alignment horizontal="center" vertical="center" wrapText="1"/>
      <protection locked="0"/>
    </xf>
    <xf numFmtId="165" fontId="4" fillId="0" borderId="19" xfId="0" applyNumberFormat="1" applyFont="1" applyBorder="1" applyAlignment="1" applyProtection="1">
      <alignment horizontal="center" vertical="center" wrapText="1"/>
      <protection locked="0"/>
    </xf>
    <xf numFmtId="0" fontId="40" fillId="0" borderId="29" xfId="0" applyFont="1" applyBorder="1" applyAlignment="1" applyProtection="1">
      <alignment vertical="top" wrapText="1"/>
      <protection locked="0"/>
    </xf>
    <xf numFmtId="165" fontId="4" fillId="12" borderId="15" xfId="0" applyNumberFormat="1" applyFont="1" applyFill="1" applyBorder="1" applyAlignment="1" applyProtection="1">
      <alignment horizontal="center" vertical="center" wrapText="1"/>
      <protection locked="0"/>
    </xf>
    <xf numFmtId="165" fontId="4" fillId="12" borderId="20" xfId="0" applyNumberFormat="1" applyFont="1" applyFill="1" applyBorder="1" applyAlignment="1" applyProtection="1">
      <alignment horizontal="center" vertical="center" wrapText="1"/>
      <protection locked="0"/>
    </xf>
    <xf numFmtId="165" fontId="4" fillId="12" borderId="21" xfId="0" applyNumberFormat="1" applyFont="1" applyFill="1" applyBorder="1" applyAlignment="1" applyProtection="1">
      <alignment horizontal="center" vertical="center" wrapText="1"/>
      <protection locked="0"/>
    </xf>
    <xf numFmtId="165" fontId="4" fillId="12" borderId="23" xfId="0" applyNumberFormat="1" applyFont="1" applyFill="1" applyBorder="1" applyAlignment="1" applyProtection="1">
      <alignment horizontal="center" vertical="center" wrapText="1"/>
      <protection locked="0"/>
    </xf>
    <xf numFmtId="0" fontId="10" fillId="0" borderId="46" xfId="0" applyFont="1" applyBorder="1" applyAlignment="1" applyProtection="1">
      <alignment horizontal="center" vertical="center" wrapText="1"/>
      <protection locked="0"/>
    </xf>
    <xf numFmtId="165" fontId="24" fillId="0" borderId="19" xfId="0" applyNumberFormat="1" applyFont="1" applyBorder="1" applyAlignment="1">
      <alignment horizontal="center" vertical="center" wrapText="1"/>
    </xf>
    <xf numFmtId="0" fontId="55" fillId="0" borderId="15" xfId="0" applyFont="1" applyBorder="1" applyAlignment="1" applyProtection="1">
      <alignment horizontal="center" vertical="center" wrapText="1"/>
      <protection locked="0"/>
    </xf>
    <xf numFmtId="0" fontId="10" fillId="0" borderId="47" xfId="0" applyFont="1" applyBorder="1" applyAlignment="1" applyProtection="1">
      <alignment horizontal="center" vertical="center" wrapText="1"/>
      <protection locked="0"/>
    </xf>
    <xf numFmtId="165" fontId="24" fillId="0" borderId="20" xfId="0" applyNumberFormat="1" applyFont="1" applyBorder="1" applyAlignment="1">
      <alignment horizontal="center" vertical="center" wrapText="1"/>
    </xf>
    <xf numFmtId="0" fontId="40" fillId="25" borderId="59" xfId="0" applyFont="1" applyFill="1" applyBorder="1" applyAlignment="1" applyProtection="1">
      <alignment vertical="top" wrapText="1"/>
      <protection locked="0"/>
    </xf>
    <xf numFmtId="0" fontId="49" fillId="25" borderId="15" xfId="0" applyFont="1" applyFill="1" applyBorder="1" applyAlignment="1" applyProtection="1">
      <alignment horizontal="center" vertical="center" wrapText="1"/>
      <protection locked="0"/>
    </xf>
    <xf numFmtId="0" fontId="49" fillId="25" borderId="47" xfId="0" applyFont="1" applyFill="1" applyBorder="1" applyAlignment="1" applyProtection="1">
      <alignment horizontal="center" vertical="center" wrapText="1"/>
      <protection locked="0"/>
    </xf>
    <xf numFmtId="0" fontId="15" fillId="25" borderId="58" xfId="0" applyFont="1" applyFill="1" applyBorder="1" applyAlignment="1" applyProtection="1">
      <alignment vertical="top" wrapText="1"/>
      <protection locked="0"/>
    </xf>
    <xf numFmtId="1" fontId="23" fillId="0" borderId="21" xfId="0" applyNumberFormat="1" applyFont="1" applyBorder="1" applyAlignment="1" applyProtection="1">
      <alignment horizontal="center" vertical="center" wrapText="1"/>
      <protection locked="0"/>
    </xf>
    <xf numFmtId="0" fontId="23" fillId="0" borderId="48" xfId="0" applyFont="1" applyBorder="1" applyAlignment="1" applyProtection="1">
      <alignment horizontal="center" vertical="center" wrapText="1"/>
      <protection locked="0"/>
    </xf>
    <xf numFmtId="165" fontId="24" fillId="0" borderId="23" xfId="0" applyNumberFormat="1" applyFont="1" applyBorder="1" applyAlignment="1">
      <alignment horizontal="center" vertical="center" wrapText="1"/>
    </xf>
    <xf numFmtId="0" fontId="3" fillId="3" borderId="43" xfId="0" applyFont="1" applyFill="1" applyBorder="1" applyAlignment="1">
      <alignment vertical="center" wrapText="1"/>
    </xf>
    <xf numFmtId="0" fontId="40" fillId="25" borderId="58" xfId="0" applyFont="1" applyFill="1" applyBorder="1" applyAlignment="1" applyProtection="1">
      <alignment vertical="top" wrapText="1"/>
      <protection locked="0"/>
    </xf>
    <xf numFmtId="0" fontId="4" fillId="0" borderId="15" xfId="0" applyFont="1" applyBorder="1" applyAlignment="1" applyProtection="1">
      <alignment horizontal="center" vertical="center" wrapText="1"/>
      <protection locked="0"/>
    </xf>
    <xf numFmtId="0" fontId="4" fillId="0" borderId="20" xfId="0" applyFont="1" applyBorder="1" applyAlignment="1" applyProtection="1">
      <alignment horizontal="center" vertical="center" wrapText="1"/>
      <protection locked="0"/>
    </xf>
    <xf numFmtId="0" fontId="23" fillId="0" borderId="20" xfId="0" applyFont="1" applyBorder="1" applyAlignment="1" applyProtection="1">
      <alignment horizontal="center" vertical="center" wrapText="1"/>
      <protection locked="0"/>
    </xf>
    <xf numFmtId="0" fontId="4" fillId="25" borderId="20" xfId="0" applyFont="1" applyFill="1" applyBorder="1" applyAlignment="1" applyProtection="1">
      <alignment horizontal="center" vertical="center" wrapText="1"/>
      <protection locked="0"/>
    </xf>
    <xf numFmtId="0" fontId="2" fillId="0" borderId="43" xfId="0" applyFont="1" applyBorder="1" applyAlignment="1" applyProtection="1">
      <alignment horizontal="center" vertical="center"/>
      <protection locked="0"/>
    </xf>
    <xf numFmtId="0" fontId="23" fillId="25" borderId="20" xfId="0" applyFont="1" applyFill="1" applyBorder="1" applyAlignment="1" applyProtection="1">
      <alignment horizontal="center" vertical="center" wrapText="1"/>
      <protection locked="0"/>
    </xf>
    <xf numFmtId="0" fontId="40" fillId="25" borderId="60" xfId="0" applyFont="1" applyFill="1" applyBorder="1" applyAlignment="1" applyProtection="1">
      <alignment vertical="top" wrapText="1"/>
      <protection locked="0"/>
    </xf>
    <xf numFmtId="0" fontId="40" fillId="0" borderId="4" xfId="0" applyFont="1" applyBorder="1" applyAlignment="1" applyProtection="1">
      <alignment vertical="top" wrapText="1"/>
      <protection locked="0"/>
    </xf>
    <xf numFmtId="0" fontId="15" fillId="25" borderId="32" xfId="0" applyFont="1" applyFill="1" applyBorder="1" applyAlignment="1" applyProtection="1">
      <alignment vertical="top" wrapText="1"/>
      <protection locked="0"/>
    </xf>
    <xf numFmtId="165" fontId="26" fillId="28" borderId="38" xfId="0" applyNumberFormat="1" applyFont="1" applyFill="1" applyBorder="1" applyAlignment="1" applyProtection="1">
      <alignment horizontal="center" vertical="center" wrapText="1"/>
      <protection locked="0"/>
    </xf>
    <xf numFmtId="165" fontId="26" fillId="28" borderId="55" xfId="0" applyNumberFormat="1" applyFont="1" applyFill="1" applyBorder="1" applyAlignment="1" applyProtection="1">
      <alignment horizontal="center" vertical="center" wrapText="1"/>
      <protection locked="0"/>
    </xf>
    <xf numFmtId="0" fontId="15" fillId="25" borderId="4" xfId="0" applyFont="1" applyFill="1" applyBorder="1" applyAlignment="1" applyProtection="1">
      <alignment vertical="top" wrapText="1"/>
      <protection locked="0"/>
    </xf>
    <xf numFmtId="0" fontId="23" fillId="12" borderId="21" xfId="0" applyFont="1" applyFill="1" applyBorder="1" applyAlignment="1" applyProtection="1">
      <alignment horizontal="center" vertical="center" wrapText="1"/>
      <protection locked="0"/>
    </xf>
    <xf numFmtId="0" fontId="23" fillId="12" borderId="23" xfId="0" applyFont="1" applyFill="1" applyBorder="1" applyAlignment="1" applyProtection="1">
      <alignment horizontal="center" vertical="center" wrapText="1"/>
      <protection locked="0"/>
    </xf>
    <xf numFmtId="0" fontId="0" fillId="28" borderId="45" xfId="0" applyFill="1" applyBorder="1" applyAlignment="1" applyProtection="1">
      <alignment vertical="top" wrapText="1"/>
      <protection locked="0"/>
    </xf>
    <xf numFmtId="0" fontId="15" fillId="25" borderId="33" xfId="0" applyFont="1" applyFill="1" applyBorder="1" applyAlignment="1" applyProtection="1">
      <alignment vertical="top" wrapText="1"/>
      <protection locked="0"/>
    </xf>
    <xf numFmtId="0" fontId="40" fillId="25" borderId="33" xfId="0" applyFont="1" applyFill="1" applyBorder="1" applyAlignment="1" applyProtection="1">
      <alignment vertical="top" wrapText="1"/>
      <protection locked="0"/>
    </xf>
    <xf numFmtId="1" fontId="25" fillId="25" borderId="21" xfId="0" applyNumberFormat="1" applyFont="1" applyFill="1" applyBorder="1" applyAlignment="1" applyProtection="1">
      <alignment horizontal="center" vertical="center" wrapText="1"/>
      <protection locked="0"/>
    </xf>
    <xf numFmtId="0" fontId="40" fillId="12" borderId="24" xfId="0" applyFont="1" applyFill="1" applyBorder="1" applyAlignment="1" applyProtection="1">
      <alignment wrapText="1"/>
      <protection locked="0"/>
    </xf>
    <xf numFmtId="0" fontId="0" fillId="12" borderId="25" xfId="0" applyFill="1" applyBorder="1" applyAlignment="1" applyProtection="1">
      <alignment wrapText="1"/>
      <protection locked="0"/>
    </xf>
    <xf numFmtId="0" fontId="16" fillId="11" borderId="7" xfId="0" applyFont="1" applyFill="1" applyBorder="1" applyAlignment="1" applyProtection="1">
      <alignment vertical="center" wrapText="1"/>
      <protection locked="0"/>
    </xf>
    <xf numFmtId="9" fontId="25" fillId="6" borderId="4" xfId="1" applyFont="1" applyFill="1" applyBorder="1" applyAlignment="1">
      <alignment horizontal="center" vertical="center" wrapText="1"/>
    </xf>
    <xf numFmtId="0" fontId="23" fillId="0" borderId="50" xfId="0" applyFont="1" applyBorder="1" applyAlignment="1" applyProtection="1">
      <alignment horizontal="center" vertical="center" wrapText="1"/>
      <protection locked="0"/>
    </xf>
    <xf numFmtId="0" fontId="23" fillId="0" borderId="52" xfId="0" applyFont="1" applyBorder="1" applyAlignment="1" applyProtection="1">
      <alignment horizontal="center" vertical="center" wrapText="1"/>
      <protection locked="0"/>
    </xf>
    <xf numFmtId="0" fontId="23" fillId="25" borderId="17" xfId="0" applyFont="1" applyFill="1" applyBorder="1" applyAlignment="1" applyProtection="1">
      <alignment horizontal="center" vertical="center" wrapText="1"/>
      <protection locked="0"/>
    </xf>
    <xf numFmtId="0" fontId="23" fillId="25" borderId="19" xfId="0" applyFont="1" applyFill="1" applyBorder="1" applyAlignment="1" applyProtection="1">
      <alignment horizontal="center" vertical="center" wrapText="1"/>
      <protection locked="0"/>
    </xf>
    <xf numFmtId="1" fontId="24" fillId="0" borderId="17" xfId="1" applyNumberFormat="1" applyFont="1" applyBorder="1" applyAlignment="1">
      <alignment horizontal="center" vertical="center" wrapText="1"/>
    </xf>
    <xf numFmtId="1" fontId="24" fillId="12" borderId="19" xfId="0" applyNumberFormat="1" applyFont="1" applyFill="1" applyBorder="1" applyAlignment="1">
      <alignment horizontal="center" vertical="center" wrapText="1"/>
    </xf>
    <xf numFmtId="0" fontId="23" fillId="25" borderId="21" xfId="0" applyFont="1" applyFill="1" applyBorder="1" applyAlignment="1" applyProtection="1">
      <alignment horizontal="center" vertical="center" wrapText="1"/>
      <protection locked="0"/>
    </xf>
    <xf numFmtId="1" fontId="24" fillId="0" borderId="21" xfId="1" applyNumberFormat="1" applyFont="1" applyBorder="1" applyAlignment="1">
      <alignment horizontal="center" vertical="center" wrapText="1"/>
    </xf>
    <xf numFmtId="1" fontId="24" fillId="12" borderId="23" xfId="0" applyNumberFormat="1" applyFont="1" applyFill="1" applyBorder="1" applyAlignment="1">
      <alignment horizontal="center" vertical="center" wrapText="1"/>
    </xf>
    <xf numFmtId="0" fontId="15" fillId="25" borderId="64" xfId="0" applyFont="1" applyFill="1" applyBorder="1" applyAlignment="1" applyProtection="1">
      <alignment vertical="top" wrapText="1"/>
      <protection locked="0"/>
    </xf>
    <xf numFmtId="0" fontId="50" fillId="25" borderId="54" xfId="0" applyFont="1" applyFill="1" applyBorder="1" applyAlignment="1" applyProtection="1">
      <alignment horizontal="center" vertical="center" wrapText="1"/>
      <protection locked="0"/>
    </xf>
    <xf numFmtId="0" fontId="26" fillId="0" borderId="74" xfId="0" applyFont="1" applyBorder="1" applyAlignment="1" applyProtection="1">
      <alignment horizontal="center" vertical="center" wrapText="1"/>
      <protection locked="0"/>
    </xf>
    <xf numFmtId="0" fontId="24" fillId="9" borderId="29" xfId="0" applyFont="1" applyFill="1" applyBorder="1" applyAlignment="1">
      <alignment vertical="center" wrapText="1"/>
    </xf>
    <xf numFmtId="0" fontId="24" fillId="9" borderId="30" xfId="0" applyFont="1" applyFill="1" applyBorder="1" applyAlignment="1">
      <alignment vertical="center" wrapText="1"/>
    </xf>
    <xf numFmtId="0" fontId="15" fillId="25" borderId="59" xfId="0" applyFont="1" applyFill="1" applyBorder="1" applyAlignment="1" applyProtection="1">
      <alignment vertical="top" wrapText="1"/>
      <protection locked="0"/>
    </xf>
    <xf numFmtId="0" fontId="23" fillId="0" borderId="21" xfId="0" applyFont="1" applyBorder="1" applyAlignment="1" applyProtection="1">
      <alignment horizontal="center" vertical="center" wrapText="1"/>
      <protection locked="0"/>
    </xf>
    <xf numFmtId="0" fontId="23" fillId="0" borderId="23" xfId="0" applyFont="1" applyBorder="1" applyAlignment="1" applyProtection="1">
      <alignment horizontal="center" vertical="center" wrapText="1"/>
      <protection locked="0"/>
    </xf>
    <xf numFmtId="0" fontId="24" fillId="9" borderId="31" xfId="0" applyFont="1" applyFill="1" applyBorder="1" applyAlignment="1">
      <alignment vertical="center" wrapText="1"/>
    </xf>
    <xf numFmtId="0" fontId="40" fillId="12" borderId="60" xfId="0" applyFont="1" applyFill="1" applyBorder="1" applyAlignment="1" applyProtection="1">
      <alignment vertical="top" wrapText="1"/>
      <protection locked="0"/>
    </xf>
    <xf numFmtId="165" fontId="50" fillId="25" borderId="15" xfId="0" applyNumberFormat="1" applyFont="1" applyFill="1" applyBorder="1" applyAlignment="1" applyProtection="1">
      <alignment horizontal="center" vertical="center" wrapText="1"/>
      <protection locked="0"/>
    </xf>
    <xf numFmtId="165" fontId="25" fillId="25" borderId="15" xfId="0" applyNumberFormat="1" applyFont="1" applyFill="1" applyBorder="1" applyAlignment="1" applyProtection="1">
      <alignment horizontal="center" vertical="center" wrapText="1"/>
      <protection locked="0"/>
    </xf>
    <xf numFmtId="165" fontId="25" fillId="25" borderId="20" xfId="0" applyNumberFormat="1" applyFont="1" applyFill="1" applyBorder="1" applyAlignment="1" applyProtection="1">
      <alignment horizontal="center" vertical="center" wrapText="1"/>
      <protection locked="0"/>
    </xf>
    <xf numFmtId="165" fontId="22" fillId="25" borderId="15" xfId="0" applyNumberFormat="1" applyFont="1" applyFill="1" applyBorder="1" applyAlignment="1" applyProtection="1">
      <alignment horizontal="center" vertical="center" wrapText="1"/>
      <protection locked="0"/>
    </xf>
    <xf numFmtId="165" fontId="22" fillId="25" borderId="20" xfId="0" applyNumberFormat="1" applyFont="1" applyFill="1" applyBorder="1" applyAlignment="1" applyProtection="1">
      <alignment horizontal="center" vertical="center" wrapText="1"/>
      <protection locked="0"/>
    </xf>
    <xf numFmtId="165" fontId="38" fillId="25" borderId="21" xfId="0" applyNumberFormat="1" applyFont="1" applyFill="1" applyBorder="1" applyAlignment="1" applyProtection="1">
      <alignment horizontal="center" vertical="center" wrapText="1"/>
      <protection locked="0"/>
    </xf>
    <xf numFmtId="165" fontId="25" fillId="25" borderId="23" xfId="0" applyNumberFormat="1" applyFont="1" applyFill="1" applyBorder="1" applyAlignment="1" applyProtection="1">
      <alignment horizontal="center" vertical="center" wrapText="1"/>
      <protection locked="0"/>
    </xf>
    <xf numFmtId="0" fontId="15" fillId="25" borderId="60" xfId="0" applyFont="1" applyFill="1" applyBorder="1" applyAlignment="1" applyProtection="1">
      <alignment vertical="top" wrapText="1"/>
      <protection locked="0"/>
    </xf>
    <xf numFmtId="0" fontId="40" fillId="28" borderId="34" xfId="0" applyFont="1" applyFill="1" applyBorder="1" applyAlignment="1" applyProtection="1">
      <alignment vertical="top" wrapText="1"/>
      <protection locked="0"/>
    </xf>
    <xf numFmtId="0" fontId="25" fillId="0" borderId="50" xfId="0" applyFont="1" applyBorder="1" applyAlignment="1" applyProtection="1">
      <alignment horizontal="center" vertical="center" wrapText="1"/>
      <protection locked="0"/>
    </xf>
    <xf numFmtId="0" fontId="50" fillId="0" borderId="36" xfId="0" applyFont="1" applyBorder="1" applyAlignment="1" applyProtection="1">
      <alignment horizontal="center" vertical="center" wrapText="1"/>
      <protection locked="0"/>
    </xf>
    <xf numFmtId="0" fontId="41" fillId="0" borderId="1" xfId="0" applyFont="1" applyBorder="1" applyAlignment="1" applyProtection="1">
      <alignment vertical="top" wrapText="1"/>
      <protection locked="0"/>
    </xf>
    <xf numFmtId="165" fontId="23" fillId="0" borderId="50" xfId="0" applyNumberFormat="1" applyFont="1" applyBorder="1" applyAlignment="1" applyProtection="1">
      <alignment horizontal="center" vertical="center" wrapText="1"/>
      <protection locked="0"/>
    </xf>
    <xf numFmtId="165" fontId="23" fillId="0" borderId="36" xfId="0" applyNumberFormat="1" applyFont="1" applyBorder="1" applyAlignment="1" applyProtection="1">
      <alignment horizontal="center" vertical="center" wrapText="1"/>
      <protection locked="0"/>
    </xf>
    <xf numFmtId="0" fontId="40" fillId="0" borderId="19" xfId="0" applyFont="1" applyBorder="1" applyAlignment="1" applyProtection="1">
      <alignment vertical="top" wrapText="1"/>
      <protection locked="0"/>
    </xf>
    <xf numFmtId="0" fontId="40" fillId="0" borderId="23" xfId="0" applyFont="1" applyBorder="1" applyAlignment="1" applyProtection="1">
      <alignment vertical="top" wrapText="1"/>
      <protection locked="0"/>
    </xf>
    <xf numFmtId="165" fontId="26" fillId="0" borderId="12" xfId="0" applyNumberFormat="1" applyFont="1" applyBorder="1" applyAlignment="1" applyProtection="1">
      <alignment horizontal="center" vertical="center" wrapText="1"/>
      <protection locked="0"/>
    </xf>
    <xf numFmtId="165" fontId="26" fillId="0" borderId="38" xfId="0" applyNumberFormat="1" applyFont="1" applyBorder="1" applyAlignment="1" applyProtection="1">
      <alignment horizontal="center" vertical="center" wrapText="1"/>
      <protection locked="0"/>
    </xf>
    <xf numFmtId="165" fontId="26" fillId="0" borderId="55" xfId="0" applyNumberFormat="1" applyFont="1" applyBorder="1" applyAlignment="1" applyProtection="1">
      <alignment horizontal="center" vertical="center" wrapText="1"/>
      <protection locked="0"/>
    </xf>
    <xf numFmtId="165" fontId="25" fillId="0" borderId="15" xfId="0" applyNumberFormat="1" applyFont="1" applyBorder="1" applyAlignment="1" applyProtection="1">
      <alignment horizontal="center" vertical="center" wrapText="1"/>
      <protection locked="0"/>
    </xf>
    <xf numFmtId="165" fontId="38" fillId="0" borderId="20" xfId="0" applyNumberFormat="1" applyFont="1" applyBorder="1" applyAlignment="1" applyProtection="1">
      <alignment horizontal="center" vertical="center" wrapText="1"/>
      <protection locked="0"/>
    </xf>
    <xf numFmtId="165" fontId="38" fillId="0" borderId="15" xfId="0" applyNumberFormat="1" applyFont="1" applyBorder="1" applyAlignment="1" applyProtection="1">
      <alignment horizontal="center" vertical="center" wrapText="1"/>
      <protection locked="0"/>
    </xf>
    <xf numFmtId="165" fontId="50" fillId="0" borderId="15" xfId="0" applyNumberFormat="1" applyFont="1" applyBorder="1" applyAlignment="1" applyProtection="1">
      <alignment horizontal="center" vertical="center" wrapText="1"/>
      <protection locked="0"/>
    </xf>
    <xf numFmtId="165" fontId="50" fillId="0" borderId="20" xfId="0" applyNumberFormat="1" applyFont="1" applyBorder="1" applyAlignment="1" applyProtection="1">
      <alignment horizontal="center" vertical="center" wrapText="1"/>
      <protection locked="0"/>
    </xf>
    <xf numFmtId="165" fontId="25" fillId="0" borderId="20" xfId="0" applyNumberFormat="1" applyFont="1" applyBorder="1" applyAlignment="1" applyProtection="1">
      <alignment horizontal="center" vertical="center" wrapText="1"/>
      <protection locked="0"/>
    </xf>
    <xf numFmtId="165" fontId="25" fillId="0" borderId="21" xfId="0" applyNumberFormat="1" applyFont="1" applyBorder="1" applyAlignment="1" applyProtection="1">
      <alignment horizontal="center" vertical="center" wrapText="1"/>
      <protection locked="0"/>
    </xf>
    <xf numFmtId="165" fontId="25" fillId="0" borderId="23" xfId="0" applyNumberFormat="1" applyFont="1" applyBorder="1" applyAlignment="1" applyProtection="1">
      <alignment horizontal="center" vertical="center" wrapText="1"/>
      <protection locked="0"/>
    </xf>
    <xf numFmtId="165" fontId="26" fillId="0" borderId="39" xfId="0" applyNumberFormat="1" applyFont="1" applyBorder="1" applyAlignment="1" applyProtection="1">
      <alignment horizontal="center" vertical="center" wrapText="1"/>
      <protection locked="0"/>
    </xf>
    <xf numFmtId="165" fontId="26" fillId="0" borderId="47" xfId="0" applyNumberFormat="1" applyFont="1" applyBorder="1" applyAlignment="1" applyProtection="1">
      <alignment horizontal="center" vertical="center" wrapText="1"/>
      <protection locked="0"/>
    </xf>
    <xf numFmtId="165" fontId="26" fillId="0" borderId="48" xfId="0" applyNumberFormat="1" applyFont="1" applyBorder="1" applyAlignment="1" applyProtection="1">
      <alignment horizontal="center" vertical="center" wrapText="1"/>
      <protection locked="0"/>
    </xf>
    <xf numFmtId="165" fontId="26" fillId="0" borderId="21" xfId="0" applyNumberFormat="1" applyFont="1" applyBorder="1" applyAlignment="1" applyProtection="1">
      <alignment horizontal="center" vertical="top" wrapText="1"/>
      <protection locked="0"/>
    </xf>
    <xf numFmtId="165" fontId="26" fillId="0" borderId="23" xfId="0" applyNumberFormat="1" applyFont="1" applyBorder="1" applyAlignment="1" applyProtection="1">
      <alignment horizontal="center" vertical="top" wrapText="1"/>
      <protection locked="0"/>
    </xf>
    <xf numFmtId="0" fontId="22" fillId="0" borderId="32" xfId="0" applyFont="1" applyBorder="1" applyAlignment="1" applyProtection="1">
      <alignment vertical="top" wrapText="1"/>
      <protection locked="0"/>
    </xf>
    <xf numFmtId="0" fontId="22" fillId="0" borderId="41" xfId="0" applyFont="1" applyBorder="1" applyAlignment="1" applyProtection="1">
      <alignment vertical="top" wrapText="1"/>
      <protection locked="0"/>
    </xf>
    <xf numFmtId="0" fontId="24" fillId="9" borderId="61" xfId="0" applyFont="1" applyFill="1" applyBorder="1" applyAlignment="1">
      <alignment vertical="center" wrapText="1"/>
    </xf>
    <xf numFmtId="0" fontId="24" fillId="9" borderId="40" xfId="0" applyFont="1" applyFill="1" applyBorder="1" applyAlignment="1">
      <alignment vertical="center" wrapText="1"/>
    </xf>
    <xf numFmtId="165" fontId="32" fillId="3" borderId="0" xfId="0" applyNumberFormat="1" applyFont="1" applyFill="1" applyAlignment="1" applyProtection="1">
      <alignment vertical="center" wrapText="1"/>
      <protection locked="0"/>
    </xf>
    <xf numFmtId="0" fontId="27" fillId="22" borderId="29" xfId="0" applyFont="1" applyFill="1" applyBorder="1" applyAlignment="1">
      <alignment vertical="center" wrapText="1"/>
    </xf>
    <xf numFmtId="0" fontId="27" fillId="22" borderId="30" xfId="0" applyFont="1" applyFill="1" applyBorder="1" applyAlignment="1">
      <alignment vertical="center" wrapText="1"/>
    </xf>
    <xf numFmtId="0" fontId="22" fillId="0" borderId="59" xfId="0" applyFont="1" applyBorder="1" applyAlignment="1" applyProtection="1">
      <alignment vertical="top" wrapText="1"/>
      <protection locked="0"/>
    </xf>
    <xf numFmtId="0" fontId="27" fillId="22" borderId="31" xfId="0" applyFont="1" applyFill="1" applyBorder="1" applyAlignment="1">
      <alignment vertical="center" wrapText="1"/>
    </xf>
    <xf numFmtId="0" fontId="22" fillId="0" borderId="60" xfId="0" applyFont="1" applyBorder="1" applyAlignment="1" applyProtection="1">
      <alignment vertical="top" wrapText="1"/>
      <protection locked="0"/>
    </xf>
    <xf numFmtId="165" fontId="10" fillId="3" borderId="0" xfId="0" applyNumberFormat="1" applyFont="1" applyFill="1" applyAlignment="1" applyProtection="1">
      <alignment vertical="center" wrapText="1"/>
      <protection locked="0"/>
    </xf>
    <xf numFmtId="0" fontId="0" fillId="11" borderId="5" xfId="0" applyFill="1" applyBorder="1" applyAlignment="1">
      <alignment vertical="top" wrapText="1"/>
    </xf>
    <xf numFmtId="0" fontId="0" fillId="11" borderId="1" xfId="0" applyFill="1" applyBorder="1" applyAlignment="1">
      <alignment vertical="top" wrapText="1"/>
    </xf>
    <xf numFmtId="165" fontId="26" fillId="0" borderId="51" xfId="0" applyNumberFormat="1" applyFont="1" applyBorder="1" applyAlignment="1" applyProtection="1">
      <alignment horizontal="center" vertical="center" wrapText="1"/>
      <protection locked="0"/>
    </xf>
    <xf numFmtId="0" fontId="22" fillId="0" borderId="1" xfId="0" applyFont="1" applyBorder="1" applyAlignment="1" applyProtection="1">
      <alignment vertical="top" wrapText="1"/>
      <protection locked="0"/>
    </xf>
    <xf numFmtId="165" fontId="26" fillId="0" borderId="38" xfId="1" applyNumberFormat="1" applyFont="1" applyBorder="1" applyAlignment="1" applyProtection="1">
      <alignment horizontal="center" vertical="center" wrapText="1"/>
      <protection locked="0"/>
    </xf>
    <xf numFmtId="165" fontId="26" fillId="0" borderId="39" xfId="1" applyNumberFormat="1" applyFont="1" applyBorder="1" applyAlignment="1" applyProtection="1">
      <alignment horizontal="center" vertical="center" wrapText="1"/>
      <protection locked="0"/>
    </xf>
    <xf numFmtId="165" fontId="12" fillId="4" borderId="66" xfId="0" applyNumberFormat="1" applyFont="1" applyFill="1" applyBorder="1" applyAlignment="1">
      <alignment horizontal="center" vertical="center" wrapText="1"/>
    </xf>
    <xf numFmtId="165" fontId="12" fillId="4" borderId="37" xfId="0" applyNumberFormat="1" applyFont="1" applyFill="1" applyBorder="1" applyAlignment="1">
      <alignment horizontal="center" vertical="center" wrapText="1"/>
    </xf>
    <xf numFmtId="0" fontId="26" fillId="3" borderId="43" xfId="0" applyFont="1" applyFill="1" applyBorder="1" applyAlignment="1">
      <alignment vertical="center" wrapText="1"/>
    </xf>
    <xf numFmtId="0" fontId="26" fillId="3" borderId="9" xfId="0" applyFont="1" applyFill="1" applyBorder="1" applyAlignment="1">
      <alignment vertical="center" wrapText="1"/>
    </xf>
    <xf numFmtId="0" fontId="26" fillId="30" borderId="15" xfId="0" applyFont="1" applyFill="1" applyBorder="1" applyAlignment="1" applyProtection="1">
      <alignment horizontal="center" vertical="center" wrapText="1"/>
      <protection locked="0"/>
    </xf>
    <xf numFmtId="0" fontId="26" fillId="30" borderId="20" xfId="0" applyFont="1" applyFill="1" applyBorder="1" applyAlignment="1" applyProtection="1">
      <alignment horizontal="center" vertical="center" wrapText="1"/>
      <protection locked="0"/>
    </xf>
    <xf numFmtId="0" fontId="25" fillId="30" borderId="20" xfId="0" applyFont="1" applyFill="1" applyBorder="1" applyAlignment="1" applyProtection="1">
      <alignment horizontal="center" vertical="center" wrapText="1"/>
      <protection locked="0"/>
    </xf>
    <xf numFmtId="0" fontId="26" fillId="3" borderId="70" xfId="0" applyFont="1" applyFill="1" applyBorder="1" applyAlignment="1">
      <alignment vertical="center" wrapText="1"/>
    </xf>
    <xf numFmtId="0" fontId="26" fillId="3" borderId="71" xfId="0" applyFont="1" applyFill="1" applyBorder="1" applyAlignment="1">
      <alignment vertical="center" wrapText="1"/>
    </xf>
    <xf numFmtId="0" fontId="26" fillId="3" borderId="16" xfId="0" applyFont="1" applyFill="1" applyBorder="1" applyAlignment="1">
      <alignment vertical="center" wrapText="1"/>
    </xf>
    <xf numFmtId="0" fontId="26" fillId="3" borderId="7" xfId="0" applyFont="1" applyFill="1" applyBorder="1" applyAlignment="1">
      <alignment vertical="center" wrapText="1"/>
    </xf>
    <xf numFmtId="0" fontId="26" fillId="0" borderId="54" xfId="0" applyFont="1" applyBorder="1" applyAlignment="1" applyProtection="1">
      <alignment horizontal="center" vertical="center" wrapText="1"/>
      <protection locked="0"/>
    </xf>
    <xf numFmtId="0" fontId="26" fillId="0" borderId="12" xfId="0" applyFont="1" applyBorder="1" applyAlignment="1" applyProtection="1">
      <alignment horizontal="center" vertical="center" wrapText="1"/>
      <protection locked="0"/>
    </xf>
    <xf numFmtId="0" fontId="26" fillId="3" borderId="42" xfId="0" applyFont="1" applyFill="1" applyBorder="1" applyAlignment="1">
      <alignment vertical="center" wrapText="1"/>
    </xf>
    <xf numFmtId="0" fontId="26" fillId="3" borderId="45" xfId="0" applyFont="1" applyFill="1" applyBorder="1" applyAlignment="1">
      <alignment vertical="center" wrapText="1"/>
    </xf>
    <xf numFmtId="0" fontId="41" fillId="2" borderId="16" xfId="0" applyFont="1" applyFill="1" applyBorder="1" applyAlignment="1">
      <alignment vertical="center" wrapText="1"/>
    </xf>
    <xf numFmtId="0" fontId="41" fillId="2" borderId="7" xfId="0" applyFont="1" applyFill="1" applyBorder="1" applyAlignment="1">
      <alignment vertical="center" wrapText="1"/>
    </xf>
    <xf numFmtId="0" fontId="26" fillId="3" borderId="2" xfId="0" applyFont="1" applyFill="1" applyBorder="1" applyAlignment="1">
      <alignment vertical="center" wrapText="1"/>
    </xf>
    <xf numFmtId="0" fontId="26" fillId="3" borderId="4" xfId="0" applyFont="1" applyFill="1" applyBorder="1" applyAlignment="1">
      <alignment vertical="center" wrapText="1"/>
    </xf>
    <xf numFmtId="0" fontId="41" fillId="3" borderId="2" xfId="0" applyFont="1" applyFill="1" applyBorder="1" applyAlignment="1">
      <alignment vertical="center" wrapText="1"/>
    </xf>
    <xf numFmtId="0" fontId="41" fillId="3" borderId="4" xfId="0" applyFont="1" applyFill="1" applyBorder="1" applyAlignment="1">
      <alignment vertical="center" wrapText="1"/>
    </xf>
    <xf numFmtId="0" fontId="0" fillId="11" borderId="0" xfId="0" applyFill="1" applyAlignment="1">
      <alignment vertical="top" wrapText="1"/>
    </xf>
    <xf numFmtId="0" fontId="41" fillId="2" borderId="2" xfId="0" applyFont="1" applyFill="1" applyBorder="1" applyAlignment="1">
      <alignment vertical="center" wrapText="1"/>
    </xf>
    <xf numFmtId="0" fontId="41" fillId="2" borderId="4" xfId="0" applyFont="1" applyFill="1" applyBorder="1" applyAlignment="1">
      <alignment vertical="center" wrapText="1"/>
    </xf>
    <xf numFmtId="0" fontId="26" fillId="11" borderId="16" xfId="0" applyFont="1" applyFill="1" applyBorder="1" applyAlignment="1">
      <alignment vertical="center" wrapText="1"/>
    </xf>
    <xf numFmtId="0" fontId="26" fillId="11" borderId="7" xfId="0" applyFont="1" applyFill="1" applyBorder="1" applyAlignment="1">
      <alignment vertical="center" wrapText="1"/>
    </xf>
    <xf numFmtId="2" fontId="17" fillId="24" borderId="6" xfId="0" applyNumberFormat="1" applyFont="1" applyFill="1" applyBorder="1"/>
    <xf numFmtId="165" fontId="26" fillId="0" borderId="17" xfId="1" applyNumberFormat="1" applyFont="1" applyBorder="1" applyAlignment="1" applyProtection="1">
      <alignment horizontal="center" vertical="top" wrapText="1"/>
      <protection locked="0"/>
    </xf>
    <xf numFmtId="165" fontId="26" fillId="0" borderId="19" xfId="1" applyNumberFormat="1" applyFont="1" applyBorder="1" applyAlignment="1" applyProtection="1">
      <alignment horizontal="center" vertical="top" wrapText="1"/>
      <protection locked="0"/>
    </xf>
    <xf numFmtId="165" fontId="26" fillId="0" borderId="21" xfId="1" applyNumberFormat="1" applyFont="1" applyBorder="1" applyAlignment="1" applyProtection="1">
      <alignment horizontal="center" vertical="top" wrapText="1"/>
      <protection locked="0"/>
    </xf>
    <xf numFmtId="165" fontId="26" fillId="0" borderId="23" xfId="1" applyNumberFormat="1" applyFont="1" applyBorder="1" applyAlignment="1" applyProtection="1">
      <alignment horizontal="center" vertical="top" wrapText="1"/>
      <protection locked="0"/>
    </xf>
    <xf numFmtId="165" fontId="26" fillId="0" borderId="54" xfId="1" applyNumberFormat="1" applyFont="1" applyBorder="1" applyAlignment="1" applyProtection="1">
      <alignment horizontal="center" vertical="top" wrapText="1"/>
      <protection locked="0"/>
    </xf>
    <xf numFmtId="165" fontId="26" fillId="0" borderId="74" xfId="1" applyNumberFormat="1" applyFont="1" applyBorder="1" applyAlignment="1" applyProtection="1">
      <alignment horizontal="center" vertical="top" wrapText="1"/>
      <protection locked="0"/>
    </xf>
    <xf numFmtId="165" fontId="26" fillId="0" borderId="38" xfId="1" applyNumberFormat="1" applyFont="1" applyBorder="1" applyAlignment="1" applyProtection="1">
      <alignment horizontal="center" vertical="top" wrapText="1"/>
      <protection locked="0"/>
    </xf>
    <xf numFmtId="165" fontId="26" fillId="0" borderId="39" xfId="1" applyNumberFormat="1" applyFont="1" applyBorder="1" applyAlignment="1" applyProtection="1">
      <alignment horizontal="center" vertical="top" wrapText="1"/>
      <protection locked="0"/>
    </xf>
    <xf numFmtId="165" fontId="26" fillId="0" borderId="17" xfId="0" applyNumberFormat="1" applyFont="1" applyBorder="1" applyAlignment="1" applyProtection="1">
      <alignment horizontal="center" vertical="top" wrapText="1"/>
      <protection locked="0"/>
    </xf>
    <xf numFmtId="165" fontId="26" fillId="0" borderId="19" xfId="0" applyNumberFormat="1" applyFont="1" applyBorder="1" applyAlignment="1" applyProtection="1">
      <alignment horizontal="center" vertical="top" wrapText="1"/>
      <protection locked="0"/>
    </xf>
    <xf numFmtId="165" fontId="26" fillId="12" borderId="15" xfId="0" applyNumberFormat="1" applyFont="1" applyFill="1" applyBorder="1" applyAlignment="1" applyProtection="1">
      <alignment horizontal="center" vertical="top" wrapText="1"/>
      <protection locked="0"/>
    </xf>
    <xf numFmtId="165" fontId="26" fillId="12" borderId="20" xfId="0" applyNumberFormat="1" applyFont="1" applyFill="1" applyBorder="1" applyAlignment="1" applyProtection="1">
      <alignment horizontal="center" vertical="top" wrapText="1"/>
      <protection locked="0"/>
    </xf>
    <xf numFmtId="165" fontId="26" fillId="12" borderId="21" xfId="0" applyNumberFormat="1" applyFont="1" applyFill="1" applyBorder="1" applyAlignment="1" applyProtection="1">
      <alignment horizontal="center" vertical="top" wrapText="1"/>
      <protection locked="0"/>
    </xf>
    <xf numFmtId="165" fontId="26" fillId="25" borderId="23" xfId="0" applyNumberFormat="1" applyFont="1" applyFill="1" applyBorder="1" applyAlignment="1" applyProtection="1">
      <alignment horizontal="center" vertical="top" wrapText="1"/>
      <protection locked="0"/>
    </xf>
    <xf numFmtId="165" fontId="26" fillId="0" borderId="11" xfId="0" applyNumberFormat="1" applyFont="1" applyBorder="1" applyAlignment="1" applyProtection="1">
      <alignment horizontal="center" vertical="top" wrapText="1"/>
      <protection locked="0"/>
    </xf>
    <xf numFmtId="165" fontId="27" fillId="25" borderId="11" xfId="0" applyNumberFormat="1" applyFont="1" applyFill="1" applyBorder="1" applyAlignment="1" applyProtection="1">
      <alignment horizontal="center" vertical="top" wrapText="1"/>
      <protection locked="0"/>
    </xf>
    <xf numFmtId="165" fontId="50" fillId="25" borderId="17" xfId="0" applyNumberFormat="1" applyFont="1" applyFill="1" applyBorder="1" applyAlignment="1" applyProtection="1">
      <alignment horizontal="center" vertical="top" wrapText="1"/>
      <protection locked="0"/>
    </xf>
    <xf numFmtId="165" fontId="38" fillId="0" borderId="19" xfId="0" applyNumberFormat="1" applyFont="1" applyBorder="1" applyAlignment="1" applyProtection="1">
      <alignment horizontal="center" vertical="top" wrapText="1"/>
      <protection locked="0"/>
    </xf>
    <xf numFmtId="165" fontId="50" fillId="0" borderId="15" xfId="0" applyNumberFormat="1" applyFont="1" applyBorder="1" applyAlignment="1" applyProtection="1">
      <alignment horizontal="center" vertical="top" wrapText="1"/>
      <protection locked="0"/>
    </xf>
    <xf numFmtId="165" fontId="38" fillId="0" borderId="20" xfId="0" applyNumberFormat="1" applyFont="1" applyBorder="1" applyAlignment="1" applyProtection="1">
      <alignment horizontal="center" vertical="top" wrapText="1"/>
      <protection locked="0"/>
    </xf>
    <xf numFmtId="165" fontId="50" fillId="25" borderId="15" xfId="0" applyNumberFormat="1" applyFont="1" applyFill="1" applyBorder="1" applyAlignment="1" applyProtection="1">
      <alignment horizontal="center" vertical="top" wrapText="1"/>
      <protection locked="0"/>
    </xf>
    <xf numFmtId="165" fontId="50" fillId="0" borderId="20" xfId="0" applyNumberFormat="1" applyFont="1" applyBorder="1" applyAlignment="1" applyProtection="1">
      <alignment horizontal="center" vertical="top" wrapText="1"/>
      <protection locked="0"/>
    </xf>
    <xf numFmtId="165" fontId="23" fillId="0" borderId="15" xfId="0" applyNumberFormat="1" applyFont="1" applyBorder="1" applyAlignment="1" applyProtection="1">
      <alignment horizontal="center" vertical="top" wrapText="1"/>
      <protection locked="0"/>
    </xf>
    <xf numFmtId="165" fontId="23" fillId="0" borderId="20" xfId="0" applyNumberFormat="1" applyFont="1" applyBorder="1" applyAlignment="1" applyProtection="1">
      <alignment horizontal="center" vertical="top" wrapText="1"/>
      <protection locked="0"/>
    </xf>
    <xf numFmtId="165" fontId="25" fillId="0" borderId="20" xfId="0" applyNumberFormat="1" applyFont="1" applyBorder="1" applyAlignment="1" applyProtection="1">
      <alignment horizontal="center" vertical="top" wrapText="1"/>
      <protection locked="0"/>
    </xf>
    <xf numFmtId="1" fontId="25" fillId="0" borderId="15" xfId="0" applyNumberFormat="1" applyFont="1" applyBorder="1" applyAlignment="1" applyProtection="1">
      <alignment horizontal="center" vertical="top" wrapText="1"/>
      <protection locked="0"/>
    </xf>
    <xf numFmtId="165" fontId="25" fillId="0" borderId="21" xfId="0" applyNumberFormat="1" applyFont="1" applyBorder="1" applyAlignment="1" applyProtection="1">
      <alignment horizontal="center" vertical="top" wrapText="1"/>
      <protection locked="0"/>
    </xf>
    <xf numFmtId="165" fontId="25" fillId="25" borderId="23" xfId="0" applyNumberFormat="1" applyFont="1" applyFill="1" applyBorder="1" applyAlignment="1" applyProtection="1">
      <alignment horizontal="center" vertical="top" wrapText="1"/>
      <protection locked="0"/>
    </xf>
    <xf numFmtId="164" fontId="26" fillId="0" borderId="17" xfId="2" applyFont="1" applyBorder="1" applyAlignment="1" applyProtection="1">
      <alignment horizontal="center" vertical="top" wrapText="1"/>
      <protection locked="0"/>
    </xf>
    <xf numFmtId="164" fontId="26" fillId="0" borderId="19" xfId="2" applyFont="1" applyBorder="1" applyAlignment="1" applyProtection="1">
      <alignment horizontal="center" vertical="top" wrapText="1"/>
      <protection locked="0"/>
    </xf>
    <xf numFmtId="0" fontId="24" fillId="22" borderId="29" xfId="0" applyFont="1" applyFill="1" applyBorder="1" applyAlignment="1">
      <alignment vertical="center" wrapText="1"/>
    </xf>
    <xf numFmtId="165" fontId="38" fillId="25" borderId="21" xfId="0" applyNumberFormat="1" applyFont="1" applyFill="1" applyBorder="1" applyAlignment="1" applyProtection="1">
      <alignment horizontal="center" vertical="top" wrapText="1"/>
      <protection locked="0"/>
    </xf>
    <xf numFmtId="165" fontId="38" fillId="25" borderId="23" xfId="0" applyNumberFormat="1" applyFont="1" applyFill="1" applyBorder="1" applyAlignment="1" applyProtection="1">
      <alignment horizontal="center" vertical="top" wrapText="1"/>
      <protection locked="0"/>
    </xf>
    <xf numFmtId="0" fontId="24" fillId="22" borderId="30" xfId="0" applyFont="1" applyFill="1" applyBorder="1" applyAlignment="1">
      <alignment vertical="center" wrapText="1"/>
    </xf>
    <xf numFmtId="0" fontId="0" fillId="11" borderId="43" xfId="0" applyFill="1" applyBorder="1" applyAlignment="1" applyProtection="1">
      <alignment vertical="top" wrapText="1"/>
      <protection locked="0"/>
    </xf>
    <xf numFmtId="0" fontId="24" fillId="5" borderId="30" xfId="0" applyFont="1" applyFill="1" applyBorder="1" applyAlignment="1">
      <alignment vertical="center" wrapText="1"/>
    </xf>
    <xf numFmtId="0" fontId="35" fillId="0" borderId="32" xfId="3" applyFont="1" applyBorder="1" applyAlignment="1" applyProtection="1">
      <alignment vertical="top" wrapText="1"/>
      <protection locked="0"/>
    </xf>
    <xf numFmtId="0" fontId="15" fillId="12" borderId="32" xfId="0" applyFont="1" applyFill="1" applyBorder="1" applyAlignment="1" applyProtection="1">
      <alignment vertical="top" wrapText="1"/>
      <protection locked="0"/>
    </xf>
    <xf numFmtId="0" fontId="22" fillId="12" borderId="34" xfId="0" applyFont="1" applyFill="1" applyBorder="1" applyAlignment="1" applyProtection="1">
      <alignment vertical="top" wrapText="1"/>
      <protection locked="0"/>
    </xf>
    <xf numFmtId="165" fontId="24" fillId="25" borderId="17" xfId="0" applyNumberFormat="1" applyFont="1" applyFill="1" applyBorder="1" applyAlignment="1" applyProtection="1">
      <alignment horizontal="center" vertical="top" wrapText="1"/>
      <protection locked="0"/>
    </xf>
    <xf numFmtId="165" fontId="24" fillId="25" borderId="19" xfId="0" applyNumberFormat="1" applyFont="1" applyFill="1" applyBorder="1" applyAlignment="1" applyProtection="1">
      <alignment horizontal="center" vertical="top" wrapText="1"/>
      <protection locked="0"/>
    </xf>
    <xf numFmtId="165" fontId="25" fillId="25" borderId="15" xfId="0" applyNumberFormat="1" applyFont="1" applyFill="1" applyBorder="1" applyAlignment="1" applyProtection="1">
      <alignment horizontal="center" vertical="top" wrapText="1"/>
      <protection locked="0"/>
    </xf>
    <xf numFmtId="165" fontId="38" fillId="25" borderId="20" xfId="0" applyNumberFormat="1" applyFont="1" applyFill="1" applyBorder="1" applyAlignment="1" applyProtection="1">
      <alignment horizontal="center" vertical="top" wrapText="1"/>
      <protection locked="0"/>
    </xf>
    <xf numFmtId="165" fontId="38" fillId="25" borderId="15" xfId="0" applyNumberFormat="1" applyFont="1" applyFill="1" applyBorder="1" applyAlignment="1" applyProtection="1">
      <alignment horizontal="center" vertical="top" wrapText="1"/>
      <protection locked="0"/>
    </xf>
    <xf numFmtId="0" fontId="56" fillId="25" borderId="33" xfId="0" applyFont="1" applyFill="1" applyBorder="1" applyAlignment="1" applyProtection="1">
      <alignment vertical="top" wrapText="1"/>
      <protection locked="0"/>
    </xf>
    <xf numFmtId="0" fontId="57" fillId="25" borderId="33" xfId="0" applyFont="1" applyFill="1" applyBorder="1" applyAlignment="1" applyProtection="1">
      <alignment vertical="top" wrapText="1"/>
      <protection locked="0"/>
    </xf>
    <xf numFmtId="165" fontId="25" fillId="0" borderId="23" xfId="0" applyNumberFormat="1" applyFont="1" applyBorder="1" applyAlignment="1" applyProtection="1">
      <alignment horizontal="center" vertical="top" wrapText="1"/>
      <protection locked="0"/>
    </xf>
    <xf numFmtId="0" fontId="22" fillId="25" borderId="10" xfId="0" applyFont="1" applyFill="1" applyBorder="1" applyAlignment="1" applyProtection="1">
      <alignment vertical="top" wrapText="1"/>
      <protection locked="0"/>
    </xf>
    <xf numFmtId="0" fontId="15" fillId="12" borderId="11" xfId="0" applyFont="1" applyFill="1" applyBorder="1" applyAlignment="1" applyProtection="1">
      <alignment vertical="top" wrapText="1"/>
      <protection locked="0"/>
    </xf>
    <xf numFmtId="165" fontId="23" fillId="25" borderId="21" xfId="0" applyNumberFormat="1" applyFont="1" applyFill="1" applyBorder="1" applyAlignment="1" applyProtection="1">
      <alignment horizontal="center" vertical="top" wrapText="1"/>
      <protection locked="0"/>
    </xf>
    <xf numFmtId="165" fontId="23" fillId="25" borderId="23" xfId="0" applyNumberFormat="1" applyFont="1" applyFill="1" applyBorder="1" applyAlignment="1" applyProtection="1">
      <alignment horizontal="center" vertical="top" wrapText="1"/>
      <protection locked="0"/>
    </xf>
    <xf numFmtId="165" fontId="23" fillId="25" borderId="36" xfId="0" applyNumberFormat="1" applyFont="1" applyFill="1" applyBorder="1" applyAlignment="1" applyProtection="1">
      <alignment horizontal="center" vertical="center" wrapText="1"/>
      <protection locked="0"/>
    </xf>
    <xf numFmtId="165" fontId="23" fillId="4" borderId="2" xfId="0" applyNumberFormat="1" applyFont="1" applyFill="1" applyBorder="1" applyAlignment="1">
      <alignment horizontal="center" vertical="center" wrapText="1"/>
    </xf>
    <xf numFmtId="165" fontId="50" fillId="25" borderId="19" xfId="0" applyNumberFormat="1" applyFont="1" applyFill="1" applyBorder="1" applyAlignment="1" applyProtection="1">
      <alignment horizontal="center" vertical="top" wrapText="1"/>
      <protection locked="0"/>
    </xf>
    <xf numFmtId="9" fontId="24" fillId="11" borderId="32" xfId="1" quotePrefix="1" applyFont="1" applyFill="1" applyBorder="1" applyAlignment="1">
      <alignment horizontal="center" vertical="center" wrapText="1"/>
    </xf>
    <xf numFmtId="165" fontId="50" fillId="25" borderId="21" xfId="0" applyNumberFormat="1" applyFont="1" applyFill="1" applyBorder="1" applyAlignment="1" applyProtection="1">
      <alignment horizontal="center" vertical="top" wrapText="1"/>
      <protection locked="0"/>
    </xf>
    <xf numFmtId="0" fontId="35" fillId="0" borderId="34" xfId="3" applyFont="1" applyBorder="1" applyAlignment="1" applyProtection="1">
      <alignment vertical="top" wrapText="1"/>
      <protection locked="0"/>
    </xf>
    <xf numFmtId="165" fontId="50" fillId="25" borderId="54" xfId="0" applyNumberFormat="1" applyFont="1" applyFill="1" applyBorder="1" applyAlignment="1" applyProtection="1">
      <alignment horizontal="center" vertical="top" wrapText="1"/>
      <protection locked="0"/>
    </xf>
    <xf numFmtId="165" fontId="26" fillId="0" borderId="74" xfId="0" applyNumberFormat="1" applyFont="1" applyBorder="1" applyAlignment="1" applyProtection="1">
      <alignment horizontal="center" vertical="top" wrapText="1"/>
      <protection locked="0"/>
    </xf>
    <xf numFmtId="0" fontId="15" fillId="25" borderId="53" xfId="0" applyFont="1" applyFill="1" applyBorder="1" applyAlignment="1" applyProtection="1">
      <alignment vertical="top" wrapText="1"/>
      <protection locked="0"/>
    </xf>
    <xf numFmtId="165" fontId="24" fillId="25" borderId="15" xfId="0" applyNumberFormat="1" applyFont="1" applyFill="1" applyBorder="1" applyAlignment="1" applyProtection="1">
      <alignment horizontal="center" vertical="top" wrapText="1"/>
      <protection locked="0"/>
    </xf>
    <xf numFmtId="165" fontId="24" fillId="25" borderId="20" xfId="0" applyNumberFormat="1" applyFont="1" applyFill="1" applyBorder="1" applyAlignment="1" applyProtection="1">
      <alignment horizontal="center" vertical="top" wrapText="1"/>
      <protection locked="0"/>
    </xf>
    <xf numFmtId="0" fontId="15" fillId="12" borderId="25" xfId="0" applyFont="1" applyFill="1" applyBorder="1" applyAlignment="1" applyProtection="1">
      <alignment vertical="top" wrapText="1"/>
      <protection locked="0"/>
    </xf>
    <xf numFmtId="165" fontId="50" fillId="25" borderId="23" xfId="0" applyNumberFormat="1" applyFont="1" applyFill="1" applyBorder="1" applyAlignment="1" applyProtection="1">
      <alignment horizontal="center" vertical="top" wrapText="1"/>
      <protection locked="0"/>
    </xf>
    <xf numFmtId="0" fontId="15" fillId="12" borderId="37" xfId="0" applyFont="1" applyFill="1" applyBorder="1" applyAlignment="1" applyProtection="1">
      <alignment vertical="top" wrapText="1"/>
      <protection locked="0"/>
    </xf>
    <xf numFmtId="165" fontId="26" fillId="12" borderId="54" xfId="0" applyNumberFormat="1" applyFont="1" applyFill="1" applyBorder="1" applyAlignment="1" applyProtection="1">
      <alignment horizontal="center" vertical="top" wrapText="1"/>
      <protection locked="0"/>
    </xf>
    <xf numFmtId="165" fontId="26" fillId="12" borderId="74" xfId="0" applyNumberFormat="1" applyFont="1" applyFill="1" applyBorder="1" applyAlignment="1" applyProtection="1">
      <alignment horizontal="center" vertical="top" wrapText="1"/>
      <protection locked="0"/>
    </xf>
    <xf numFmtId="0" fontId="24" fillId="16" borderId="61" xfId="0" applyFont="1" applyFill="1" applyBorder="1" applyAlignment="1">
      <alignment vertical="center" wrapText="1"/>
    </xf>
    <xf numFmtId="0" fontId="24" fillId="16" borderId="30" xfId="0" applyFont="1" applyFill="1" applyBorder="1" applyAlignment="1">
      <alignment vertical="center" wrapText="1"/>
    </xf>
    <xf numFmtId="0" fontId="36" fillId="0" borderId="33" xfId="3" applyFont="1" applyBorder="1" applyAlignment="1" applyProtection="1">
      <alignment vertical="top" wrapText="1"/>
      <protection locked="0"/>
    </xf>
    <xf numFmtId="165" fontId="25" fillId="25" borderId="20" xfId="0" applyNumberFormat="1" applyFont="1" applyFill="1" applyBorder="1" applyAlignment="1" applyProtection="1">
      <alignment horizontal="center" vertical="top" wrapText="1"/>
      <protection locked="0"/>
    </xf>
    <xf numFmtId="165" fontId="22" fillId="25" borderId="15" xfId="0" applyNumberFormat="1" applyFont="1" applyFill="1" applyBorder="1" applyAlignment="1" applyProtection="1">
      <alignment horizontal="center" vertical="top" wrapText="1"/>
      <protection locked="0"/>
    </xf>
    <xf numFmtId="165" fontId="22" fillId="25" borderId="20" xfId="0" applyNumberFormat="1" applyFont="1" applyFill="1" applyBorder="1" applyAlignment="1" applyProtection="1">
      <alignment horizontal="center" vertical="top" wrapText="1"/>
      <protection locked="0"/>
    </xf>
    <xf numFmtId="0" fontId="22" fillId="16" borderId="30" xfId="0" applyFont="1" applyFill="1" applyBorder="1" applyAlignment="1">
      <alignment vertical="center" wrapText="1"/>
    </xf>
    <xf numFmtId="0" fontId="24" fillId="16" borderId="31" xfId="0" applyFont="1" applyFill="1" applyBorder="1" applyAlignment="1">
      <alignment vertical="center" wrapText="1"/>
    </xf>
    <xf numFmtId="0" fontId="36" fillId="0" borderId="34" xfId="3" applyFont="1" applyBorder="1" applyAlignment="1" applyProtection="1">
      <alignment vertical="top" wrapText="1"/>
      <protection locked="0"/>
    </xf>
    <xf numFmtId="0" fontId="41" fillId="2" borderId="2" xfId="0" applyFont="1" applyFill="1" applyBorder="1" applyAlignment="1" applyProtection="1">
      <alignment vertical="center" wrapText="1"/>
      <protection locked="0"/>
    </xf>
    <xf numFmtId="0" fontId="41" fillId="2" borderId="4" xfId="0" applyFont="1" applyFill="1" applyBorder="1" applyAlignment="1" applyProtection="1">
      <alignment vertical="center" wrapText="1"/>
      <protection locked="0"/>
    </xf>
    <xf numFmtId="165" fontId="50" fillId="25" borderId="46" xfId="0" applyNumberFormat="1" applyFont="1" applyFill="1" applyBorder="1" applyAlignment="1" applyProtection="1">
      <alignment horizontal="center" vertical="top" wrapText="1"/>
      <protection locked="0"/>
    </xf>
    <xf numFmtId="165" fontId="38" fillId="25" borderId="47" xfId="0" applyNumberFormat="1" applyFont="1" applyFill="1" applyBorder="1" applyAlignment="1" applyProtection="1">
      <alignment horizontal="center" vertical="top" wrapText="1"/>
      <protection locked="0"/>
    </xf>
    <xf numFmtId="165" fontId="38" fillId="25" borderId="48" xfId="0" applyNumberFormat="1" applyFont="1" applyFill="1" applyBorder="1" applyAlignment="1" applyProtection="1">
      <alignment horizontal="center" vertical="top" wrapText="1"/>
      <protection locked="0"/>
    </xf>
    <xf numFmtId="165" fontId="10" fillId="11" borderId="42" xfId="0" applyNumberFormat="1" applyFont="1" applyFill="1" applyBorder="1" applyAlignment="1" applyProtection="1">
      <alignment vertical="top" wrapText="1"/>
      <protection locked="0"/>
    </xf>
    <xf numFmtId="165" fontId="10" fillId="11" borderId="45" xfId="0" applyNumberFormat="1" applyFont="1" applyFill="1" applyBorder="1" applyAlignment="1" applyProtection="1">
      <alignment vertical="top" wrapText="1"/>
      <protection locked="0"/>
    </xf>
    <xf numFmtId="165" fontId="26" fillId="0" borderId="50" xfId="0" applyNumberFormat="1" applyFont="1" applyBorder="1" applyAlignment="1" applyProtection="1">
      <alignment horizontal="center" vertical="top" wrapText="1"/>
      <protection locked="0"/>
    </xf>
    <xf numFmtId="165" fontId="38" fillId="25" borderId="36" xfId="0" applyNumberFormat="1" applyFont="1" applyFill="1" applyBorder="1" applyAlignment="1" applyProtection="1">
      <alignment horizontal="center" vertical="top" wrapText="1"/>
      <protection locked="0"/>
    </xf>
    <xf numFmtId="0" fontId="5" fillId="5" borderId="3" xfId="0" applyFont="1" applyFill="1" applyBorder="1" applyAlignment="1">
      <alignment vertical="center" wrapText="1"/>
    </xf>
    <xf numFmtId="0" fontId="0" fillId="0" borderId="47" xfId="0" applyBorder="1" applyAlignment="1" applyProtection="1">
      <alignment vertical="top" wrapText="1"/>
      <protection locked="0"/>
    </xf>
    <xf numFmtId="165" fontId="25" fillId="25" borderId="50" xfId="0" applyNumberFormat="1" applyFont="1" applyFill="1" applyBorder="1" applyAlignment="1" applyProtection="1">
      <alignment horizontal="center" vertical="top" wrapText="1"/>
      <protection locked="0"/>
    </xf>
    <xf numFmtId="165" fontId="50" fillId="25" borderId="36" xfId="0" applyNumberFormat="1" applyFont="1" applyFill="1" applyBorder="1" applyAlignment="1" applyProtection="1">
      <alignment horizontal="center" vertical="top" wrapText="1"/>
      <protection locked="0"/>
    </xf>
    <xf numFmtId="0" fontId="39" fillId="0" borderId="47" xfId="0" applyFont="1" applyBorder="1" applyAlignment="1" applyProtection="1">
      <alignment vertical="top" wrapText="1"/>
      <protection locked="0"/>
    </xf>
    <xf numFmtId="165" fontId="26" fillId="25" borderId="19" xfId="0" applyNumberFormat="1" applyFont="1" applyFill="1" applyBorder="1" applyAlignment="1" applyProtection="1">
      <alignment horizontal="center" vertical="top" wrapText="1"/>
      <protection locked="0"/>
    </xf>
    <xf numFmtId="0" fontId="5" fillId="5" borderId="29" xfId="0" applyFont="1" applyFill="1" applyBorder="1" applyAlignment="1">
      <alignment vertical="center" wrapText="1"/>
    </xf>
    <xf numFmtId="0" fontId="34" fillId="0" borderId="47" xfId="3" applyFont="1" applyBorder="1" applyAlignment="1" applyProtection="1">
      <alignment vertical="top" wrapText="1"/>
      <protection locked="0"/>
    </xf>
    <xf numFmtId="0" fontId="5" fillId="5" borderId="31" xfId="0" applyFont="1" applyFill="1" applyBorder="1" applyAlignment="1">
      <alignment vertical="center" wrapText="1"/>
    </xf>
    <xf numFmtId="0" fontId="0" fillId="14" borderId="6" xfId="0" applyFill="1" applyBorder="1" applyProtection="1">
      <protection locked="0"/>
    </xf>
    <xf numFmtId="0" fontId="0" fillId="14" borderId="7" xfId="0" applyFill="1" applyBorder="1" applyProtection="1">
      <protection locked="0"/>
    </xf>
    <xf numFmtId="165" fontId="25" fillId="0" borderId="23" xfId="1" applyNumberFormat="1" applyFont="1" applyBorder="1" applyAlignment="1" applyProtection="1">
      <alignment horizontal="center" vertical="center" wrapText="1"/>
      <protection locked="0"/>
    </xf>
    <xf numFmtId="165" fontId="50" fillId="0" borderId="19" xfId="0" applyNumberFormat="1" applyFont="1" applyBorder="1" applyAlignment="1" applyProtection="1">
      <alignment horizontal="center" vertical="center" wrapText="1"/>
      <protection locked="0"/>
    </xf>
    <xf numFmtId="0" fontId="38" fillId="0" borderId="19" xfId="0" applyFont="1" applyBorder="1" applyAlignment="1" applyProtection="1">
      <alignment horizontal="center" vertical="center" wrapText="1"/>
      <protection locked="0"/>
    </xf>
    <xf numFmtId="0" fontId="38" fillId="0" borderId="20" xfId="0" applyFont="1" applyBorder="1" applyAlignment="1" applyProtection="1">
      <alignment horizontal="center" vertical="center" wrapText="1"/>
      <protection locked="0"/>
    </xf>
    <xf numFmtId="0" fontId="50" fillId="0" borderId="20" xfId="0" applyFont="1" applyBorder="1" applyAlignment="1" applyProtection="1">
      <alignment horizontal="center" vertical="center" wrapText="1"/>
      <protection locked="0"/>
    </xf>
    <xf numFmtId="0" fontId="50" fillId="0" borderId="23" xfId="0" applyFont="1" applyBorder="1" applyAlignment="1" applyProtection="1">
      <alignment horizontal="center" vertical="center" wrapText="1"/>
      <protection locked="0"/>
    </xf>
    <xf numFmtId="0" fontId="0" fillId="0" borderId="0" xfId="0" applyFill="1" applyProtection="1"/>
    <xf numFmtId="0" fontId="22" fillId="0" borderId="21" xfId="0" applyFont="1" applyFill="1" applyBorder="1" applyAlignment="1" applyProtection="1">
      <alignment vertical="center" wrapText="1"/>
    </xf>
    <xf numFmtId="0" fontId="22" fillId="0" borderId="17" xfId="0" applyFont="1" applyBorder="1" applyAlignment="1" applyProtection="1">
      <alignment vertical="center" wrapText="1"/>
    </xf>
    <xf numFmtId="0" fontId="24" fillId="0" borderId="19" xfId="0" applyFont="1" applyBorder="1" applyAlignment="1" applyProtection="1">
      <alignment vertical="center" wrapText="1"/>
    </xf>
    <xf numFmtId="0" fontId="24" fillId="5" borderId="32" xfId="0" applyFont="1" applyFill="1" applyBorder="1" applyAlignment="1" applyProtection="1">
      <alignment vertical="center" wrapText="1"/>
    </xf>
    <xf numFmtId="0" fontId="24" fillId="5" borderId="34" xfId="0" applyFont="1" applyFill="1" applyBorder="1" applyAlignment="1" applyProtection="1">
      <alignment vertical="center" wrapText="1"/>
    </xf>
    <xf numFmtId="0" fontId="24" fillId="10" borderId="32" xfId="0" applyFont="1" applyFill="1" applyBorder="1" applyAlignment="1" applyProtection="1">
      <alignment vertical="center" wrapText="1"/>
    </xf>
    <xf numFmtId="0" fontId="24" fillId="10" borderId="34" xfId="0" applyFont="1" applyFill="1" applyBorder="1" applyAlignment="1" applyProtection="1">
      <alignment vertical="center" wrapText="1"/>
    </xf>
    <xf numFmtId="0" fontId="22" fillId="0" borderId="1" xfId="0" applyFont="1" applyBorder="1" applyAlignment="1" applyProtection="1">
      <alignment wrapText="1"/>
    </xf>
    <xf numFmtId="0" fontId="22" fillId="0" borderId="1" xfId="0" applyFont="1" applyBorder="1" applyAlignment="1" applyProtection="1">
      <alignment vertical="center"/>
    </xf>
    <xf numFmtId="0" fontId="5" fillId="12" borderId="1" xfId="0" applyFont="1" applyFill="1" applyBorder="1" applyAlignment="1" applyProtection="1">
      <alignment vertical="center" wrapText="1"/>
    </xf>
    <xf numFmtId="0" fontId="24" fillId="22" borderId="32" xfId="0" applyFont="1" applyFill="1" applyBorder="1" applyAlignment="1" applyProtection="1">
      <alignment vertical="center" wrapText="1"/>
    </xf>
    <xf numFmtId="0" fontId="24" fillId="22" borderId="33" xfId="0" applyFont="1" applyFill="1" applyBorder="1" applyAlignment="1" applyProtection="1">
      <alignment vertical="center" wrapText="1"/>
    </xf>
    <xf numFmtId="0" fontId="24" fillId="22" borderId="34" xfId="0" applyFont="1" applyFill="1" applyBorder="1" applyAlignment="1" applyProtection="1">
      <alignment vertical="center" wrapText="1"/>
    </xf>
    <xf numFmtId="0" fontId="4" fillId="11" borderId="68" xfId="0" applyFont="1" applyFill="1" applyBorder="1" applyAlignment="1" applyProtection="1">
      <alignment vertical="center" wrapText="1"/>
    </xf>
    <xf numFmtId="0" fontId="4" fillId="11" borderId="0" xfId="0" applyFont="1" applyFill="1" applyBorder="1" applyAlignment="1" applyProtection="1">
      <alignment vertical="center" wrapText="1"/>
    </xf>
    <xf numFmtId="9" fontId="58" fillId="26" borderId="9" xfId="1" applyFont="1" applyFill="1" applyBorder="1" applyAlignment="1" applyProtection="1">
      <alignment horizontal="center" vertical="center" wrapText="1"/>
    </xf>
    <xf numFmtId="9" fontId="58" fillId="11" borderId="1" xfId="1" applyFont="1" applyFill="1" applyBorder="1" applyAlignment="1" applyProtection="1">
      <alignment horizontal="center" vertical="center" wrapText="1"/>
    </xf>
    <xf numFmtId="0" fontId="11" fillId="0" borderId="1" xfId="0" applyFont="1" applyBorder="1" applyAlignment="1" applyProtection="1">
      <alignment horizontal="center" vertical="center"/>
    </xf>
    <xf numFmtId="9" fontId="58" fillId="11" borderId="8" xfId="1" applyFont="1" applyFill="1" applyBorder="1" applyAlignment="1" applyProtection="1">
      <alignment horizontal="center" vertical="center" wrapText="1"/>
    </xf>
    <xf numFmtId="9" fontId="58" fillId="11" borderId="5" xfId="1" applyFont="1" applyFill="1" applyBorder="1" applyAlignment="1" applyProtection="1">
      <alignment horizontal="center" vertical="center" wrapText="1"/>
    </xf>
    <xf numFmtId="0" fontId="11" fillId="26" borderId="45" xfId="0" applyFont="1" applyFill="1" applyBorder="1" applyProtection="1">
      <protection locked="0"/>
    </xf>
    <xf numFmtId="0" fontId="59" fillId="26" borderId="9" xfId="0" applyFont="1" applyFill="1" applyBorder="1" applyProtection="1">
      <protection locked="0"/>
    </xf>
    <xf numFmtId="0" fontId="59" fillId="26" borderId="7" xfId="0" applyFont="1" applyFill="1" applyBorder="1" applyProtection="1">
      <protection locked="0"/>
    </xf>
    <xf numFmtId="9" fontId="60" fillId="6" borderId="1" xfId="1" applyFont="1" applyFill="1" applyBorder="1" applyAlignment="1" applyProtection="1">
      <alignment horizontal="center" vertical="center" wrapText="1"/>
    </xf>
    <xf numFmtId="0" fontId="4" fillId="11" borderId="1" xfId="0" applyFont="1" applyFill="1" applyBorder="1" applyAlignment="1" applyProtection="1">
      <alignment vertical="center" wrapText="1"/>
    </xf>
    <xf numFmtId="0" fontId="21" fillId="26" borderId="43" xfId="0" applyFont="1" applyFill="1" applyBorder="1" applyAlignment="1" applyProtection="1">
      <alignment horizontal="center" vertical="center" wrapText="1"/>
    </xf>
    <xf numFmtId="0" fontId="21" fillId="0" borderId="0" xfId="0" applyFont="1" applyBorder="1" applyAlignment="1">
      <alignment horizontal="center" vertical="center" wrapText="1"/>
    </xf>
    <xf numFmtId="0" fontId="21" fillId="0" borderId="9" xfId="0" applyFont="1" applyBorder="1" applyAlignment="1">
      <alignment horizontal="center" vertical="center" wrapText="1"/>
    </xf>
    <xf numFmtId="9" fontId="60" fillId="6" borderId="10" xfId="1" applyFont="1" applyFill="1" applyBorder="1" applyAlignment="1" applyProtection="1">
      <alignment horizontal="center" vertical="center" wrapText="1"/>
    </xf>
    <xf numFmtId="9" fontId="60" fillId="6" borderId="8" xfId="1" applyFont="1" applyFill="1" applyBorder="1" applyAlignment="1" applyProtection="1">
      <alignment horizontal="center" vertical="center" wrapText="1"/>
    </xf>
    <xf numFmtId="9" fontId="60" fillId="6" borderId="5" xfId="1" applyFont="1" applyFill="1" applyBorder="1" applyAlignment="1" applyProtection="1">
      <alignment horizontal="center" vertical="center" wrapText="1"/>
    </xf>
    <xf numFmtId="0" fontId="26" fillId="11" borderId="2" xfId="0" applyFont="1" applyFill="1" applyBorder="1" applyAlignment="1" applyProtection="1">
      <alignment vertical="center" wrapText="1"/>
    </xf>
    <xf numFmtId="0" fontId="26" fillId="11" borderId="3" xfId="0" applyFont="1" applyFill="1" applyBorder="1" applyAlignment="1" applyProtection="1">
      <alignment vertical="center" wrapText="1"/>
    </xf>
    <xf numFmtId="0" fontId="26" fillId="11" borderId="4" xfId="0" applyFont="1" applyFill="1" applyBorder="1" applyAlignment="1" applyProtection="1">
      <alignment vertical="center" wrapText="1"/>
    </xf>
    <xf numFmtId="0" fontId="8" fillId="0" borderId="0" xfId="0" applyFont="1" applyBorder="1" applyAlignment="1" applyProtection="1">
      <alignment horizontal="center" vertical="center"/>
      <protection locked="0"/>
    </xf>
    <xf numFmtId="0" fontId="24" fillId="0" borderId="24" xfId="0" applyFont="1" applyBorder="1" applyAlignment="1" applyProtection="1">
      <alignment vertical="center" wrapText="1"/>
    </xf>
    <xf numFmtId="0" fontId="24" fillId="0" borderId="26" xfId="0" applyFont="1" applyBorder="1" applyAlignment="1" applyProtection="1">
      <alignment vertical="center" wrapText="1"/>
    </xf>
    <xf numFmtId="9" fontId="11" fillId="0" borderId="10" xfId="0" applyNumberFormat="1" applyFont="1" applyBorder="1" applyAlignment="1" applyProtection="1">
      <alignment horizontal="center" vertical="center" wrapText="1"/>
    </xf>
    <xf numFmtId="9" fontId="11" fillId="0" borderId="5" xfId="0" applyNumberFormat="1" applyFont="1" applyBorder="1" applyAlignment="1" applyProtection="1">
      <alignment horizontal="center" vertical="center" wrapText="1"/>
    </xf>
    <xf numFmtId="0" fontId="2" fillId="2" borderId="2" xfId="0" applyFont="1" applyFill="1" applyBorder="1" applyAlignment="1" applyProtection="1">
      <alignment vertical="center" wrapText="1"/>
      <protection locked="0"/>
    </xf>
    <xf numFmtId="0" fontId="2" fillId="2" borderId="3" xfId="0" applyFont="1" applyFill="1" applyBorder="1" applyAlignment="1" applyProtection="1">
      <alignment vertical="center" wrapText="1"/>
      <protection locked="0"/>
    </xf>
    <xf numFmtId="0" fontId="2" fillId="2" borderId="4" xfId="0" applyFont="1" applyFill="1" applyBorder="1" applyAlignment="1" applyProtection="1">
      <alignment vertical="center" wrapText="1"/>
      <protection locked="0"/>
    </xf>
    <xf numFmtId="0" fontId="23" fillId="3" borderId="42" xfId="0" applyFont="1" applyFill="1" applyBorder="1" applyAlignment="1" applyProtection="1">
      <alignment vertical="center" wrapText="1"/>
    </xf>
    <xf numFmtId="0" fontId="23" fillId="3" borderId="44" xfId="0" applyFont="1" applyFill="1" applyBorder="1" applyAlignment="1" applyProtection="1">
      <alignment vertical="center" wrapText="1"/>
    </xf>
    <xf numFmtId="0" fontId="23" fillId="3" borderId="45" xfId="0" applyFont="1" applyFill="1" applyBorder="1" applyAlignment="1" applyProtection="1">
      <alignment vertical="center" wrapText="1"/>
    </xf>
    <xf numFmtId="0" fontId="24" fillId="0" borderId="32" xfId="0" applyFont="1" applyBorder="1" applyAlignment="1" applyProtection="1">
      <alignment horizontal="left" vertical="center" wrapText="1"/>
    </xf>
    <xf numFmtId="0" fontId="24" fillId="0" borderId="33" xfId="0" applyFont="1" applyBorder="1" applyAlignment="1" applyProtection="1">
      <alignment horizontal="left" vertical="center" wrapText="1"/>
    </xf>
    <xf numFmtId="0" fontId="24" fillId="0" borderId="34" xfId="0" applyFont="1" applyBorder="1" applyAlignment="1" applyProtection="1">
      <alignment horizontal="left" vertical="center" wrapText="1"/>
    </xf>
    <xf numFmtId="0" fontId="24" fillId="0" borderId="32" xfId="0" applyFont="1" applyBorder="1" applyAlignment="1" applyProtection="1">
      <alignment vertical="center" wrapText="1"/>
    </xf>
    <xf numFmtId="0" fontId="24" fillId="0" borderId="33"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10" xfId="0" applyFont="1" applyFill="1" applyBorder="1" applyAlignment="1" applyProtection="1">
      <alignment horizontal="left" vertical="center" wrapText="1"/>
    </xf>
    <xf numFmtId="0" fontId="24" fillId="0" borderId="8" xfId="0" applyFont="1" applyFill="1" applyBorder="1" applyAlignment="1" applyProtection="1">
      <alignment horizontal="left" vertical="center" wrapText="1"/>
    </xf>
    <xf numFmtId="0" fontId="24" fillId="0" borderId="5" xfId="0" applyFont="1" applyFill="1" applyBorder="1" applyAlignment="1" applyProtection="1">
      <alignment horizontal="left" vertical="center" wrapText="1"/>
    </xf>
    <xf numFmtId="9" fontId="11" fillId="0" borderId="10" xfId="1" applyFont="1" applyBorder="1" applyAlignment="1" applyProtection="1">
      <alignment horizontal="center" vertical="center" wrapText="1"/>
    </xf>
    <xf numFmtId="9" fontId="11" fillId="0" borderId="8" xfId="1" applyFont="1" applyBorder="1" applyAlignment="1">
      <alignment horizontal="center" vertical="center" wrapText="1"/>
    </xf>
    <xf numFmtId="9" fontId="11" fillId="0" borderId="5" xfId="1" applyFont="1" applyBorder="1" applyAlignment="1">
      <alignment horizontal="center" vertical="center" wrapText="1"/>
    </xf>
    <xf numFmtId="0" fontId="23" fillId="3" borderId="2" xfId="0" applyFont="1" applyFill="1" applyBorder="1" applyAlignment="1" applyProtection="1">
      <alignment vertical="center" wrapText="1"/>
    </xf>
    <xf numFmtId="0" fontId="23" fillId="3" borderId="3" xfId="0" applyFont="1" applyFill="1" applyBorder="1" applyAlignment="1" applyProtection="1">
      <alignment vertical="center" wrapText="1"/>
    </xf>
    <xf numFmtId="0" fontId="23" fillId="3" borderId="4" xfId="0" applyFont="1" applyFill="1" applyBorder="1" applyAlignment="1" applyProtection="1">
      <alignment vertical="center" wrapText="1"/>
    </xf>
    <xf numFmtId="0" fontId="24" fillId="0" borderId="10" xfId="0" applyFont="1" applyFill="1" applyBorder="1" applyAlignment="1" applyProtection="1">
      <alignment horizontal="center" vertical="center" wrapText="1"/>
    </xf>
    <xf numFmtId="0" fontId="24" fillId="0" borderId="8" xfId="0" applyFont="1" applyFill="1" applyBorder="1" applyAlignment="1" applyProtection="1">
      <alignment horizontal="center" vertical="center" wrapText="1"/>
    </xf>
    <xf numFmtId="0" fontId="24" fillId="0" borderId="5" xfId="0" applyFont="1" applyFill="1" applyBorder="1" applyAlignment="1" applyProtection="1">
      <alignment horizontal="center" vertical="center" wrapText="1"/>
    </xf>
    <xf numFmtId="0" fontId="11" fillId="0" borderId="8" xfId="0" applyFont="1" applyBorder="1" applyAlignment="1" applyProtection="1">
      <alignment horizontal="center" vertical="center" wrapText="1"/>
    </xf>
    <xf numFmtId="0" fontId="11" fillId="0" borderId="5" xfId="0" applyFont="1" applyBorder="1" applyAlignment="1" applyProtection="1">
      <alignment horizontal="center" vertical="center" wrapText="1"/>
    </xf>
    <xf numFmtId="0" fontId="24" fillId="0" borderId="25" xfId="0" applyFont="1" applyFill="1" applyBorder="1" applyAlignment="1" applyProtection="1">
      <alignment vertical="center" wrapText="1"/>
    </xf>
    <xf numFmtId="0" fontId="2" fillId="2" borderId="2" xfId="0" applyFont="1" applyFill="1" applyBorder="1" applyAlignment="1" applyProtection="1">
      <alignment vertical="center" wrapText="1"/>
    </xf>
    <xf numFmtId="0" fontId="2" fillId="2" borderId="3" xfId="0" applyFont="1" applyFill="1" applyBorder="1" applyAlignment="1" applyProtection="1">
      <alignment vertical="center" wrapText="1"/>
    </xf>
    <xf numFmtId="0" fontId="2" fillId="2" borderId="4" xfId="0" applyFont="1" applyFill="1" applyBorder="1" applyAlignment="1" applyProtection="1">
      <alignment vertical="center" wrapText="1"/>
    </xf>
    <xf numFmtId="2" fontId="24" fillId="0" borderId="24" xfId="0" applyNumberFormat="1" applyFont="1" applyFill="1" applyBorder="1" applyAlignment="1" applyProtection="1">
      <alignment horizontal="left" vertical="center" wrapText="1"/>
    </xf>
    <xf numFmtId="2" fontId="15" fillId="0" borderId="26" xfId="0" applyNumberFormat="1" applyFont="1" applyBorder="1" applyAlignment="1" applyProtection="1">
      <alignment horizontal="left" vertical="center" wrapText="1"/>
    </xf>
    <xf numFmtId="9" fontId="60" fillId="6" borderId="32" xfId="1" applyFont="1" applyFill="1" applyBorder="1" applyAlignment="1" applyProtection="1">
      <alignment horizontal="center" vertical="center" wrapText="1"/>
    </xf>
    <xf numFmtId="0" fontId="11" fillId="0" borderId="34" xfId="0" applyFont="1" applyBorder="1" applyAlignment="1">
      <alignment horizontal="center" vertical="center" wrapText="1"/>
    </xf>
    <xf numFmtId="0" fontId="2" fillId="2" borderId="2" xfId="0" applyFont="1" applyFill="1" applyBorder="1" applyAlignment="1" applyProtection="1">
      <alignment horizontal="left" vertical="center" wrapText="1"/>
    </xf>
    <xf numFmtId="0" fontId="2" fillId="2" borderId="3" xfId="0" applyFont="1" applyFill="1" applyBorder="1" applyAlignment="1" applyProtection="1">
      <alignment horizontal="left" vertical="center" wrapText="1"/>
    </xf>
    <xf numFmtId="0" fontId="2" fillId="2" borderId="4" xfId="0" applyFont="1" applyFill="1" applyBorder="1" applyAlignment="1" applyProtection="1">
      <alignment horizontal="left" vertical="center" wrapText="1"/>
    </xf>
    <xf numFmtId="0" fontId="2" fillId="2" borderId="16" xfId="0" applyFont="1" applyFill="1" applyBorder="1" applyAlignment="1" applyProtection="1">
      <alignment vertical="center" wrapText="1"/>
    </xf>
    <xf numFmtId="0" fontId="2" fillId="2" borderId="6" xfId="0" applyFont="1" applyFill="1" applyBorder="1" applyAlignment="1" applyProtection="1">
      <alignment vertical="center" wrapText="1"/>
    </xf>
    <xf numFmtId="0" fontId="2" fillId="2" borderId="7" xfId="0" applyFont="1" applyFill="1" applyBorder="1" applyAlignment="1" applyProtection="1">
      <alignment vertical="center" wrapText="1"/>
    </xf>
    <xf numFmtId="0" fontId="2" fillId="2" borderId="16" xfId="0" applyFont="1" applyFill="1" applyBorder="1" applyAlignment="1" applyProtection="1">
      <alignment vertical="center" wrapText="1"/>
      <protection locked="0"/>
    </xf>
    <xf numFmtId="0" fontId="2" fillId="2" borderId="6" xfId="0" applyFont="1" applyFill="1" applyBorder="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6" fillId="3" borderId="2" xfId="0" applyFont="1" applyFill="1" applyBorder="1" applyAlignment="1" applyProtection="1">
      <alignment vertical="center" wrapText="1"/>
    </xf>
    <xf numFmtId="0" fontId="26" fillId="3" borderId="3" xfId="0" applyFont="1" applyFill="1" applyBorder="1" applyAlignment="1" applyProtection="1">
      <alignment vertical="center" wrapText="1"/>
    </xf>
    <xf numFmtId="0" fontId="26" fillId="3" borderId="4" xfId="0" applyFont="1" applyFill="1" applyBorder="1" applyAlignment="1" applyProtection="1">
      <alignment vertical="center" wrapText="1"/>
    </xf>
    <xf numFmtId="0" fontId="11" fillId="0" borderId="33" xfId="0" applyFont="1" applyBorder="1" applyAlignment="1" applyProtection="1">
      <alignment horizontal="center" vertical="center" wrapText="1"/>
    </xf>
    <xf numFmtId="0" fontId="11" fillId="0" borderId="34" xfId="0" applyFont="1" applyBorder="1" applyAlignment="1" applyProtection="1">
      <alignment horizontal="center" vertical="center" wrapText="1"/>
    </xf>
    <xf numFmtId="0" fontId="24" fillId="0" borderId="32" xfId="0" applyFont="1" applyFill="1" applyBorder="1" applyAlignment="1" applyProtection="1">
      <alignment horizontal="left" vertical="center" wrapText="1"/>
    </xf>
    <xf numFmtId="0" fontId="24" fillId="0" borderId="33" xfId="0" applyFont="1" applyFill="1" applyBorder="1" applyAlignment="1" applyProtection="1">
      <alignment horizontal="left" vertical="center" wrapText="1"/>
    </xf>
    <xf numFmtId="0" fontId="24" fillId="0" borderId="34" xfId="0" applyFont="1" applyFill="1" applyBorder="1" applyAlignment="1" applyProtection="1">
      <alignment horizontal="left" vertical="center" wrapText="1"/>
    </xf>
    <xf numFmtId="9" fontId="60" fillId="0" borderId="32" xfId="1" applyFont="1" applyFill="1" applyBorder="1" applyAlignment="1" applyProtection="1">
      <alignment horizontal="center" vertical="center" wrapText="1"/>
    </xf>
    <xf numFmtId="9" fontId="60" fillId="0" borderId="33" xfId="1" applyFont="1" applyFill="1" applyBorder="1" applyAlignment="1" applyProtection="1">
      <alignment horizontal="center" vertical="center" wrapText="1"/>
    </xf>
    <xf numFmtId="9" fontId="60" fillId="0" borderId="34" xfId="1" applyFont="1" applyFill="1" applyBorder="1" applyAlignment="1" applyProtection="1">
      <alignment horizontal="center" vertical="center" wrapText="1"/>
    </xf>
    <xf numFmtId="0" fontId="24" fillId="12" borderId="41" xfId="0" applyFont="1" applyFill="1" applyBorder="1" applyAlignment="1" applyProtection="1">
      <alignment vertical="center" wrapText="1"/>
    </xf>
    <xf numFmtId="0" fontId="24" fillId="12" borderId="5" xfId="0" applyFont="1" applyFill="1" applyBorder="1" applyAlignment="1" applyProtection="1">
      <alignment vertical="center" wrapText="1"/>
    </xf>
    <xf numFmtId="9" fontId="60" fillId="0" borderId="10" xfId="1" applyFont="1" applyBorder="1" applyAlignment="1" applyProtection="1">
      <alignment horizontal="center" vertical="center" wrapText="1"/>
    </xf>
    <xf numFmtId="9" fontId="60" fillId="0" borderId="5" xfId="1" applyFont="1" applyBorder="1" applyAlignment="1" applyProtection="1">
      <alignment horizontal="center" vertical="center" wrapText="1"/>
    </xf>
    <xf numFmtId="0" fontId="23" fillId="3" borderId="50" xfId="0" applyFont="1" applyFill="1" applyBorder="1" applyAlignment="1" applyProtection="1">
      <alignment vertical="center" wrapText="1"/>
    </xf>
    <xf numFmtId="0" fontId="23" fillId="3" borderId="35" xfId="0" applyFont="1" applyFill="1" applyBorder="1" applyAlignment="1" applyProtection="1">
      <alignment vertical="center" wrapText="1"/>
    </xf>
    <xf numFmtId="0" fontId="23" fillId="3" borderId="36" xfId="0" applyFont="1" applyFill="1" applyBorder="1" applyAlignment="1" applyProtection="1">
      <alignment vertical="center" wrapText="1"/>
    </xf>
    <xf numFmtId="0" fontId="30" fillId="3" borderId="2" xfId="0" applyFont="1" applyFill="1" applyBorder="1" applyAlignment="1" applyProtection="1">
      <alignment vertical="center" wrapText="1"/>
    </xf>
    <xf numFmtId="0" fontId="30" fillId="3" borderId="3" xfId="0" applyFont="1" applyFill="1" applyBorder="1" applyAlignment="1" applyProtection="1">
      <alignment vertical="center" wrapText="1"/>
    </xf>
    <xf numFmtId="0" fontId="30" fillId="3" borderId="4" xfId="0" applyFont="1" applyFill="1" applyBorder="1" applyAlignment="1" applyProtection="1">
      <alignment vertical="center" wrapText="1"/>
    </xf>
    <xf numFmtId="0" fontId="15" fillId="0" borderId="33" xfId="0" applyFont="1" applyBorder="1" applyAlignment="1" applyProtection="1">
      <alignment horizontal="left" vertical="center" wrapText="1"/>
    </xf>
    <xf numFmtId="0" fontId="15" fillId="0" borderId="34" xfId="0" applyFont="1" applyBorder="1" applyAlignment="1" applyProtection="1">
      <alignment horizontal="left" vertical="center" wrapText="1"/>
    </xf>
    <xf numFmtId="9" fontId="58" fillId="11" borderId="10" xfId="1" applyFont="1" applyFill="1" applyBorder="1" applyAlignment="1" applyProtection="1">
      <alignment horizontal="center" vertical="center" wrapText="1"/>
    </xf>
    <xf numFmtId="9" fontId="58" fillId="11" borderId="8" xfId="1" applyFont="1" applyFill="1" applyBorder="1" applyAlignment="1" applyProtection="1">
      <alignment horizontal="center" vertical="center" wrapText="1"/>
    </xf>
    <xf numFmtId="0" fontId="15" fillId="0" borderId="33" xfId="0" applyFont="1" applyBorder="1" applyAlignment="1" applyProtection="1">
      <alignment vertical="center" wrapText="1"/>
    </xf>
    <xf numFmtId="0" fontId="24" fillId="0" borderId="33" xfId="0" applyFont="1" applyFill="1" applyBorder="1" applyAlignment="1" applyProtection="1">
      <alignment vertical="center" wrapText="1"/>
    </xf>
    <xf numFmtId="0" fontId="15" fillId="0" borderId="33" xfId="0" applyFont="1" applyFill="1" applyBorder="1" applyAlignment="1" applyProtection="1">
      <alignment vertical="center" wrapText="1"/>
    </xf>
    <xf numFmtId="0" fontId="23" fillId="3" borderId="6" xfId="0" applyFont="1" applyFill="1" applyBorder="1" applyAlignment="1" applyProtection="1">
      <alignment vertical="center" wrapText="1"/>
    </xf>
    <xf numFmtId="0" fontId="23" fillId="3" borderId="7" xfId="0" applyFont="1" applyFill="1" applyBorder="1" applyAlignment="1" applyProtection="1">
      <alignment vertical="center" wrapText="1"/>
    </xf>
    <xf numFmtId="9" fontId="58" fillId="11" borderId="5" xfId="1" applyFont="1" applyFill="1" applyBorder="1" applyAlignment="1" applyProtection="1">
      <alignment horizontal="center" vertical="center" wrapText="1"/>
    </xf>
    <xf numFmtId="0" fontId="22" fillId="0" borderId="42" xfId="0" applyFont="1" applyBorder="1" applyAlignment="1" applyProtection="1">
      <alignment vertical="center" wrapText="1"/>
    </xf>
    <xf numFmtId="0" fontId="22" fillId="0" borderId="43" xfId="0" applyFont="1" applyBorder="1" applyAlignment="1" applyProtection="1">
      <alignment vertical="center" wrapText="1"/>
    </xf>
    <xf numFmtId="0" fontId="22" fillId="0" borderId="16" xfId="0" applyFont="1" applyBorder="1" applyAlignment="1" applyProtection="1">
      <alignment vertical="center" wrapText="1"/>
    </xf>
    <xf numFmtId="0" fontId="22" fillId="0" borderId="15" xfId="0" applyFont="1" applyBorder="1" applyAlignment="1" applyProtection="1">
      <alignment vertical="center" wrapText="1"/>
    </xf>
    <xf numFmtId="0" fontId="22" fillId="0" borderId="21" xfId="0" applyFont="1" applyBorder="1" applyAlignment="1" applyProtection="1">
      <alignment vertical="center" wrapText="1"/>
    </xf>
    <xf numFmtId="0" fontId="22" fillId="0" borderId="24" xfId="0" applyFont="1" applyBorder="1" applyAlignment="1" applyProtection="1">
      <alignment horizontal="left" vertical="center" wrapText="1"/>
    </xf>
    <xf numFmtId="0" fontId="22" fillId="0" borderId="26" xfId="0" applyFont="1" applyBorder="1" applyAlignment="1" applyProtection="1">
      <alignment horizontal="left" vertical="center" wrapText="1"/>
    </xf>
    <xf numFmtId="9" fontId="58" fillId="11" borderId="32" xfId="1" applyFont="1" applyFill="1" applyBorder="1" applyAlignment="1" applyProtection="1">
      <alignment horizontal="center" vertical="center" wrapText="1"/>
    </xf>
    <xf numFmtId="9" fontId="58" fillId="11" borderId="34" xfId="1" applyFont="1" applyFill="1" applyBorder="1" applyAlignment="1" applyProtection="1">
      <alignment horizontal="center" vertical="center" wrapText="1"/>
    </xf>
    <xf numFmtId="0" fontId="22" fillId="0" borderId="24" xfId="0" applyFont="1" applyBorder="1" applyAlignment="1" applyProtection="1">
      <alignment vertical="center" wrapText="1"/>
    </xf>
    <xf numFmtId="0" fontId="15" fillId="0" borderId="26" xfId="0" applyFont="1" applyBorder="1" applyAlignment="1" applyProtection="1">
      <alignment vertical="center" wrapText="1"/>
    </xf>
    <xf numFmtId="9" fontId="60" fillId="4" borderId="10" xfId="1" applyFont="1" applyFill="1" applyBorder="1" applyAlignment="1" applyProtection="1">
      <alignment horizontal="center" vertical="center" wrapText="1"/>
    </xf>
    <xf numFmtId="9" fontId="60" fillId="4" borderId="5" xfId="1" applyFont="1" applyFill="1" applyBorder="1" applyAlignment="1" applyProtection="1">
      <alignment horizontal="center" vertical="center" wrapText="1"/>
    </xf>
    <xf numFmtId="0" fontId="29" fillId="26" borderId="43" xfId="0" applyFont="1" applyFill="1" applyBorder="1" applyAlignment="1" applyProtection="1">
      <alignment horizontal="center"/>
      <protection locked="0"/>
    </xf>
    <xf numFmtId="0" fontId="29" fillId="26" borderId="0" xfId="0" applyFont="1" applyFill="1" applyBorder="1" applyAlignment="1" applyProtection="1">
      <alignment horizontal="center"/>
      <protection locked="0"/>
    </xf>
    <xf numFmtId="0" fontId="11" fillId="27" borderId="16" xfId="0" applyFont="1" applyFill="1" applyBorder="1" applyAlignment="1" applyProtection="1">
      <alignment vertical="center" wrapText="1"/>
    </xf>
    <xf numFmtId="0" fontId="11" fillId="27" borderId="6" xfId="0" applyFont="1" applyFill="1" applyBorder="1" applyAlignment="1" applyProtection="1">
      <alignment vertical="center" wrapText="1"/>
    </xf>
    <xf numFmtId="0" fontId="11" fillId="27" borderId="7" xfId="0" applyFont="1" applyFill="1" applyBorder="1" applyAlignment="1" applyProtection="1">
      <alignment vertical="center" wrapText="1"/>
    </xf>
    <xf numFmtId="0" fontId="11" fillId="2" borderId="2" xfId="0" applyFont="1" applyFill="1" applyBorder="1" applyAlignment="1" applyProtection="1">
      <alignment vertical="center" wrapText="1"/>
    </xf>
    <xf numFmtId="0" fontId="11" fillId="2" borderId="3" xfId="0" applyFont="1" applyFill="1" applyBorder="1" applyAlignment="1" applyProtection="1">
      <alignment vertical="center" wrapText="1"/>
    </xf>
    <xf numFmtId="0" fontId="11" fillId="2" borderId="4" xfId="0" applyFont="1" applyFill="1" applyBorder="1" applyAlignment="1" applyProtection="1">
      <alignment vertical="center" wrapText="1"/>
    </xf>
    <xf numFmtId="0" fontId="45" fillId="4" borderId="0" xfId="0" applyFont="1" applyFill="1" applyBorder="1" applyAlignment="1" applyProtection="1">
      <alignment horizontal="center" vertical="center" wrapText="1"/>
    </xf>
    <xf numFmtId="0" fontId="46" fillId="4" borderId="0" xfId="0" applyFont="1" applyFill="1" applyBorder="1" applyAlignment="1">
      <alignment vertical="center" wrapText="1"/>
    </xf>
    <xf numFmtId="0" fontId="23" fillId="3" borderId="43" xfId="0" applyFont="1" applyFill="1" applyBorder="1" applyAlignment="1" applyProtection="1">
      <alignment vertical="center" wrapText="1"/>
    </xf>
    <xf numFmtId="0" fontId="23" fillId="3" borderId="0" xfId="0" applyFont="1" applyFill="1" applyBorder="1" applyAlignment="1" applyProtection="1">
      <alignment vertical="center" wrapText="1"/>
    </xf>
    <xf numFmtId="9" fontId="58" fillId="11" borderId="45" xfId="1" applyFont="1" applyFill="1" applyBorder="1" applyAlignment="1" applyProtection="1">
      <alignment horizontal="center" vertical="center" wrapText="1"/>
    </xf>
    <xf numFmtId="9" fontId="58" fillId="11" borderId="9" xfId="1" applyFont="1" applyFill="1" applyBorder="1" applyAlignment="1" applyProtection="1">
      <alignment horizontal="center" vertical="center" wrapText="1"/>
    </xf>
    <xf numFmtId="9" fontId="58" fillId="11" borderId="7" xfId="1" applyFont="1" applyFill="1" applyBorder="1" applyAlignment="1" applyProtection="1">
      <alignment horizontal="center" vertical="center" wrapText="1"/>
    </xf>
    <xf numFmtId="9" fontId="58" fillId="11" borderId="58" xfId="1" applyFont="1" applyFill="1" applyBorder="1" applyAlignment="1" applyProtection="1">
      <alignment horizontal="center" vertical="center" wrapText="1"/>
    </xf>
    <xf numFmtId="9" fontId="58" fillId="11" borderId="60" xfId="1" applyFont="1" applyFill="1" applyBorder="1" applyAlignment="1" applyProtection="1">
      <alignment horizontal="center" vertical="center" wrapText="1"/>
    </xf>
    <xf numFmtId="0" fontId="22" fillId="0" borderId="17" xfId="0" applyFont="1" applyBorder="1" applyAlignment="1" applyProtection="1">
      <alignment vertical="center" wrapText="1"/>
    </xf>
    <xf numFmtId="9" fontId="60" fillId="6" borderId="45" xfId="1" applyFont="1" applyFill="1" applyBorder="1" applyAlignment="1" applyProtection="1">
      <alignment horizontal="center" vertical="center" wrapText="1"/>
    </xf>
    <xf numFmtId="9" fontId="60" fillId="6" borderId="9" xfId="1" applyFont="1" applyFill="1" applyBorder="1" applyAlignment="1" applyProtection="1">
      <alignment horizontal="center" vertical="center" wrapText="1"/>
    </xf>
    <xf numFmtId="9" fontId="60" fillId="6" borderId="7" xfId="1" applyFont="1" applyFill="1" applyBorder="1" applyAlignment="1" applyProtection="1">
      <alignment horizontal="center" vertical="center" wrapText="1"/>
    </xf>
    <xf numFmtId="0" fontId="23" fillId="3" borderId="16" xfId="0" applyFont="1" applyFill="1" applyBorder="1" applyAlignment="1" applyProtection="1">
      <alignment vertical="center" wrapText="1"/>
    </xf>
    <xf numFmtId="0" fontId="11" fillId="0" borderId="9" xfId="0" applyFont="1" applyBorder="1" applyAlignment="1" applyProtection="1">
      <alignment horizontal="center" vertical="center" wrapText="1"/>
    </xf>
    <xf numFmtId="0" fontId="11" fillId="0" borderId="7" xfId="0" applyFont="1" applyBorder="1" applyAlignment="1" applyProtection="1">
      <alignment horizontal="center" vertical="center" wrapText="1"/>
    </xf>
    <xf numFmtId="0" fontId="30" fillId="3" borderId="16" xfId="0" applyFont="1" applyFill="1" applyBorder="1" applyAlignment="1" applyProtection="1">
      <alignment vertical="center" wrapText="1"/>
    </xf>
    <xf numFmtId="0" fontId="30" fillId="3" borderId="6" xfId="0" applyFont="1" applyFill="1" applyBorder="1" applyAlignment="1" applyProtection="1">
      <alignment vertical="center" wrapText="1"/>
    </xf>
    <xf numFmtId="0" fontId="30" fillId="3" borderId="7" xfId="0" applyFont="1" applyFill="1" applyBorder="1" applyAlignment="1" applyProtection="1">
      <alignment vertical="center" wrapText="1"/>
    </xf>
    <xf numFmtId="9" fontId="60" fillId="0" borderId="58" xfId="1" applyFont="1" applyFill="1" applyBorder="1" applyAlignment="1" applyProtection="1">
      <alignment horizontal="center" vertical="center" wrapText="1"/>
    </xf>
    <xf numFmtId="9" fontId="60" fillId="0" borderId="59" xfId="1" applyFont="1" applyFill="1" applyBorder="1" applyAlignment="1" applyProtection="1">
      <alignment horizontal="center" vertical="center" wrapText="1"/>
    </xf>
    <xf numFmtId="9" fontId="60" fillId="0" borderId="60" xfId="1" applyFont="1" applyFill="1" applyBorder="1" applyAlignment="1" applyProtection="1">
      <alignment horizontal="center" vertical="center" wrapText="1"/>
    </xf>
    <xf numFmtId="0" fontId="29" fillId="12" borderId="2" xfId="0" applyFont="1" applyFill="1" applyBorder="1" applyAlignment="1" applyProtection="1">
      <alignment vertical="top" wrapText="1"/>
      <protection locked="0"/>
    </xf>
    <xf numFmtId="0" fontId="52" fillId="12" borderId="3" xfId="0" applyFont="1" applyFill="1" applyBorder="1" applyAlignment="1">
      <alignment vertical="top" wrapText="1"/>
    </xf>
    <xf numFmtId="0" fontId="52" fillId="12" borderId="4" xfId="0" applyFont="1" applyFill="1" applyBorder="1" applyAlignment="1">
      <alignment vertical="top" wrapText="1"/>
    </xf>
    <xf numFmtId="0" fontId="29" fillId="24" borderId="16" xfId="0" applyFont="1" applyFill="1" applyBorder="1" applyAlignment="1" applyProtection="1">
      <alignment horizontal="center"/>
      <protection locked="0"/>
    </xf>
    <xf numFmtId="0" fontId="29" fillId="24" borderId="6" xfId="0" applyFont="1" applyFill="1" applyBorder="1" applyAlignment="1" applyProtection="1">
      <alignment horizontal="center"/>
      <protection locked="0"/>
    </xf>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1" fillId="2" borderId="4" xfId="0" applyFont="1" applyFill="1" applyBorder="1" applyAlignment="1">
      <alignment vertical="center" wrapText="1"/>
    </xf>
    <xf numFmtId="0" fontId="2" fillId="3" borderId="43" xfId="0" applyFont="1" applyFill="1" applyBorder="1" applyAlignment="1">
      <alignment vertical="center" wrapText="1"/>
    </xf>
    <xf numFmtId="0" fontId="2" fillId="3" borderId="0" xfId="0" applyFont="1" applyFill="1" applyAlignment="1">
      <alignment vertical="center" wrapText="1"/>
    </xf>
    <xf numFmtId="0" fontId="2" fillId="3" borderId="9" xfId="0" applyFont="1" applyFill="1" applyBorder="1" applyAlignment="1">
      <alignment vertical="center" wrapText="1"/>
    </xf>
    <xf numFmtId="0" fontId="11" fillId="9" borderId="2" xfId="0" applyFont="1" applyFill="1" applyBorder="1" applyAlignment="1">
      <alignment vertical="center" wrapText="1"/>
    </xf>
    <xf numFmtId="0" fontId="11" fillId="9" borderId="3" xfId="0" applyFont="1" applyFill="1" applyBorder="1" applyAlignment="1">
      <alignment vertical="center" wrapText="1"/>
    </xf>
    <xf numFmtId="0" fontId="11" fillId="9" borderId="4" xfId="0" applyFont="1" applyFill="1" applyBorder="1" applyAlignment="1">
      <alignment vertical="center" wrapText="1"/>
    </xf>
    <xf numFmtId="0" fontId="2" fillId="11" borderId="43" xfId="0" applyFont="1" applyFill="1" applyBorder="1" applyAlignment="1">
      <alignment vertical="center" wrapText="1"/>
    </xf>
    <xf numFmtId="0" fontId="2" fillId="11" borderId="0" xfId="0" applyFont="1" applyFill="1" applyAlignment="1">
      <alignment vertical="center" wrapText="1"/>
    </xf>
    <xf numFmtId="0" fontId="2" fillId="11" borderId="9" xfId="0" applyFont="1" applyFill="1" applyBorder="1" applyAlignment="1">
      <alignment vertical="center" wrapText="1"/>
    </xf>
    <xf numFmtId="0" fontId="8" fillId="0" borderId="0" xfId="0" applyFont="1" applyAlignment="1" applyProtection="1">
      <alignment horizontal="center" vertical="center"/>
      <protection locked="0"/>
    </xf>
    <xf numFmtId="0" fontId="22" fillId="0" borderId="53" xfId="0" applyFont="1" applyBorder="1" applyAlignment="1">
      <alignment vertical="center" wrapText="1"/>
    </xf>
    <xf numFmtId="0" fontId="15" fillId="0" borderId="34" xfId="0" applyFont="1" applyBorder="1" applyAlignment="1">
      <alignment vertical="center" wrapText="1"/>
    </xf>
    <xf numFmtId="165" fontId="23" fillId="4" borderId="53" xfId="0" applyNumberFormat="1" applyFont="1" applyFill="1" applyBorder="1" applyAlignment="1">
      <alignment horizontal="center" vertical="center" wrapText="1"/>
    </xf>
    <xf numFmtId="165" fontId="23" fillId="4" borderId="34" xfId="0" applyNumberFormat="1" applyFont="1" applyFill="1" applyBorder="1" applyAlignment="1">
      <alignment horizontal="center" vertical="center" wrapText="1"/>
    </xf>
    <xf numFmtId="9" fontId="22" fillId="11" borderId="58" xfId="1" applyFont="1" applyFill="1" applyBorder="1" applyAlignment="1">
      <alignment horizontal="center" vertical="center" wrapText="1"/>
    </xf>
    <xf numFmtId="9" fontId="22" fillId="11" borderId="60" xfId="1" applyFont="1" applyFill="1" applyBorder="1" applyAlignment="1">
      <alignment horizontal="center" vertical="center" wrapText="1"/>
    </xf>
    <xf numFmtId="2" fontId="22" fillId="11" borderId="32" xfId="1" applyNumberFormat="1" applyFont="1" applyFill="1" applyBorder="1" applyAlignment="1">
      <alignment horizontal="center" vertical="center" wrapText="1"/>
    </xf>
    <xf numFmtId="2" fontId="22" fillId="11" borderId="34" xfId="1" applyNumberFormat="1" applyFont="1" applyFill="1" applyBorder="1" applyAlignment="1">
      <alignment horizontal="center" vertical="center" wrapText="1"/>
    </xf>
    <xf numFmtId="9" fontId="23" fillId="11" borderId="10" xfId="1" applyFont="1" applyFill="1" applyBorder="1" applyAlignment="1">
      <alignment horizontal="center" vertical="center" wrapText="1"/>
    </xf>
    <xf numFmtId="0" fontId="15" fillId="0" borderId="5" xfId="0" applyFont="1" applyBorder="1" applyAlignment="1">
      <alignment horizontal="center" vertical="center" wrapText="1"/>
    </xf>
    <xf numFmtId="0" fontId="22" fillId="0" borderId="24" xfId="0" applyFont="1" applyBorder="1" applyAlignment="1">
      <alignment horizontal="left" vertical="center" wrapText="1"/>
    </xf>
    <xf numFmtId="0" fontId="22" fillId="0" borderId="26" xfId="0" applyFont="1" applyBorder="1" applyAlignment="1">
      <alignment horizontal="left" vertical="center" wrapText="1"/>
    </xf>
    <xf numFmtId="165" fontId="23" fillId="20" borderId="32" xfId="0" applyNumberFormat="1" applyFont="1" applyFill="1" applyBorder="1" applyAlignment="1">
      <alignment horizontal="center" vertical="center" wrapText="1"/>
    </xf>
    <xf numFmtId="165" fontId="23" fillId="20" borderId="34" xfId="0" applyNumberFormat="1" applyFont="1" applyFill="1" applyBorder="1" applyAlignment="1">
      <alignment horizontal="center" vertical="center" wrapText="1"/>
    </xf>
    <xf numFmtId="0" fontId="23" fillId="3" borderId="42" xfId="0" applyFont="1" applyFill="1" applyBorder="1" applyAlignment="1">
      <alignment vertical="center" wrapText="1"/>
    </xf>
    <xf numFmtId="0" fontId="23" fillId="3" borderId="44" xfId="0" applyFont="1" applyFill="1" applyBorder="1" applyAlignment="1">
      <alignment vertical="center" wrapText="1"/>
    </xf>
    <xf numFmtId="0" fontId="23" fillId="3" borderId="45" xfId="0" applyFont="1" applyFill="1" applyBorder="1" applyAlignment="1">
      <alignment vertical="center" wrapText="1"/>
    </xf>
    <xf numFmtId="0" fontId="24" fillId="0" borderId="32" xfId="0" applyFont="1" applyBorder="1" applyAlignment="1">
      <alignment horizontal="left" vertical="center" wrapText="1"/>
    </xf>
    <xf numFmtId="0" fontId="24" fillId="0" borderId="33" xfId="0" applyFont="1" applyBorder="1" applyAlignment="1">
      <alignment horizontal="left" vertical="center" wrapText="1"/>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165" fontId="25" fillId="4" borderId="32" xfId="0" applyNumberFormat="1" applyFont="1" applyFill="1" applyBorder="1" applyAlignment="1">
      <alignment horizontal="center" vertical="center" wrapText="1"/>
    </xf>
    <xf numFmtId="0" fontId="25" fillId="4" borderId="33" xfId="0" applyFont="1" applyFill="1" applyBorder="1" applyAlignment="1">
      <alignment horizontal="center" vertical="center" wrapText="1"/>
    </xf>
    <xf numFmtId="0" fontId="28" fillId="4" borderId="33" xfId="0" applyFont="1" applyFill="1" applyBorder="1" applyAlignment="1">
      <alignment horizontal="center" vertical="center" wrapText="1"/>
    </xf>
    <xf numFmtId="0" fontId="28" fillId="4" borderId="34" xfId="0" applyFont="1" applyFill="1" applyBorder="1" applyAlignment="1">
      <alignment horizontal="center" vertical="center" wrapText="1"/>
    </xf>
    <xf numFmtId="9" fontId="22" fillId="11" borderId="45" xfId="1" applyFont="1" applyFill="1" applyBorder="1" applyAlignment="1">
      <alignment horizontal="center" vertical="center" wrapText="1"/>
    </xf>
    <xf numFmtId="9" fontId="22" fillId="11" borderId="9" xfId="1" applyFont="1" applyFill="1" applyBorder="1" applyAlignment="1">
      <alignment horizontal="center" vertical="center" wrapText="1"/>
    </xf>
    <xf numFmtId="0" fontId="15" fillId="0" borderId="9" xfId="0" applyFont="1" applyBorder="1" applyAlignment="1">
      <alignment horizontal="center" vertical="center" wrapText="1"/>
    </xf>
    <xf numFmtId="0" fontId="15" fillId="0" borderId="7" xfId="0" applyFont="1" applyBorder="1" applyAlignment="1">
      <alignment horizontal="center" vertical="center" wrapText="1"/>
    </xf>
    <xf numFmtId="2" fontId="22" fillId="11" borderId="10" xfId="1" applyNumberFormat="1" applyFont="1" applyFill="1" applyBorder="1" applyAlignment="1">
      <alignment horizontal="center" vertical="center" wrapText="1"/>
    </xf>
    <xf numFmtId="0" fontId="0" fillId="0" borderId="8" xfId="0" applyBorder="1" applyAlignment="1">
      <alignment horizontal="center" vertical="center" wrapText="1"/>
    </xf>
    <xf numFmtId="0" fontId="0" fillId="0" borderId="5" xfId="0" applyBorder="1" applyAlignment="1">
      <alignment horizontal="center" vertical="center" wrapText="1"/>
    </xf>
    <xf numFmtId="2" fontId="24" fillId="6" borderId="10" xfId="1" applyNumberFormat="1" applyFont="1" applyFill="1" applyBorder="1" applyAlignment="1">
      <alignment horizontal="center" vertical="center" wrapText="1"/>
    </xf>
    <xf numFmtId="0" fontId="15" fillId="0" borderId="8" xfId="0" applyFont="1" applyBorder="1" applyAlignment="1">
      <alignment horizontal="center" vertical="center" wrapText="1"/>
    </xf>
    <xf numFmtId="0" fontId="23" fillId="3" borderId="2" xfId="0" applyFont="1" applyFill="1" applyBorder="1" applyAlignment="1">
      <alignment vertical="center" wrapText="1"/>
    </xf>
    <xf numFmtId="0" fontId="23" fillId="3" borderId="3" xfId="0" applyFont="1" applyFill="1" applyBorder="1" applyAlignment="1">
      <alignment vertical="center" wrapText="1"/>
    </xf>
    <xf numFmtId="0" fontId="23" fillId="3" borderId="4" xfId="0" applyFont="1" applyFill="1" applyBorder="1" applyAlignment="1">
      <alignment vertical="center" wrapText="1"/>
    </xf>
    <xf numFmtId="0" fontId="24" fillId="0" borderId="41" xfId="0" applyFont="1" applyBorder="1" applyAlignment="1">
      <alignment horizontal="left" vertical="center" wrapText="1"/>
    </xf>
    <xf numFmtId="0" fontId="25" fillId="4" borderId="41" xfId="0" applyFont="1" applyFill="1" applyBorder="1" applyAlignment="1">
      <alignment horizontal="center" vertical="center" wrapText="1"/>
    </xf>
    <xf numFmtId="9" fontId="22" fillId="11" borderId="7" xfId="1" applyFont="1" applyFill="1" applyBorder="1" applyAlignment="1">
      <alignment horizontal="center" vertical="center" wrapText="1"/>
    </xf>
    <xf numFmtId="0" fontId="8" fillId="0" borderId="9" xfId="0" applyFont="1" applyBorder="1" applyAlignment="1" applyProtection="1">
      <alignment horizontal="center" vertical="center"/>
      <protection locked="0"/>
    </xf>
    <xf numFmtId="0" fontId="22" fillId="0" borderId="8" xfId="0" applyFont="1" applyBorder="1" applyAlignment="1">
      <alignment vertical="center" wrapText="1"/>
    </xf>
    <xf numFmtId="0" fontId="22" fillId="0" borderId="5" xfId="0" applyFont="1" applyBorder="1" applyAlignment="1">
      <alignment vertical="center" wrapText="1"/>
    </xf>
    <xf numFmtId="165" fontId="23" fillId="4" borderId="8" xfId="0" applyNumberFormat="1" applyFont="1" applyFill="1" applyBorder="1" applyAlignment="1">
      <alignment horizontal="center" vertical="center" wrapText="1"/>
    </xf>
    <xf numFmtId="165" fontId="23" fillId="4" borderId="5" xfId="0" applyNumberFormat="1" applyFont="1" applyFill="1" applyBorder="1" applyAlignment="1">
      <alignment horizontal="center" vertical="center" wrapText="1"/>
    </xf>
    <xf numFmtId="9" fontId="24" fillId="6" borderId="45" xfId="1" applyFont="1" applyFill="1" applyBorder="1" applyAlignment="1">
      <alignment horizontal="center" vertical="center" wrapText="1"/>
    </xf>
    <xf numFmtId="9" fontId="24" fillId="6" borderId="9" xfId="1" applyFont="1" applyFill="1" applyBorder="1" applyAlignment="1">
      <alignment horizontal="center" vertical="center" wrapText="1"/>
    </xf>
    <xf numFmtId="9" fontId="24" fillId="6" borderId="7" xfId="1" applyFont="1" applyFill="1" applyBorder="1" applyAlignment="1">
      <alignment horizontal="center" vertical="center" wrapText="1"/>
    </xf>
    <xf numFmtId="0" fontId="30" fillId="3" borderId="43" xfId="0" applyFont="1" applyFill="1" applyBorder="1" applyAlignment="1">
      <alignment vertical="center" wrapText="1"/>
    </xf>
    <xf numFmtId="0" fontId="30" fillId="3" borderId="0" xfId="0" applyFont="1" applyFill="1" applyAlignment="1">
      <alignment vertical="center" wrapText="1"/>
    </xf>
    <xf numFmtId="0" fontId="30" fillId="3" borderId="9" xfId="0" applyFont="1" applyFill="1" applyBorder="1" applyAlignment="1">
      <alignment vertical="center" wrapText="1"/>
    </xf>
    <xf numFmtId="0" fontId="24" fillId="0" borderId="33" xfId="0" applyFont="1" applyBorder="1" applyAlignment="1">
      <alignment vertical="center" wrapText="1"/>
    </xf>
    <xf numFmtId="0" fontId="15" fillId="0" borderId="33" xfId="0" applyFont="1" applyBorder="1" applyAlignment="1">
      <alignment vertical="center" wrapText="1"/>
    </xf>
    <xf numFmtId="165" fontId="25" fillId="4" borderId="33" xfId="0" applyNumberFormat="1" applyFont="1" applyFill="1" applyBorder="1" applyAlignment="1">
      <alignment horizontal="center" vertical="center" wrapText="1"/>
    </xf>
    <xf numFmtId="0" fontId="23" fillId="3" borderId="70" xfId="0" applyFont="1" applyFill="1" applyBorder="1" applyAlignment="1">
      <alignment vertical="center" wrapText="1"/>
    </xf>
    <xf numFmtId="0" fontId="23" fillId="3" borderId="68" xfId="0" applyFont="1" applyFill="1" applyBorder="1" applyAlignment="1">
      <alignment vertical="center" wrapText="1"/>
    </xf>
    <xf numFmtId="0" fontId="23" fillId="3" borderId="71" xfId="0" applyFont="1" applyFill="1" applyBorder="1" applyAlignment="1">
      <alignment vertical="center" wrapText="1"/>
    </xf>
    <xf numFmtId="0" fontId="24" fillId="0" borderId="32" xfId="0" applyFont="1" applyBorder="1" applyAlignment="1">
      <alignment vertical="center" wrapText="1"/>
    </xf>
    <xf numFmtId="0" fontId="24" fillId="0" borderId="34" xfId="0" applyFont="1" applyBorder="1" applyAlignment="1">
      <alignment vertical="center" wrapText="1"/>
    </xf>
    <xf numFmtId="0" fontId="25" fillId="4" borderId="34" xfId="0" applyFont="1" applyFill="1" applyBorder="1" applyAlignment="1">
      <alignment horizontal="center" vertical="center" wrapText="1"/>
    </xf>
    <xf numFmtId="0" fontId="26" fillId="3" borderId="2" xfId="0" applyFont="1" applyFill="1" applyBorder="1" applyAlignment="1">
      <alignment vertical="center" wrapText="1"/>
    </xf>
    <xf numFmtId="0" fontId="26" fillId="3" borderId="3" xfId="0" applyFont="1" applyFill="1" applyBorder="1" applyAlignment="1">
      <alignment vertical="center" wrapText="1"/>
    </xf>
    <xf numFmtId="0" fontId="26" fillId="3" borderId="6" xfId="0" applyFont="1" applyFill="1" applyBorder="1" applyAlignment="1">
      <alignment vertical="center" wrapText="1"/>
    </xf>
    <xf numFmtId="0" fontId="26" fillId="3" borderId="4" xfId="0" applyFont="1" applyFill="1" applyBorder="1" applyAlignment="1">
      <alignment vertical="center" wrapText="1"/>
    </xf>
    <xf numFmtId="0" fontId="24" fillId="0" borderId="53" xfId="0" applyFont="1" applyBorder="1" applyAlignment="1">
      <alignment vertical="center" wrapText="1"/>
    </xf>
    <xf numFmtId="0" fontId="24" fillId="0" borderId="41" xfId="0" applyFont="1" applyBorder="1" applyAlignment="1">
      <alignment vertical="center" wrapText="1"/>
    </xf>
    <xf numFmtId="165" fontId="25" fillId="4" borderId="61" xfId="0" applyNumberFormat="1" applyFont="1" applyFill="1" applyBorder="1" applyAlignment="1">
      <alignment horizontal="center" vertical="center" wrapText="1"/>
    </xf>
    <xf numFmtId="0" fontId="25" fillId="4" borderId="40" xfId="0" applyFont="1" applyFill="1" applyBorder="1" applyAlignment="1">
      <alignment horizontal="center" vertical="center" wrapText="1"/>
    </xf>
    <xf numFmtId="9" fontId="24" fillId="0" borderId="9" xfId="1" applyFont="1" applyBorder="1" applyAlignment="1">
      <alignment horizontal="center" vertical="center" wrapText="1"/>
    </xf>
    <xf numFmtId="0" fontId="24" fillId="0" borderId="34" xfId="0" applyFont="1" applyBorder="1" applyAlignment="1">
      <alignment horizontal="left" vertical="center" wrapText="1"/>
    </xf>
    <xf numFmtId="9" fontId="24" fillId="0" borderId="58" xfId="1" applyFont="1" applyBorder="1" applyAlignment="1">
      <alignment horizontal="center" vertical="center" wrapText="1"/>
    </xf>
    <xf numFmtId="9" fontId="24" fillId="0" borderId="59" xfId="1" applyFont="1" applyBorder="1" applyAlignment="1">
      <alignment horizontal="center" vertical="center" wrapText="1"/>
    </xf>
    <xf numFmtId="9" fontId="24" fillId="0" borderId="60" xfId="1" applyFont="1" applyBorder="1" applyAlignment="1">
      <alignment horizontal="center" vertical="center" wrapText="1"/>
    </xf>
    <xf numFmtId="0" fontId="2" fillId="2" borderId="16"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9" fontId="25" fillId="6" borderId="45" xfId="1" applyFont="1" applyFill="1" applyBorder="1" applyAlignment="1">
      <alignment horizontal="center" vertical="center" wrapText="1"/>
    </xf>
    <xf numFmtId="9" fontId="25" fillId="6" borderId="7" xfId="1" applyFont="1" applyFill="1" applyBorder="1" applyAlignment="1">
      <alignment horizontal="center" vertical="center" wrapText="1"/>
    </xf>
    <xf numFmtId="9" fontId="24" fillId="6" borderId="58" xfId="1" applyFont="1" applyFill="1" applyBorder="1" applyAlignment="1">
      <alignment horizontal="center" vertical="center" wrapText="1"/>
    </xf>
    <xf numFmtId="0" fontId="15" fillId="0" borderId="59" xfId="0" applyFont="1" applyBorder="1" applyAlignment="1">
      <alignment horizontal="center" vertical="center" wrapText="1"/>
    </xf>
    <xf numFmtId="0" fontId="15" fillId="0" borderId="60" xfId="0" applyFont="1" applyBorder="1" applyAlignment="1">
      <alignment horizontal="center" vertical="center" wrapText="1"/>
    </xf>
    <xf numFmtId="2" fontId="24" fillId="0" borderId="10" xfId="1" applyNumberFormat="1" applyFont="1" applyBorder="1" applyAlignment="1">
      <alignment horizontal="center" vertical="center" wrapText="1"/>
    </xf>
    <xf numFmtId="165" fontId="25" fillId="4" borderId="34" xfId="0" applyNumberFormat="1" applyFont="1" applyFill="1" applyBorder="1" applyAlignment="1">
      <alignment horizontal="center" vertical="center" wrapText="1"/>
    </xf>
    <xf numFmtId="0" fontId="24" fillId="12" borderId="41" xfId="0" applyFont="1" applyFill="1" applyBorder="1" applyAlignment="1">
      <alignment vertical="center" wrapText="1"/>
    </xf>
    <xf numFmtId="0" fontId="24" fillId="12" borderId="5" xfId="0" applyFont="1" applyFill="1" applyBorder="1" applyAlignment="1">
      <alignment vertical="center" wrapText="1"/>
    </xf>
    <xf numFmtId="165" fontId="25" fillId="13" borderId="33" xfId="0" applyNumberFormat="1" applyFont="1" applyFill="1" applyBorder="1" applyAlignment="1">
      <alignment horizontal="center" vertical="center" wrapText="1"/>
    </xf>
    <xf numFmtId="165" fontId="25" fillId="13" borderId="34" xfId="0"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2" fontId="24" fillId="0" borderId="24" xfId="0" applyNumberFormat="1" applyFont="1" applyBorder="1" applyAlignment="1">
      <alignment horizontal="left" vertical="center" wrapText="1"/>
    </xf>
    <xf numFmtId="2" fontId="15" fillId="0" borderId="26" xfId="0" applyNumberFormat="1" applyFont="1" applyBorder="1" applyAlignment="1">
      <alignment horizontal="left" vertical="center" wrapText="1"/>
    </xf>
    <xf numFmtId="0" fontId="15" fillId="0" borderId="34" xfId="0" applyFont="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3" fillId="3" borderId="16" xfId="0" applyFont="1" applyFill="1" applyBorder="1" applyAlignment="1">
      <alignment vertical="center" wrapText="1"/>
    </xf>
    <xf numFmtId="0" fontId="23" fillId="3" borderId="6" xfId="0" applyFont="1" applyFill="1" applyBorder="1" applyAlignment="1">
      <alignment vertical="center" wrapText="1"/>
    </xf>
    <xf numFmtId="0" fontId="23" fillId="3" borderId="7" xfId="0" applyFont="1" applyFill="1" applyBorder="1" applyAlignment="1">
      <alignment vertical="center" wrapText="1"/>
    </xf>
    <xf numFmtId="0" fontId="24" fillId="0" borderId="8" xfId="0" applyFont="1" applyBorder="1" applyAlignment="1">
      <alignment horizontal="center" vertical="center" wrapText="1"/>
    </xf>
    <xf numFmtId="0" fontId="24" fillId="0" borderId="5" xfId="0" applyFont="1" applyBorder="1" applyAlignment="1">
      <alignment horizontal="center" vertical="center" wrapText="1"/>
    </xf>
    <xf numFmtId="165" fontId="25" fillId="4" borderId="43" xfId="0" applyNumberFormat="1" applyFont="1" applyFill="1" applyBorder="1" applyAlignment="1">
      <alignment horizontal="center" vertical="center" wrapText="1"/>
    </xf>
    <xf numFmtId="0" fontId="25" fillId="4" borderId="43" xfId="0" applyFont="1" applyFill="1" applyBorder="1" applyAlignment="1">
      <alignment horizontal="center" vertical="center" wrapText="1"/>
    </xf>
    <xf numFmtId="0" fontId="25" fillId="4" borderId="16" xfId="0" applyFont="1" applyFill="1" applyBorder="1" applyAlignment="1">
      <alignment horizontal="center" vertical="center" wrapText="1"/>
    </xf>
    <xf numFmtId="0" fontId="24" fillId="0" borderId="8" xfId="0" applyFont="1" applyBorder="1" applyAlignment="1">
      <alignment horizontal="left" vertical="center" wrapText="1"/>
    </xf>
    <xf numFmtId="0" fontId="24" fillId="0" borderId="5" xfId="0" applyFont="1" applyBorder="1" applyAlignment="1">
      <alignment horizontal="left" vertical="center" wrapText="1"/>
    </xf>
    <xf numFmtId="165" fontId="28" fillId="4" borderId="10" xfId="0" applyNumberFormat="1" applyFont="1" applyFill="1" applyBorder="1" applyAlignment="1">
      <alignment horizontal="center" vertical="center" wrapText="1"/>
    </xf>
    <xf numFmtId="0" fontId="28" fillId="4" borderId="8" xfId="0" applyFont="1" applyFill="1" applyBorder="1" applyAlignment="1">
      <alignment horizontal="center" vertical="center" wrapText="1"/>
    </xf>
    <xf numFmtId="0" fontId="28" fillId="4" borderId="5" xfId="0" applyFont="1" applyFill="1" applyBorder="1" applyAlignment="1">
      <alignment horizontal="center" vertical="center" wrapText="1"/>
    </xf>
    <xf numFmtId="9" fontId="28" fillId="0" borderId="45" xfId="1" applyFont="1" applyBorder="1" applyAlignment="1">
      <alignment horizontal="center" vertical="center" wrapText="1"/>
    </xf>
    <xf numFmtId="9" fontId="28" fillId="0" borderId="9" xfId="1" applyFont="1" applyBorder="1" applyAlignment="1">
      <alignment horizontal="center" vertical="center" wrapText="1"/>
    </xf>
    <xf numFmtId="9" fontId="28" fillId="0" borderId="7" xfId="1" applyFont="1" applyBorder="1" applyAlignment="1">
      <alignment horizontal="center" vertical="center" wrapText="1"/>
    </xf>
    <xf numFmtId="0" fontId="24" fillId="0" borderId="25" xfId="0" applyFont="1" applyBorder="1" applyAlignment="1">
      <alignment vertical="center" wrapText="1"/>
    </xf>
    <xf numFmtId="165" fontId="25" fillId="4" borderId="33" xfId="2" applyNumberFormat="1" applyFont="1" applyFill="1" applyBorder="1" applyAlignment="1">
      <alignment horizontal="center" vertical="center" wrapText="1"/>
    </xf>
    <xf numFmtId="165" fontId="25" fillId="4" borderId="29" xfId="0" applyNumberFormat="1" applyFont="1" applyFill="1" applyBorder="1" applyAlignment="1">
      <alignment horizontal="center" vertical="center" wrapText="1"/>
    </xf>
    <xf numFmtId="0" fontId="25" fillId="4" borderId="30" xfId="0" applyFont="1" applyFill="1" applyBorder="1" applyAlignment="1">
      <alignment horizontal="center" vertical="center" wrapText="1"/>
    </xf>
    <xf numFmtId="0" fontId="25" fillId="4" borderId="31" xfId="0" applyFont="1" applyFill="1" applyBorder="1" applyAlignment="1">
      <alignment horizontal="center" vertical="center" wrapText="1"/>
    </xf>
    <xf numFmtId="0" fontId="26" fillId="11" borderId="43" xfId="0" applyFont="1" applyFill="1" applyBorder="1" applyAlignment="1">
      <alignment vertical="center" wrapText="1"/>
    </xf>
    <xf numFmtId="0" fontId="26" fillId="11" borderId="0" xfId="0" applyFont="1" applyFill="1" applyAlignment="1">
      <alignment vertical="center" wrapText="1"/>
    </xf>
    <xf numFmtId="0" fontId="26" fillId="11" borderId="9" xfId="0" applyFont="1" applyFill="1" applyBorder="1" applyAlignment="1">
      <alignment vertical="center" wrapText="1"/>
    </xf>
    <xf numFmtId="0" fontId="24" fillId="0" borderId="24" xfId="0" applyFont="1" applyBorder="1" applyAlignment="1">
      <alignment vertical="center" wrapText="1"/>
    </xf>
    <xf numFmtId="0" fontId="24" fillId="0" borderId="26" xfId="0" applyFont="1" applyBorder="1" applyAlignment="1">
      <alignment vertical="center" wrapText="1"/>
    </xf>
    <xf numFmtId="165" fontId="25" fillId="4" borderId="24" xfId="0" applyNumberFormat="1" applyFont="1" applyFill="1" applyBorder="1" applyAlignment="1">
      <alignment horizontal="center" vertical="center" wrapText="1"/>
    </xf>
    <xf numFmtId="0" fontId="25" fillId="4" borderId="26" xfId="0" applyFont="1" applyFill="1" applyBorder="1" applyAlignment="1">
      <alignment horizontal="center" vertical="center" wrapText="1"/>
    </xf>
    <xf numFmtId="165" fontId="25" fillId="4" borderId="26" xfId="0" applyNumberFormat="1" applyFont="1" applyFill="1" applyBorder="1" applyAlignment="1">
      <alignment horizontal="center" vertical="center" wrapText="1"/>
    </xf>
    <xf numFmtId="9" fontId="0" fillId="0" borderId="45" xfId="0" applyNumberFormat="1" applyBorder="1" applyAlignment="1">
      <alignment horizontal="center" vertical="center" wrapText="1"/>
    </xf>
    <xf numFmtId="9" fontId="0" fillId="0" borderId="7" xfId="0" applyNumberFormat="1" applyBorder="1" applyAlignment="1">
      <alignment horizontal="center" vertical="center" wrapText="1"/>
    </xf>
    <xf numFmtId="0" fontId="18" fillId="12" borderId="2" xfId="0" applyFont="1" applyFill="1" applyBorder="1" applyAlignment="1" applyProtection="1">
      <alignment vertical="top" wrapText="1"/>
      <protection locked="0"/>
    </xf>
    <xf numFmtId="0" fontId="54" fillId="12" borderId="3" xfId="0" applyFont="1" applyFill="1" applyBorder="1" applyAlignment="1">
      <alignment vertical="top" wrapText="1"/>
    </xf>
    <xf numFmtId="0" fontId="54" fillId="12" borderId="4" xfId="0" applyFont="1" applyFill="1" applyBorder="1" applyAlignment="1">
      <alignment vertical="top" wrapText="1"/>
    </xf>
    <xf numFmtId="2" fontId="22" fillId="11" borderId="5" xfId="1" applyNumberFormat="1" applyFont="1" applyFill="1" applyBorder="1" applyAlignment="1">
      <alignment horizontal="center" vertical="center" wrapText="1"/>
    </xf>
    <xf numFmtId="2" fontId="22" fillId="11" borderId="8" xfId="1" applyNumberFormat="1" applyFont="1" applyFill="1" applyBorder="1" applyAlignment="1">
      <alignment horizontal="center" vertical="center" wrapText="1"/>
    </xf>
    <xf numFmtId="2" fontId="24" fillId="6" borderId="8" xfId="1" applyNumberFormat="1" applyFont="1" applyFill="1" applyBorder="1" applyAlignment="1">
      <alignment horizontal="center" vertical="center" wrapText="1"/>
    </xf>
    <xf numFmtId="2" fontId="24" fillId="6" borderId="5" xfId="1" applyNumberFormat="1" applyFont="1" applyFill="1" applyBorder="1" applyAlignment="1">
      <alignment horizontal="center" vertical="center" wrapText="1"/>
    </xf>
    <xf numFmtId="2" fontId="23" fillId="11" borderId="10" xfId="1" applyNumberFormat="1" applyFont="1" applyFill="1" applyBorder="1" applyAlignment="1">
      <alignment horizontal="center" vertical="center" wrapText="1"/>
    </xf>
    <xf numFmtId="2" fontId="23" fillId="11" borderId="5" xfId="1" applyNumberFormat="1" applyFont="1" applyFill="1" applyBorder="1" applyAlignment="1">
      <alignment horizontal="center" vertical="center" wrapText="1"/>
    </xf>
    <xf numFmtId="2" fontId="24" fillId="0" borderId="8" xfId="1" applyNumberFormat="1" applyFont="1" applyBorder="1" applyAlignment="1">
      <alignment horizontal="center" vertical="center" wrapText="1"/>
    </xf>
    <xf numFmtId="2" fontId="24" fillId="0" borderId="5" xfId="1" applyNumberFormat="1" applyFont="1" applyBorder="1" applyAlignment="1">
      <alignment horizontal="center" vertical="center" wrapText="1"/>
    </xf>
    <xf numFmtId="9" fontId="37" fillId="11" borderId="1" xfId="1" applyFont="1" applyFill="1" applyBorder="1" applyAlignment="1" applyProtection="1">
      <alignment horizontal="center" vertical="center" wrapText="1"/>
      <protection hidden="1"/>
    </xf>
    <xf numFmtId="1" fontId="37" fillId="11" borderId="1" xfId="1" applyNumberFormat="1" applyFont="1" applyFill="1" applyBorder="1" applyAlignment="1" applyProtection="1">
      <alignment horizontal="center" vertical="center" wrapText="1"/>
      <protection hidden="1"/>
    </xf>
    <xf numFmtId="0" fontId="4" fillId="9" borderId="42" xfId="0" applyFont="1" applyFill="1" applyBorder="1" applyAlignment="1" applyProtection="1">
      <alignment vertical="center" wrapText="1"/>
      <protection hidden="1"/>
    </xf>
    <xf numFmtId="0" fontId="4" fillId="9" borderId="45" xfId="0" applyFont="1" applyFill="1" applyBorder="1" applyAlignment="1" applyProtection="1">
      <alignment vertical="center" wrapText="1"/>
      <protection hidden="1"/>
    </xf>
    <xf numFmtId="0" fontId="4" fillId="9" borderId="44" xfId="0" applyFont="1" applyFill="1" applyBorder="1" applyAlignment="1" applyProtection="1">
      <alignment vertical="center" wrapText="1"/>
      <protection hidden="1"/>
    </xf>
    <xf numFmtId="0" fontId="4" fillId="9" borderId="10" xfId="0" applyFont="1" applyFill="1" applyBorder="1" applyAlignment="1" applyProtection="1">
      <alignment vertical="center" wrapText="1"/>
      <protection hidden="1"/>
    </xf>
    <xf numFmtId="9" fontId="23" fillId="11" borderId="4" xfId="1" applyFont="1" applyFill="1" applyBorder="1" applyAlignment="1" applyProtection="1">
      <alignment horizontal="center" vertical="center" wrapText="1"/>
      <protection hidden="1"/>
    </xf>
    <xf numFmtId="2" fontId="23" fillId="11" borderId="4" xfId="1" applyNumberFormat="1" applyFont="1" applyFill="1" applyBorder="1" applyAlignment="1" applyProtection="1">
      <alignment horizontal="center" vertical="center" wrapText="1"/>
      <protection hidden="1"/>
    </xf>
    <xf numFmtId="9" fontId="23" fillId="11" borderId="1" xfId="1" applyFont="1" applyFill="1" applyBorder="1" applyAlignment="1" applyProtection="1">
      <alignment horizontal="center" vertical="center" wrapText="1"/>
      <protection hidden="1"/>
    </xf>
    <xf numFmtId="0" fontId="4" fillId="11" borderId="42" xfId="0" applyFont="1" applyFill="1" applyBorder="1" applyAlignment="1" applyProtection="1">
      <alignment vertical="center" wrapText="1"/>
      <protection hidden="1"/>
    </xf>
    <xf numFmtId="0" fontId="4" fillId="11" borderId="45" xfId="0" applyFont="1" applyFill="1" applyBorder="1" applyAlignment="1" applyProtection="1">
      <alignment vertical="center" wrapText="1"/>
      <protection hidden="1"/>
    </xf>
    <xf numFmtId="0" fontId="4" fillId="11" borderId="44" xfId="0" applyFont="1" applyFill="1" applyBorder="1" applyAlignment="1" applyProtection="1">
      <alignment vertical="center" wrapText="1"/>
      <protection hidden="1"/>
    </xf>
    <xf numFmtId="0" fontId="4" fillId="11" borderId="10" xfId="0" applyFont="1" applyFill="1" applyBorder="1" applyAlignment="1" applyProtection="1">
      <alignment vertical="center" wrapText="1"/>
      <protection hidden="1"/>
    </xf>
    <xf numFmtId="165" fontId="26" fillId="0" borderId="17" xfId="1" applyNumberFormat="1" applyFont="1" applyBorder="1" applyAlignment="1" applyProtection="1">
      <alignment horizontal="center" vertical="center" wrapText="1"/>
      <protection locked="0" hidden="1"/>
    </xf>
    <xf numFmtId="165" fontId="26" fillId="0" borderId="19" xfId="1" applyNumberFormat="1" applyFont="1" applyBorder="1" applyAlignment="1" applyProtection="1">
      <alignment horizontal="center" vertical="center" wrapText="1"/>
      <protection locked="0" hidden="1"/>
    </xf>
    <xf numFmtId="165" fontId="24" fillId="0" borderId="49" xfId="1" applyNumberFormat="1" applyFont="1" applyBorder="1" applyAlignment="1" applyProtection="1">
      <alignment horizontal="center" vertical="center" wrapText="1"/>
      <protection hidden="1"/>
    </xf>
    <xf numFmtId="165" fontId="24" fillId="0" borderId="18" xfId="1" applyNumberFormat="1" applyFont="1" applyBorder="1" applyAlignment="1" applyProtection="1">
      <alignment horizontal="center" vertical="center" wrapText="1"/>
      <protection hidden="1"/>
    </xf>
    <xf numFmtId="165" fontId="24" fillId="0" borderId="46" xfId="1" applyNumberFormat="1" applyFont="1" applyBorder="1" applyAlignment="1" applyProtection="1">
      <alignment horizontal="center" vertical="center" wrapText="1"/>
      <protection hidden="1"/>
    </xf>
    <xf numFmtId="9" fontId="24" fillId="11" borderId="32" xfId="1" applyFont="1" applyFill="1" applyBorder="1" applyAlignment="1" applyProtection="1">
      <alignment horizontal="center" vertical="center" wrapText="1"/>
      <protection hidden="1"/>
    </xf>
    <xf numFmtId="9" fontId="22" fillId="11" borderId="58" xfId="1" applyFont="1" applyFill="1" applyBorder="1" applyAlignment="1" applyProtection="1">
      <alignment horizontal="center" vertical="center" wrapText="1"/>
      <protection hidden="1"/>
    </xf>
    <xf numFmtId="2" fontId="22" fillId="11" borderId="32" xfId="1" applyNumberFormat="1" applyFont="1" applyFill="1" applyBorder="1" applyAlignment="1" applyProtection="1">
      <alignment horizontal="center" vertical="center" wrapText="1"/>
      <protection hidden="1"/>
    </xf>
    <xf numFmtId="9" fontId="23" fillId="11" borderId="10" xfId="1" applyFont="1" applyFill="1" applyBorder="1" applyAlignment="1" applyProtection="1">
      <alignment horizontal="center" vertical="center" wrapText="1"/>
      <protection hidden="1"/>
    </xf>
    <xf numFmtId="0" fontId="24" fillId="8" borderId="29" xfId="0" applyFont="1" applyFill="1" applyBorder="1" applyAlignment="1" applyProtection="1">
      <alignment vertical="center" wrapText="1"/>
      <protection hidden="1"/>
    </xf>
    <xf numFmtId="165" fontId="26" fillId="0" borderId="21" xfId="1" applyNumberFormat="1" applyFont="1" applyBorder="1" applyAlignment="1" applyProtection="1">
      <alignment horizontal="center" vertical="center" wrapText="1"/>
      <protection locked="0" hidden="1"/>
    </xf>
    <xf numFmtId="165" fontId="26" fillId="0" borderId="23" xfId="1" applyNumberFormat="1" applyFont="1" applyBorder="1" applyAlignment="1" applyProtection="1">
      <alignment horizontal="center" vertical="center" wrapText="1"/>
      <protection locked="0" hidden="1"/>
    </xf>
    <xf numFmtId="165" fontId="24" fillId="0" borderId="28" xfId="1" applyNumberFormat="1" applyFont="1" applyBorder="1" applyAlignment="1" applyProtection="1">
      <alignment horizontal="center" vertical="center" wrapText="1"/>
      <protection hidden="1"/>
    </xf>
    <xf numFmtId="165" fontId="24" fillId="0" borderId="22" xfId="1" applyNumberFormat="1" applyFont="1" applyBorder="1" applyAlignment="1" applyProtection="1">
      <alignment horizontal="center" vertical="center" wrapText="1"/>
      <protection hidden="1"/>
    </xf>
    <xf numFmtId="165" fontId="24" fillId="0" borderId="48" xfId="1" applyNumberFormat="1" applyFont="1" applyBorder="1" applyAlignment="1" applyProtection="1">
      <alignment horizontal="center" vertical="center" wrapText="1"/>
      <protection hidden="1"/>
    </xf>
    <xf numFmtId="9" fontId="24" fillId="11" borderId="34" xfId="1" applyFont="1" applyFill="1" applyBorder="1" applyAlignment="1" applyProtection="1">
      <alignment horizontal="center" vertical="center" wrapText="1"/>
      <protection hidden="1"/>
    </xf>
    <xf numFmtId="9" fontId="22" fillId="11" borderId="60" xfId="1" applyFont="1" applyFill="1" applyBorder="1" applyAlignment="1" applyProtection="1">
      <alignment horizontal="center" vertical="center" wrapText="1"/>
      <protection hidden="1"/>
    </xf>
    <xf numFmtId="2" fontId="22" fillId="11" borderId="34" xfId="1" applyNumberFormat="1" applyFont="1" applyFill="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0" fontId="24" fillId="8" borderId="31" xfId="0" applyFont="1" applyFill="1" applyBorder="1" applyAlignment="1" applyProtection="1">
      <alignment vertical="center" wrapText="1"/>
      <protection hidden="1"/>
    </xf>
    <xf numFmtId="165" fontId="10" fillId="0" borderId="54" xfId="1" applyNumberFormat="1" applyFont="1" applyBorder="1" applyAlignment="1" applyProtection="1">
      <alignment horizontal="center" vertical="center" wrapText="1"/>
      <protection locked="0" hidden="1"/>
    </xf>
    <xf numFmtId="165" fontId="10" fillId="0" borderId="74" xfId="1" applyNumberFormat="1" applyFont="1" applyBorder="1" applyAlignment="1" applyProtection="1">
      <alignment horizontal="center" vertical="center" wrapText="1"/>
      <protection locked="0" hidden="1"/>
    </xf>
    <xf numFmtId="1" fontId="24" fillId="0" borderId="73" xfId="1" applyNumberFormat="1" applyFont="1" applyBorder="1" applyAlignment="1" applyProtection="1">
      <alignment horizontal="center" vertical="center" wrapText="1"/>
      <protection hidden="1"/>
    </xf>
    <xf numFmtId="165" fontId="24" fillId="0" borderId="14" xfId="0" applyNumberFormat="1" applyFont="1" applyBorder="1" applyAlignment="1" applyProtection="1">
      <alignment horizontal="center" vertical="center" wrapText="1"/>
      <protection hidden="1"/>
    </xf>
    <xf numFmtId="165" fontId="24" fillId="0" borderId="12" xfId="1" applyNumberFormat="1" applyFont="1" applyBorder="1" applyAlignment="1" applyProtection="1">
      <alignment horizontal="center" vertical="center" wrapText="1"/>
      <protection hidden="1"/>
    </xf>
    <xf numFmtId="9" fontId="24" fillId="11" borderId="53" xfId="1" applyFont="1" applyFill="1" applyBorder="1" applyAlignment="1" applyProtection="1">
      <alignment horizontal="center" vertical="center" wrapText="1"/>
      <protection hidden="1"/>
    </xf>
    <xf numFmtId="0" fontId="24" fillId="9" borderId="62" xfId="0" applyFont="1" applyFill="1" applyBorder="1" applyAlignment="1" applyProtection="1">
      <alignment vertical="center" wrapText="1"/>
      <protection hidden="1"/>
    </xf>
    <xf numFmtId="165" fontId="10" fillId="0" borderId="38" xfId="1" applyNumberFormat="1" applyFont="1" applyBorder="1" applyAlignment="1" applyProtection="1">
      <alignment horizontal="center" vertical="center" wrapText="1"/>
      <protection locked="0" hidden="1"/>
    </xf>
    <xf numFmtId="165" fontId="10" fillId="0" borderId="39" xfId="1" applyNumberFormat="1" applyFont="1" applyBorder="1" applyAlignment="1" applyProtection="1">
      <alignment horizontal="center" vertical="center" wrapText="1"/>
      <protection locked="0" hidden="1"/>
    </xf>
    <xf numFmtId="165" fontId="24" fillId="0" borderId="63" xfId="0" applyNumberFormat="1" applyFont="1" applyBorder="1" applyAlignment="1" applyProtection="1">
      <alignment horizontal="center" vertical="center" wrapText="1"/>
      <protection hidden="1"/>
    </xf>
    <xf numFmtId="0" fontId="24" fillId="0" borderId="13" xfId="0" applyFont="1" applyBorder="1" applyAlignment="1" applyProtection="1">
      <alignment horizontal="center" vertical="center" wrapText="1"/>
      <protection hidden="1"/>
    </xf>
    <xf numFmtId="165" fontId="24" fillId="0" borderId="55" xfId="0" applyNumberFormat="1" applyFont="1" applyBorder="1" applyAlignment="1" applyProtection="1">
      <alignment horizontal="center" vertical="center" wrapText="1"/>
      <protection hidden="1"/>
    </xf>
    <xf numFmtId="9" fontId="24" fillId="11" borderId="41" xfId="1" applyFont="1" applyFill="1" applyBorder="1" applyAlignment="1" applyProtection="1">
      <alignment horizontal="center" vertical="center" wrapText="1"/>
      <protection hidden="1"/>
    </xf>
    <xf numFmtId="0" fontId="24" fillId="9" borderId="64" xfId="0" applyFont="1" applyFill="1" applyBorder="1" applyAlignment="1" applyProtection="1">
      <alignment vertical="center" wrapText="1"/>
      <protection hidden="1"/>
    </xf>
    <xf numFmtId="165" fontId="26" fillId="0" borderId="17" xfId="0" applyNumberFormat="1" applyFont="1" applyBorder="1" applyAlignment="1" applyProtection="1">
      <alignment horizontal="center" vertical="center" wrapText="1"/>
      <protection locked="0" hidden="1"/>
    </xf>
    <xf numFmtId="165" fontId="26" fillId="0" borderId="19" xfId="0" applyNumberFormat="1" applyFont="1" applyBorder="1" applyAlignment="1" applyProtection="1">
      <alignment horizontal="center" vertical="center" wrapText="1"/>
      <protection locked="0" hidden="1"/>
    </xf>
    <xf numFmtId="165" fontId="24" fillId="0" borderId="49" xfId="0" applyNumberFormat="1" applyFont="1" applyBorder="1" applyAlignment="1" applyProtection="1">
      <alignment horizontal="center" vertical="center" wrapText="1"/>
      <protection hidden="1"/>
    </xf>
    <xf numFmtId="165" fontId="24" fillId="0" borderId="18" xfId="0" applyNumberFormat="1" applyFont="1" applyBorder="1" applyAlignment="1" applyProtection="1">
      <alignment horizontal="center" vertical="center" wrapText="1"/>
      <protection hidden="1"/>
    </xf>
    <xf numFmtId="9" fontId="24" fillId="6" borderId="45" xfId="1" applyFont="1" applyFill="1" applyBorder="1" applyAlignment="1" applyProtection="1">
      <alignment horizontal="center" vertical="center" wrapText="1"/>
      <protection hidden="1"/>
    </xf>
    <xf numFmtId="2" fontId="24" fillId="6" borderId="10" xfId="1" applyNumberFormat="1" applyFont="1" applyFill="1" applyBorder="1" applyAlignment="1" applyProtection="1">
      <alignment horizontal="center" vertical="center" wrapText="1"/>
      <protection hidden="1"/>
    </xf>
    <xf numFmtId="0" fontId="24" fillId="10" borderId="58" xfId="0" applyFont="1" applyFill="1" applyBorder="1" applyAlignment="1" applyProtection="1">
      <alignment vertical="center" wrapText="1"/>
      <protection hidden="1"/>
    </xf>
    <xf numFmtId="165" fontId="26" fillId="25" borderId="15" xfId="0" applyNumberFormat="1" applyFont="1" applyFill="1" applyBorder="1" applyAlignment="1" applyProtection="1">
      <alignment horizontal="center" vertical="center" wrapText="1"/>
      <protection locked="0" hidden="1"/>
    </xf>
    <xf numFmtId="165" fontId="26" fillId="25" borderId="20" xfId="0" applyNumberFormat="1" applyFont="1" applyFill="1" applyBorder="1" applyAlignment="1" applyProtection="1">
      <alignment horizontal="center" vertical="center" wrapText="1"/>
      <protection locked="0" hidden="1"/>
    </xf>
    <xf numFmtId="165" fontId="24" fillId="0" borderId="27" xfId="0" applyNumberFormat="1" applyFont="1" applyBorder="1" applyAlignment="1" applyProtection="1">
      <alignment horizontal="center" vertical="center" wrapText="1"/>
      <protection hidden="1"/>
    </xf>
    <xf numFmtId="165" fontId="24" fillId="0" borderId="11" xfId="0" applyNumberFormat="1" applyFont="1" applyBorder="1" applyAlignment="1" applyProtection="1">
      <alignment horizontal="center" vertical="center" wrapText="1"/>
      <protection hidden="1"/>
    </xf>
    <xf numFmtId="165" fontId="24" fillId="0" borderId="47" xfId="1" applyNumberFormat="1" applyFont="1" applyBorder="1" applyAlignment="1" applyProtection="1">
      <alignment horizontal="center" vertical="center" wrapText="1"/>
      <protection hidden="1"/>
    </xf>
    <xf numFmtId="9" fontId="24" fillId="11" borderId="33" xfId="1" applyFont="1" applyFill="1" applyBorder="1" applyAlignment="1" applyProtection="1">
      <alignment horizontal="center" vertical="center" wrapText="1"/>
      <protection hidden="1"/>
    </xf>
    <xf numFmtId="9" fontId="24" fillId="6" borderId="9" xfId="1" applyFont="1" applyFill="1" applyBorder="1" applyAlignment="1" applyProtection="1">
      <alignment horizontal="center" vertical="center" wrapText="1"/>
      <protection hidden="1"/>
    </xf>
    <xf numFmtId="0" fontId="0" fillId="0" borderId="8" xfId="0" applyBorder="1" applyAlignment="1" applyProtection="1">
      <alignment horizontal="center" vertical="center" wrapText="1"/>
      <protection hidden="1"/>
    </xf>
    <xf numFmtId="0" fontId="15" fillId="0" borderId="8" xfId="0" applyFont="1" applyBorder="1" applyAlignment="1" applyProtection="1">
      <alignment horizontal="center" vertical="center" wrapText="1"/>
      <protection hidden="1"/>
    </xf>
    <xf numFmtId="0" fontId="24" fillId="10" borderId="59" xfId="0" applyFont="1" applyFill="1" applyBorder="1" applyAlignment="1" applyProtection="1">
      <alignment vertical="center" wrapText="1"/>
      <protection hidden="1"/>
    </xf>
    <xf numFmtId="165" fontId="26" fillId="12" borderId="21" xfId="0" applyNumberFormat="1" applyFont="1" applyFill="1" applyBorder="1" applyAlignment="1" applyProtection="1">
      <alignment horizontal="center" vertical="center" wrapText="1"/>
      <protection locked="0" hidden="1"/>
    </xf>
    <xf numFmtId="165" fontId="26" fillId="12" borderId="23" xfId="0" applyNumberFormat="1" applyFont="1" applyFill="1" applyBorder="1" applyAlignment="1" applyProtection="1">
      <alignment horizontal="center" vertical="center" wrapText="1"/>
      <protection locked="0" hidden="1"/>
    </xf>
    <xf numFmtId="165" fontId="24" fillId="0" borderId="28" xfId="0" applyNumberFormat="1" applyFont="1" applyBorder="1" applyAlignment="1" applyProtection="1">
      <alignment horizontal="center" vertical="center" wrapText="1"/>
      <protection hidden="1"/>
    </xf>
    <xf numFmtId="165" fontId="24" fillId="0" borderId="22" xfId="0" applyNumberFormat="1" applyFont="1" applyBorder="1" applyAlignment="1" applyProtection="1">
      <alignment horizontal="center" vertical="center" wrapText="1"/>
      <protection hidden="1"/>
    </xf>
    <xf numFmtId="9" fontId="24" fillId="6" borderId="7" xfId="1" applyFont="1" applyFill="1"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24" fillId="10" borderId="60" xfId="0" applyFont="1" applyFill="1" applyBorder="1" applyAlignment="1" applyProtection="1">
      <alignment vertical="center" wrapText="1"/>
      <protection hidden="1"/>
    </xf>
    <xf numFmtId="0" fontId="32" fillId="3" borderId="43" xfId="0" applyFont="1" applyFill="1" applyBorder="1" applyAlignment="1" applyProtection="1">
      <alignment vertical="center" wrapText="1"/>
      <protection locked="0" hidden="1"/>
    </xf>
    <xf numFmtId="0" fontId="32" fillId="3" borderId="9" xfId="0" applyFont="1" applyFill="1" applyBorder="1" applyAlignment="1" applyProtection="1">
      <alignment vertical="center" wrapText="1"/>
      <protection locked="0" hidden="1"/>
    </xf>
    <xf numFmtId="0" fontId="3" fillId="3" borderId="0" xfId="0" applyFont="1" applyFill="1" applyAlignment="1" applyProtection="1">
      <alignment vertical="center" wrapText="1"/>
      <protection hidden="1"/>
    </xf>
    <xf numFmtId="0" fontId="3" fillId="3" borderId="8" xfId="0" applyFont="1" applyFill="1" applyBorder="1" applyAlignment="1" applyProtection="1">
      <alignment vertical="center" wrapText="1"/>
      <protection hidden="1"/>
    </xf>
    <xf numFmtId="0" fontId="26" fillId="0" borderId="17" xfId="0" applyFont="1" applyBorder="1" applyAlignment="1" applyProtection="1">
      <alignment horizontal="center" vertical="center" wrapText="1"/>
      <protection locked="0" hidden="1"/>
    </xf>
    <xf numFmtId="0" fontId="26" fillId="0" borderId="19" xfId="0" applyFont="1" applyBorder="1" applyAlignment="1" applyProtection="1">
      <alignment horizontal="center" vertical="center" wrapText="1"/>
      <protection locked="0" hidden="1"/>
    </xf>
    <xf numFmtId="0" fontId="24" fillId="0" borderId="49" xfId="0" applyFont="1" applyBorder="1" applyAlignment="1" applyProtection="1">
      <alignment horizontal="center" vertical="center" wrapText="1"/>
      <protection hidden="1"/>
    </xf>
    <xf numFmtId="165" fontId="24" fillId="0" borderId="46" xfId="0" applyNumberFormat="1" applyFont="1" applyBorder="1" applyAlignment="1" applyProtection="1">
      <alignment horizontal="center" vertical="center" wrapText="1"/>
      <protection hidden="1"/>
    </xf>
    <xf numFmtId="9" fontId="22" fillId="11" borderId="45" xfId="1" applyFont="1" applyFill="1" applyBorder="1" applyAlignment="1" applyProtection="1">
      <alignment horizontal="center" vertical="center" wrapText="1"/>
      <protection hidden="1"/>
    </xf>
    <xf numFmtId="2" fontId="22" fillId="11" borderId="10" xfId="1" applyNumberFormat="1" applyFont="1" applyFill="1" applyBorder="1" applyAlignment="1" applyProtection="1">
      <alignment horizontal="center" vertical="center" wrapText="1"/>
      <protection hidden="1"/>
    </xf>
    <xf numFmtId="0" fontId="27" fillId="22" borderId="58" xfId="0" applyFont="1" applyFill="1" applyBorder="1" applyAlignment="1" applyProtection="1">
      <alignment vertical="center" wrapText="1"/>
      <protection hidden="1"/>
    </xf>
    <xf numFmtId="0" fontId="26" fillId="0" borderId="15" xfId="0" applyFont="1" applyBorder="1" applyAlignment="1" applyProtection="1">
      <alignment horizontal="center" vertical="center" wrapText="1"/>
      <protection locked="0" hidden="1"/>
    </xf>
    <xf numFmtId="0" fontId="26" fillId="0" borderId="20" xfId="0" applyFont="1" applyBorder="1" applyAlignment="1" applyProtection="1">
      <alignment horizontal="center" vertical="center" wrapText="1"/>
      <protection locked="0" hidden="1"/>
    </xf>
    <xf numFmtId="0" fontId="24" fillId="0" borderId="27" xfId="0" applyFont="1" applyBorder="1" applyAlignment="1" applyProtection="1">
      <alignment horizontal="center" vertical="center" wrapText="1"/>
      <protection hidden="1"/>
    </xf>
    <xf numFmtId="165" fontId="24" fillId="0" borderId="47" xfId="0" applyNumberFormat="1" applyFont="1" applyBorder="1" applyAlignment="1" applyProtection="1">
      <alignment horizontal="center" vertical="center" wrapText="1"/>
      <protection hidden="1"/>
    </xf>
    <xf numFmtId="9" fontId="22" fillId="11" borderId="9" xfId="1" applyFont="1" applyFill="1" applyBorder="1" applyAlignment="1" applyProtection="1">
      <alignment horizontal="center" vertical="center" wrapText="1"/>
      <protection hidden="1"/>
    </xf>
    <xf numFmtId="0" fontId="27" fillId="22" borderId="59" xfId="0" applyFont="1" applyFill="1" applyBorder="1" applyAlignment="1" applyProtection="1">
      <alignment vertical="center" wrapText="1"/>
      <protection hidden="1"/>
    </xf>
    <xf numFmtId="0" fontId="26" fillId="25" borderId="20" xfId="0" applyFont="1" applyFill="1" applyBorder="1" applyAlignment="1" applyProtection="1">
      <alignment horizontal="center" vertical="center" wrapText="1"/>
      <protection locked="0" hidden="1"/>
    </xf>
    <xf numFmtId="1" fontId="26" fillId="0" borderId="21" xfId="0" applyNumberFormat="1" applyFont="1" applyBorder="1" applyAlignment="1" applyProtection="1">
      <alignment horizontal="center" vertical="center" wrapText="1"/>
      <protection locked="0" hidden="1"/>
    </xf>
    <xf numFmtId="0" fontId="26" fillId="0" borderId="23" xfId="0" applyFont="1" applyBorder="1" applyAlignment="1" applyProtection="1">
      <alignment horizontal="center" vertical="center" wrapText="1"/>
      <protection locked="0" hidden="1"/>
    </xf>
    <xf numFmtId="0" fontId="24" fillId="0" borderId="28" xfId="0" applyFont="1" applyBorder="1" applyAlignment="1" applyProtection="1">
      <alignment horizontal="center" vertical="center" wrapText="1"/>
      <protection hidden="1"/>
    </xf>
    <xf numFmtId="165" fontId="24" fillId="0" borderId="48" xfId="0" applyNumberFormat="1" applyFont="1" applyBorder="1" applyAlignment="1" applyProtection="1">
      <alignment horizontal="center" vertical="center" wrapText="1"/>
      <protection hidden="1"/>
    </xf>
    <xf numFmtId="9" fontId="22" fillId="11" borderId="7" xfId="1" applyFont="1" applyFill="1" applyBorder="1" applyAlignment="1" applyProtection="1">
      <alignment horizontal="center" vertical="center" wrapText="1"/>
      <protection hidden="1"/>
    </xf>
    <xf numFmtId="0" fontId="27" fillId="22" borderId="60" xfId="0" applyFont="1" applyFill="1" applyBorder="1" applyAlignment="1" applyProtection="1">
      <alignment vertical="center" wrapText="1"/>
      <protection hidden="1"/>
    </xf>
    <xf numFmtId="0" fontId="3" fillId="3" borderId="42" xfId="0" applyFont="1" applyFill="1" applyBorder="1" applyAlignment="1" applyProtection="1">
      <alignment vertical="center" wrapText="1"/>
      <protection hidden="1"/>
    </xf>
    <xf numFmtId="0" fontId="3" fillId="3" borderId="44" xfId="0" applyFont="1" applyFill="1" applyBorder="1" applyAlignment="1" applyProtection="1">
      <alignment vertical="center" wrapText="1"/>
      <protection hidden="1"/>
    </xf>
    <xf numFmtId="0" fontId="3" fillId="3" borderId="10" xfId="0" applyFont="1" applyFill="1" applyBorder="1" applyAlignment="1" applyProtection="1">
      <alignment vertical="center" wrapText="1"/>
      <protection hidden="1"/>
    </xf>
    <xf numFmtId="0" fontId="26" fillId="25" borderId="19" xfId="0" applyFont="1" applyFill="1" applyBorder="1" applyAlignment="1" applyProtection="1">
      <alignment horizontal="center" vertical="center" wrapText="1"/>
      <protection locked="0" hidden="1"/>
    </xf>
    <xf numFmtId="165" fontId="24" fillId="0" borderId="17" xfId="0" applyNumberFormat="1" applyFont="1" applyBorder="1" applyAlignment="1" applyProtection="1">
      <alignment horizontal="center" vertical="center" wrapText="1"/>
      <protection hidden="1"/>
    </xf>
    <xf numFmtId="0" fontId="24" fillId="8" borderId="58" xfId="0" applyFont="1" applyFill="1" applyBorder="1" applyAlignment="1" applyProtection="1">
      <alignment vertical="center" wrapText="1"/>
      <protection hidden="1"/>
    </xf>
    <xf numFmtId="0" fontId="24" fillId="0" borderId="15" xfId="0" applyFont="1" applyBorder="1" applyAlignment="1" applyProtection="1">
      <alignment horizontal="center" vertical="center" wrapText="1"/>
      <protection hidden="1"/>
    </xf>
    <xf numFmtId="0" fontId="24" fillId="8" borderId="59" xfId="0" applyFont="1" applyFill="1" applyBorder="1" applyAlignment="1" applyProtection="1">
      <alignment vertical="center" wrapText="1"/>
      <protection hidden="1"/>
    </xf>
    <xf numFmtId="0" fontId="15" fillId="0" borderId="9" xfId="0" applyFont="1" applyBorder="1" applyAlignment="1" applyProtection="1">
      <alignment horizontal="center" vertical="center" wrapText="1"/>
      <protection hidden="1"/>
    </xf>
    <xf numFmtId="0" fontId="26" fillId="0" borderId="21" xfId="0" applyFont="1" applyBorder="1" applyAlignment="1" applyProtection="1">
      <alignment horizontal="center" vertical="center" wrapText="1"/>
      <protection locked="0" hidden="1"/>
    </xf>
    <xf numFmtId="0" fontId="24" fillId="0" borderId="21" xfId="0" applyFont="1" applyBorder="1" applyAlignment="1" applyProtection="1">
      <alignment horizontal="center" vertical="center" wrapText="1"/>
      <protection hidden="1"/>
    </xf>
    <xf numFmtId="0" fontId="15" fillId="0" borderId="7" xfId="0" applyFont="1" applyBorder="1" applyAlignment="1" applyProtection="1">
      <alignment horizontal="center" vertical="center" wrapText="1"/>
      <protection hidden="1"/>
    </xf>
    <xf numFmtId="0" fontId="24" fillId="8" borderId="60" xfId="0" applyFont="1" applyFill="1" applyBorder="1" applyAlignment="1" applyProtection="1">
      <alignment vertical="center" wrapText="1"/>
      <protection hidden="1"/>
    </xf>
    <xf numFmtId="0" fontId="32" fillId="3" borderId="70" xfId="0" applyFont="1" applyFill="1" applyBorder="1" applyAlignment="1" applyProtection="1">
      <alignment vertical="center" wrapText="1"/>
      <protection locked="0" hidden="1"/>
    </xf>
    <xf numFmtId="0" fontId="32" fillId="3" borderId="71" xfId="0" applyFont="1" applyFill="1" applyBorder="1" applyAlignment="1" applyProtection="1">
      <alignment vertical="center" wrapText="1"/>
      <protection locked="0" hidden="1"/>
    </xf>
    <xf numFmtId="0" fontId="3" fillId="3" borderId="70" xfId="0" applyFont="1" applyFill="1" applyBorder="1" applyAlignment="1" applyProtection="1">
      <alignment vertical="center" wrapText="1"/>
      <protection hidden="1"/>
    </xf>
    <xf numFmtId="0" fontId="3" fillId="3" borderId="68" xfId="0" applyFont="1" applyFill="1" applyBorder="1" applyAlignment="1" applyProtection="1">
      <alignment vertical="center" wrapText="1"/>
      <protection hidden="1"/>
    </xf>
    <xf numFmtId="0" fontId="3" fillId="3" borderId="76" xfId="0" applyFont="1" applyFill="1" applyBorder="1" applyAlignment="1" applyProtection="1">
      <alignment vertical="center" wrapText="1"/>
      <protection hidden="1"/>
    </xf>
    <xf numFmtId="9" fontId="5" fillId="11" borderId="1" xfId="1" applyFont="1" applyFill="1" applyBorder="1" applyAlignment="1" applyProtection="1">
      <alignment horizontal="center" vertical="center" wrapText="1"/>
      <protection hidden="1"/>
    </xf>
    <xf numFmtId="165" fontId="26" fillId="12" borderId="50" xfId="0" applyNumberFormat="1" applyFont="1" applyFill="1" applyBorder="1" applyAlignment="1" applyProtection="1">
      <alignment horizontal="center" vertical="center" wrapText="1"/>
      <protection locked="0" hidden="1"/>
    </xf>
    <xf numFmtId="165" fontId="26" fillId="12" borderId="36" xfId="0" applyNumberFormat="1" applyFont="1" applyFill="1" applyBorder="1" applyAlignment="1" applyProtection="1">
      <alignment horizontal="center" vertical="center" wrapText="1"/>
      <protection locked="0" hidden="1"/>
    </xf>
    <xf numFmtId="165" fontId="22" fillId="12" borderId="50" xfId="0" applyNumberFormat="1" applyFont="1" applyFill="1" applyBorder="1" applyAlignment="1" applyProtection="1">
      <alignment horizontal="center" vertical="center" wrapText="1"/>
      <protection hidden="1"/>
    </xf>
    <xf numFmtId="165" fontId="22" fillId="12" borderId="35" xfId="0" applyNumberFormat="1" applyFont="1" applyFill="1" applyBorder="1" applyAlignment="1" applyProtection="1">
      <alignment horizontal="center" vertical="center" wrapText="1"/>
      <protection hidden="1"/>
    </xf>
    <xf numFmtId="165" fontId="24" fillId="12" borderId="52" xfId="0" applyNumberFormat="1" applyFont="1" applyFill="1" applyBorder="1" applyAlignment="1" applyProtection="1">
      <alignment horizontal="center" vertical="center" wrapText="1"/>
      <protection hidden="1"/>
    </xf>
    <xf numFmtId="9" fontId="24" fillId="11" borderId="1" xfId="1" applyFont="1" applyFill="1" applyBorder="1" applyAlignment="1" applyProtection="1">
      <alignment horizontal="center" vertical="center" wrapText="1"/>
      <protection hidden="1"/>
    </xf>
    <xf numFmtId="9" fontId="22" fillId="11" borderId="4" xfId="1" applyFont="1" applyFill="1" applyBorder="1" applyAlignment="1" applyProtection="1">
      <alignment horizontal="center" vertical="center" wrapText="1"/>
      <protection hidden="1"/>
    </xf>
    <xf numFmtId="2" fontId="23" fillId="11" borderId="1" xfId="1" applyNumberFormat="1" applyFont="1" applyFill="1" applyBorder="1" applyAlignment="1" applyProtection="1">
      <alignment horizontal="center" vertical="center" wrapText="1"/>
      <protection hidden="1"/>
    </xf>
    <xf numFmtId="0" fontId="24" fillId="4" borderId="51" xfId="0" applyFont="1" applyFill="1" applyBorder="1" applyAlignment="1" applyProtection="1">
      <alignment vertical="center" wrapText="1"/>
      <protection hidden="1"/>
    </xf>
    <xf numFmtId="165" fontId="26" fillId="0" borderId="50" xfId="0" applyNumberFormat="1" applyFont="1" applyBorder="1" applyAlignment="1" applyProtection="1">
      <alignment horizontal="center" vertical="center" wrapText="1"/>
      <protection locked="0" hidden="1"/>
    </xf>
    <xf numFmtId="165" fontId="26" fillId="0" borderId="36" xfId="0" applyNumberFormat="1" applyFont="1" applyBorder="1" applyAlignment="1" applyProtection="1">
      <alignment horizontal="center" vertical="center" wrapText="1"/>
      <protection locked="0" hidden="1"/>
    </xf>
    <xf numFmtId="0" fontId="22" fillId="0" borderId="68" xfId="0" applyFont="1" applyBorder="1" applyAlignment="1" applyProtection="1">
      <alignment horizontal="center" vertical="center" wrapText="1"/>
      <protection hidden="1"/>
    </xf>
    <xf numFmtId="165" fontId="24" fillId="0" borderId="68" xfId="0" applyNumberFormat="1" applyFont="1" applyBorder="1" applyAlignment="1" applyProtection="1">
      <alignment horizontal="center" vertical="center" wrapText="1"/>
      <protection hidden="1"/>
    </xf>
    <xf numFmtId="165" fontId="24" fillId="0" borderId="76" xfId="0" applyNumberFormat="1" applyFont="1" applyBorder="1" applyAlignment="1" applyProtection="1">
      <alignment horizontal="center" vertical="center" wrapText="1"/>
      <protection hidden="1"/>
    </xf>
    <xf numFmtId="0" fontId="26" fillId="12" borderId="50" xfId="0" applyFont="1" applyFill="1" applyBorder="1" applyAlignment="1" applyProtection="1">
      <alignment horizontal="center" vertical="center" wrapText="1"/>
      <protection locked="0" hidden="1"/>
    </xf>
    <xf numFmtId="0" fontId="26" fillId="12" borderId="36" xfId="0" applyFont="1" applyFill="1" applyBorder="1" applyAlignment="1" applyProtection="1">
      <alignment horizontal="center" vertical="center" wrapText="1"/>
      <protection locked="0" hidden="1"/>
    </xf>
    <xf numFmtId="0" fontId="22" fillId="12" borderId="50" xfId="0" applyFont="1" applyFill="1" applyBorder="1" applyAlignment="1" applyProtection="1">
      <alignment horizontal="center" vertical="center" wrapText="1"/>
      <protection hidden="1"/>
    </xf>
    <xf numFmtId="165" fontId="24" fillId="12" borderId="35" xfId="0" applyNumberFormat="1" applyFont="1" applyFill="1" applyBorder="1" applyAlignment="1" applyProtection="1">
      <alignment horizontal="center" vertical="center" wrapText="1"/>
      <protection hidden="1"/>
    </xf>
    <xf numFmtId="0" fontId="22" fillId="0" borderId="50" xfId="0" applyFont="1" applyBorder="1" applyAlignment="1" applyProtection="1">
      <alignment horizontal="center" vertical="center" wrapText="1"/>
      <protection hidden="1"/>
    </xf>
    <xf numFmtId="165" fontId="24" fillId="0" borderId="35" xfId="0" applyNumberFormat="1" applyFont="1" applyBorder="1" applyAlignment="1" applyProtection="1">
      <alignment horizontal="center" vertical="center" wrapText="1"/>
      <protection hidden="1"/>
    </xf>
    <xf numFmtId="165" fontId="24" fillId="0" borderId="52" xfId="0" applyNumberFormat="1" applyFont="1" applyBorder="1" applyAlignment="1" applyProtection="1">
      <alignment horizontal="center" vertical="center" wrapText="1"/>
      <protection hidden="1"/>
    </xf>
    <xf numFmtId="0" fontId="22" fillId="4" borderId="51" xfId="0" applyFont="1" applyFill="1" applyBorder="1" applyAlignment="1" applyProtection="1">
      <alignment vertical="center" wrapText="1"/>
      <protection hidden="1"/>
    </xf>
    <xf numFmtId="0" fontId="10" fillId="3" borderId="43" xfId="0" applyFont="1" applyFill="1" applyBorder="1" applyAlignment="1" applyProtection="1">
      <alignment vertical="center" wrapText="1"/>
      <protection locked="0" hidden="1"/>
    </xf>
    <xf numFmtId="0" fontId="10" fillId="3" borderId="9" xfId="0" applyFont="1" applyFill="1" applyBorder="1" applyAlignment="1" applyProtection="1">
      <alignment vertical="center" wrapText="1"/>
      <protection locked="0" hidden="1"/>
    </xf>
    <xf numFmtId="0" fontId="6" fillId="3" borderId="16" xfId="0" applyFont="1" applyFill="1" applyBorder="1" applyAlignment="1" applyProtection="1">
      <alignment vertical="center" wrapText="1"/>
      <protection hidden="1"/>
    </xf>
    <xf numFmtId="0" fontId="6" fillId="3" borderId="6" xfId="0" applyFont="1" applyFill="1" applyBorder="1" applyAlignment="1" applyProtection="1">
      <alignment vertical="center" wrapText="1"/>
      <protection hidden="1"/>
    </xf>
    <xf numFmtId="0" fontId="31" fillId="3" borderId="1" xfId="0" applyFont="1" applyFill="1" applyBorder="1" applyAlignment="1" applyProtection="1">
      <alignment vertical="center" wrapText="1"/>
      <protection hidden="1"/>
    </xf>
    <xf numFmtId="0" fontId="6" fillId="3" borderId="7" xfId="0" applyFont="1" applyFill="1" applyBorder="1" applyAlignment="1" applyProtection="1">
      <alignment vertical="center" wrapText="1"/>
      <protection hidden="1"/>
    </xf>
    <xf numFmtId="3" fontId="26" fillId="25" borderId="17" xfId="0" applyNumberFormat="1" applyFont="1" applyFill="1" applyBorder="1" applyAlignment="1" applyProtection="1">
      <alignment horizontal="center" vertical="center" wrapText="1"/>
      <protection locked="0" hidden="1"/>
    </xf>
    <xf numFmtId="4" fontId="26" fillId="25" borderId="19" xfId="0" applyNumberFormat="1" applyFont="1" applyFill="1" applyBorder="1" applyAlignment="1" applyProtection="1">
      <alignment horizontal="center" vertical="center" wrapText="1"/>
      <protection locked="0" hidden="1"/>
    </xf>
    <xf numFmtId="4" fontId="24" fillId="0" borderId="17" xfId="0" applyNumberFormat="1" applyFont="1" applyBorder="1" applyAlignment="1" applyProtection="1">
      <alignment horizontal="center" vertical="center" wrapText="1"/>
      <protection hidden="1"/>
    </xf>
    <xf numFmtId="4" fontId="24" fillId="0" borderId="18" xfId="1" applyNumberFormat="1" applyFont="1" applyBorder="1" applyAlignment="1" applyProtection="1">
      <alignment horizontal="center" vertical="center" wrapText="1"/>
      <protection hidden="1"/>
    </xf>
    <xf numFmtId="4" fontId="24" fillId="0" borderId="46" xfId="0" applyNumberFormat="1" applyFont="1" applyBorder="1" applyAlignment="1" applyProtection="1">
      <alignment horizontal="center" vertical="center" wrapText="1"/>
      <protection hidden="1"/>
    </xf>
    <xf numFmtId="0" fontId="24" fillId="22" borderId="58" xfId="0" applyFont="1" applyFill="1" applyBorder="1" applyAlignment="1" applyProtection="1">
      <alignment vertical="center" wrapText="1"/>
      <protection hidden="1"/>
    </xf>
    <xf numFmtId="0" fontId="26" fillId="25" borderId="15" xfId="0" applyFont="1" applyFill="1" applyBorder="1" applyAlignment="1" applyProtection="1">
      <alignment horizontal="center" vertical="center" wrapText="1"/>
      <protection locked="0" hidden="1"/>
    </xf>
    <xf numFmtId="0" fontId="24" fillId="12" borderId="15" xfId="0" applyFont="1" applyFill="1" applyBorder="1" applyAlignment="1" applyProtection="1">
      <alignment horizontal="center" vertical="center" wrapText="1"/>
      <protection hidden="1"/>
    </xf>
    <xf numFmtId="0" fontId="24" fillId="12" borderId="11" xfId="0" applyFont="1" applyFill="1" applyBorder="1" applyAlignment="1" applyProtection="1">
      <alignment horizontal="center" vertical="center" wrapText="1"/>
      <protection hidden="1"/>
    </xf>
    <xf numFmtId="4" fontId="24" fillId="0" borderId="47" xfId="0" applyNumberFormat="1" applyFont="1" applyBorder="1" applyAlignment="1" applyProtection="1">
      <alignment horizontal="center" vertical="center" wrapText="1"/>
      <protection hidden="1"/>
    </xf>
    <xf numFmtId="0" fontId="24" fillId="22" borderId="59" xfId="0" applyFont="1" applyFill="1" applyBorder="1" applyAlignment="1" applyProtection="1">
      <alignment vertical="center" wrapText="1"/>
      <protection hidden="1"/>
    </xf>
    <xf numFmtId="0" fontId="10" fillId="3" borderId="2" xfId="0" applyFont="1" applyFill="1" applyBorder="1" applyAlignment="1" applyProtection="1">
      <alignment vertical="center" wrapText="1"/>
      <protection locked="0" hidden="1"/>
    </xf>
    <xf numFmtId="0" fontId="10" fillId="3" borderId="4" xfId="0" applyFont="1" applyFill="1" applyBorder="1" applyAlignment="1" applyProtection="1">
      <alignment vertical="center" wrapText="1"/>
      <protection locked="0" hidden="1"/>
    </xf>
    <xf numFmtId="0" fontId="6" fillId="3" borderId="2" xfId="0" applyFont="1" applyFill="1" applyBorder="1" applyAlignment="1" applyProtection="1">
      <alignment vertical="center" wrapText="1"/>
      <protection hidden="1"/>
    </xf>
    <xf numFmtId="0" fontId="6" fillId="3" borderId="3" xfId="0" applyFont="1" applyFill="1" applyBorder="1" applyAlignment="1" applyProtection="1">
      <alignment vertical="center" wrapText="1"/>
      <protection hidden="1"/>
    </xf>
    <xf numFmtId="0" fontId="31" fillId="3" borderId="5" xfId="0" applyFont="1" applyFill="1" applyBorder="1" applyAlignment="1" applyProtection="1">
      <alignment vertical="center" wrapText="1"/>
      <protection hidden="1"/>
    </xf>
    <xf numFmtId="0" fontId="6" fillId="3" borderId="45" xfId="0" applyFont="1" applyFill="1" applyBorder="1" applyAlignment="1" applyProtection="1">
      <alignment vertical="center" wrapText="1"/>
      <protection hidden="1"/>
    </xf>
    <xf numFmtId="0" fontId="26" fillId="25" borderId="54" xfId="0" applyFont="1" applyFill="1" applyBorder="1" applyAlignment="1" applyProtection="1">
      <alignment horizontal="center" vertical="center" wrapText="1"/>
      <protection locked="0" hidden="1"/>
    </xf>
    <xf numFmtId="0" fontId="26" fillId="25" borderId="74" xfId="0" applyFont="1" applyFill="1" applyBorder="1" applyAlignment="1" applyProtection="1">
      <alignment horizontal="center" vertical="center" wrapText="1"/>
      <protection locked="0" hidden="1"/>
    </xf>
    <xf numFmtId="0" fontId="24" fillId="0" borderId="54" xfId="0" applyFont="1" applyBorder="1" applyAlignment="1" applyProtection="1">
      <alignment horizontal="center" vertical="center" wrapText="1"/>
      <protection hidden="1"/>
    </xf>
    <xf numFmtId="0" fontId="24" fillId="0" borderId="14" xfId="0" applyFont="1" applyBorder="1" applyAlignment="1" applyProtection="1">
      <alignment horizontal="center" vertical="center" wrapText="1"/>
      <protection hidden="1"/>
    </xf>
    <xf numFmtId="167" fontId="24" fillId="0" borderId="12" xfId="0" applyNumberFormat="1" applyFont="1" applyBorder="1" applyAlignment="1" applyProtection="1">
      <alignment horizontal="center" vertical="center" wrapText="1"/>
      <protection hidden="1"/>
    </xf>
    <xf numFmtId="9" fontId="24" fillId="0" borderId="9" xfId="1" applyFont="1" applyBorder="1" applyAlignment="1" applyProtection="1">
      <alignment horizontal="center" vertical="center" wrapText="1"/>
      <protection hidden="1"/>
    </xf>
    <xf numFmtId="0" fontId="24" fillId="5" borderId="27" xfId="0" applyFont="1" applyFill="1" applyBorder="1" applyAlignment="1" applyProtection="1">
      <alignment vertical="center" wrapText="1"/>
      <protection hidden="1"/>
    </xf>
    <xf numFmtId="0" fontId="26" fillId="25" borderId="38" xfId="0" applyFont="1" applyFill="1" applyBorder="1" applyAlignment="1" applyProtection="1">
      <alignment horizontal="center" vertical="center" wrapText="1"/>
      <protection locked="0" hidden="1"/>
    </xf>
    <xf numFmtId="0" fontId="26" fillId="25" borderId="39" xfId="0" applyFont="1" applyFill="1" applyBorder="1" applyAlignment="1" applyProtection="1">
      <alignment horizontal="center" vertical="center" wrapText="1"/>
      <protection locked="0" hidden="1"/>
    </xf>
    <xf numFmtId="0" fontId="24" fillId="0" borderId="38" xfId="0" applyFont="1" applyBorder="1" applyAlignment="1" applyProtection="1">
      <alignment horizontal="center" vertical="center" wrapText="1"/>
      <protection hidden="1"/>
    </xf>
    <xf numFmtId="167" fontId="24" fillId="0" borderId="55" xfId="0" applyNumberFormat="1" applyFont="1" applyBorder="1" applyAlignment="1" applyProtection="1">
      <alignment horizontal="center" vertical="center" wrapText="1"/>
      <protection hidden="1"/>
    </xf>
    <xf numFmtId="0" fontId="32" fillId="3" borderId="2" xfId="0" applyFont="1" applyFill="1" applyBorder="1" applyAlignment="1" applyProtection="1">
      <alignment vertical="center" wrapText="1"/>
      <protection locked="0" hidden="1"/>
    </xf>
    <xf numFmtId="0" fontId="32" fillId="3" borderId="4" xfId="0" applyFont="1" applyFill="1" applyBorder="1" applyAlignment="1" applyProtection="1">
      <alignment vertical="center" wrapText="1"/>
      <protection locked="0" hidden="1"/>
    </xf>
    <xf numFmtId="0" fontId="3" fillId="3" borderId="2" xfId="0" applyFont="1" applyFill="1" applyBorder="1" applyAlignment="1" applyProtection="1">
      <alignment vertical="center" wrapText="1"/>
      <protection hidden="1"/>
    </xf>
    <xf numFmtId="0" fontId="3" fillId="3" borderId="3" xfId="0" applyFont="1" applyFill="1" applyBorder="1" applyAlignment="1" applyProtection="1">
      <alignment vertical="center" wrapText="1"/>
      <protection hidden="1"/>
    </xf>
    <xf numFmtId="0" fontId="3" fillId="3" borderId="1" xfId="0" applyFont="1" applyFill="1" applyBorder="1" applyAlignment="1" applyProtection="1">
      <alignment vertical="center" wrapText="1"/>
      <protection hidden="1"/>
    </xf>
    <xf numFmtId="0" fontId="3" fillId="3" borderId="45" xfId="0" applyFont="1" applyFill="1" applyBorder="1" applyAlignment="1" applyProtection="1">
      <alignment vertical="center" wrapText="1"/>
      <protection hidden="1"/>
    </xf>
    <xf numFmtId="0" fontId="26" fillId="25" borderId="17" xfId="0" applyFont="1" applyFill="1" applyBorder="1" applyAlignment="1" applyProtection="1">
      <alignment horizontal="center" vertical="center" wrapText="1"/>
      <protection locked="0" hidden="1"/>
    </xf>
    <xf numFmtId="1" fontId="24" fillId="0" borderId="49" xfId="1" applyNumberFormat="1" applyFont="1" applyBorder="1" applyAlignment="1" applyProtection="1">
      <alignment horizontal="center" vertical="center" wrapText="1"/>
      <protection hidden="1"/>
    </xf>
    <xf numFmtId="166" fontId="24" fillId="0" borderId="46" xfId="0" applyNumberFormat="1" applyFont="1" applyBorder="1" applyAlignment="1" applyProtection="1">
      <alignment horizontal="center" vertical="center" wrapText="1"/>
      <protection hidden="1"/>
    </xf>
    <xf numFmtId="0" fontId="26" fillId="12" borderId="21" xfId="0" applyFont="1" applyFill="1" applyBorder="1" applyAlignment="1" applyProtection="1">
      <alignment horizontal="center" vertical="center" wrapText="1"/>
      <protection locked="0" hidden="1"/>
    </xf>
    <xf numFmtId="0" fontId="26" fillId="12" borderId="23" xfId="0" applyFont="1" applyFill="1" applyBorder="1" applyAlignment="1" applyProtection="1">
      <alignment horizontal="center" vertical="center" wrapText="1"/>
      <protection locked="0" hidden="1"/>
    </xf>
    <xf numFmtId="1" fontId="24" fillId="0" borderId="77" xfId="1" applyNumberFormat="1" applyFont="1" applyBorder="1" applyAlignment="1" applyProtection="1">
      <alignment horizontal="center" vertical="center" wrapText="1"/>
      <protection hidden="1"/>
    </xf>
    <xf numFmtId="165" fontId="24" fillId="0" borderId="67" xfId="0" applyNumberFormat="1" applyFont="1" applyBorder="1" applyAlignment="1" applyProtection="1">
      <alignment horizontal="center" vertical="center" wrapText="1"/>
      <protection hidden="1"/>
    </xf>
    <xf numFmtId="166" fontId="24" fillId="0" borderId="65" xfId="0" applyNumberFormat="1" applyFont="1" applyBorder="1" applyAlignment="1" applyProtection="1">
      <alignment horizontal="center" vertical="center" wrapText="1"/>
      <protection hidden="1"/>
    </xf>
    <xf numFmtId="0" fontId="16" fillId="2" borderId="16" xfId="0" applyFont="1" applyFill="1" applyBorder="1" applyAlignment="1" applyProtection="1">
      <alignment vertical="center" wrapText="1"/>
      <protection locked="0" hidden="1"/>
    </xf>
    <xf numFmtId="0" fontId="16" fillId="2" borderId="7" xfId="0" applyFont="1" applyFill="1" applyBorder="1" applyAlignment="1" applyProtection="1">
      <alignment vertical="center" wrapText="1"/>
      <protection locked="0" hidden="1"/>
    </xf>
    <xf numFmtId="0" fontId="0" fillId="2" borderId="43" xfId="0" applyFill="1" applyBorder="1" applyAlignment="1" applyProtection="1">
      <alignment vertical="center" wrapText="1"/>
      <protection hidden="1"/>
    </xf>
    <xf numFmtId="0" fontId="0" fillId="2" borderId="0" xfId="0" applyFill="1" applyAlignment="1" applyProtection="1">
      <alignment vertical="center" wrapText="1"/>
      <protection hidden="1"/>
    </xf>
    <xf numFmtId="0" fontId="0" fillId="2" borderId="8" xfId="0" applyFill="1" applyBorder="1" applyAlignment="1" applyProtection="1">
      <alignment vertical="center" wrapText="1"/>
      <protection hidden="1"/>
    </xf>
    <xf numFmtId="0" fontId="0" fillId="2" borderId="7" xfId="0" applyFill="1" applyBorder="1" applyAlignment="1" applyProtection="1">
      <alignment vertical="center" wrapText="1"/>
      <protection hidden="1"/>
    </xf>
    <xf numFmtId="0" fontId="4" fillId="3" borderId="2" xfId="0" applyFont="1" applyFill="1" applyBorder="1" applyAlignment="1" applyProtection="1">
      <alignment vertical="center" wrapText="1"/>
      <protection hidden="1"/>
    </xf>
    <xf numFmtId="0" fontId="4" fillId="3" borderId="3" xfId="0" applyFont="1" applyFill="1" applyBorder="1" applyAlignment="1" applyProtection="1">
      <alignment vertical="center" wrapText="1"/>
      <protection hidden="1"/>
    </xf>
    <xf numFmtId="0" fontId="24" fillId="0" borderId="17" xfId="0" applyFont="1" applyBorder="1" applyAlignment="1" applyProtection="1">
      <alignment horizontal="center" vertical="center" wrapText="1"/>
      <protection hidden="1"/>
    </xf>
    <xf numFmtId="0" fontId="24" fillId="0" borderId="18" xfId="0" applyFont="1" applyBorder="1" applyAlignment="1" applyProtection="1">
      <alignment horizontal="center" vertical="center" wrapText="1"/>
      <protection hidden="1"/>
    </xf>
    <xf numFmtId="0" fontId="24" fillId="0" borderId="19" xfId="0" applyFont="1" applyBorder="1" applyAlignment="1" applyProtection="1">
      <alignment horizontal="center" vertical="center" wrapText="1"/>
      <protection hidden="1"/>
    </xf>
    <xf numFmtId="9" fontId="25" fillId="6" borderId="45" xfId="1" applyFont="1" applyFill="1" applyBorder="1" applyAlignment="1" applyProtection="1">
      <alignment horizontal="center" vertical="center" wrapText="1"/>
      <protection hidden="1"/>
    </xf>
    <xf numFmtId="0" fontId="26" fillId="0" borderId="56" xfId="0" applyFont="1" applyBorder="1" applyAlignment="1" applyProtection="1">
      <alignment horizontal="center" vertical="center" wrapText="1"/>
      <protection locked="0" hidden="1"/>
    </xf>
    <xf numFmtId="0" fontId="26" fillId="0" borderId="57" xfId="0" applyFont="1" applyBorder="1" applyAlignment="1" applyProtection="1">
      <alignment horizontal="center" vertical="center" wrapText="1"/>
      <protection locked="0" hidden="1"/>
    </xf>
    <xf numFmtId="0" fontId="24" fillId="0" borderId="22" xfId="0" applyFont="1" applyBorder="1" applyAlignment="1" applyProtection="1">
      <alignment horizontal="center" vertical="center" wrapText="1"/>
      <protection hidden="1"/>
    </xf>
    <xf numFmtId="166" fontId="24" fillId="0" borderId="23" xfId="0" applyNumberFormat="1" applyFont="1" applyBorder="1" applyAlignment="1" applyProtection="1">
      <alignment horizontal="center" vertical="center" wrapText="1"/>
      <protection hidden="1"/>
    </xf>
    <xf numFmtId="9" fontId="25" fillId="6" borderId="7" xfId="1" applyFont="1" applyFill="1" applyBorder="1" applyAlignment="1" applyProtection="1">
      <alignment horizontal="center" vertical="center" wrapText="1"/>
      <protection hidden="1"/>
    </xf>
    <xf numFmtId="0" fontId="16" fillId="3" borderId="2" xfId="0" applyFont="1" applyFill="1" applyBorder="1" applyAlignment="1" applyProtection="1">
      <alignment vertical="center" wrapText="1"/>
      <protection locked="0" hidden="1"/>
    </xf>
    <xf numFmtId="0" fontId="16" fillId="3" borderId="4" xfId="0" applyFont="1" applyFill="1" applyBorder="1" applyAlignment="1" applyProtection="1">
      <alignment vertical="center" wrapText="1"/>
      <protection locked="0" hidden="1"/>
    </xf>
    <xf numFmtId="0" fontId="0" fillId="3" borderId="3" xfId="0" applyFill="1" applyBorder="1" applyAlignment="1" applyProtection="1">
      <alignment vertical="center" wrapText="1"/>
      <protection hidden="1"/>
    </xf>
    <xf numFmtId="0" fontId="0" fillId="3" borderId="5" xfId="0" applyFill="1" applyBorder="1" applyAlignment="1" applyProtection="1">
      <alignment vertical="center" wrapText="1"/>
      <protection hidden="1"/>
    </xf>
    <xf numFmtId="0" fontId="0" fillId="3" borderId="0" xfId="0" applyFill="1" applyAlignment="1" applyProtection="1">
      <alignment vertical="center" wrapText="1"/>
      <protection hidden="1"/>
    </xf>
    <xf numFmtId="0" fontId="10" fillId="12" borderId="72" xfId="0" applyFont="1" applyFill="1" applyBorder="1" applyAlignment="1" applyProtection="1">
      <alignment horizontal="center" vertical="center" wrapText="1"/>
      <protection locked="0" hidden="1"/>
    </xf>
    <xf numFmtId="0" fontId="10" fillId="12" borderId="69" xfId="0" applyFont="1" applyFill="1" applyBorder="1" applyAlignment="1" applyProtection="1">
      <alignment horizontal="center" vertical="center" wrapText="1"/>
      <protection locked="0" hidden="1"/>
    </xf>
    <xf numFmtId="2" fontId="24" fillId="0" borderId="50" xfId="0" applyNumberFormat="1" applyFont="1" applyBorder="1" applyAlignment="1" applyProtection="1">
      <alignment horizontal="center" vertical="center" wrapText="1"/>
      <protection hidden="1"/>
    </xf>
    <xf numFmtId="0" fontId="24" fillId="12" borderId="35" xfId="0" applyFont="1" applyFill="1" applyBorder="1" applyAlignment="1" applyProtection="1">
      <alignment horizontal="center" vertical="center" wrapText="1"/>
      <protection hidden="1"/>
    </xf>
    <xf numFmtId="0" fontId="24" fillId="0" borderId="36" xfId="0" applyFont="1" applyBorder="1" applyAlignment="1" applyProtection="1">
      <alignment horizontal="center" vertical="center" wrapText="1"/>
      <protection hidden="1"/>
    </xf>
    <xf numFmtId="0" fontId="5" fillId="12" borderId="45" xfId="0" applyFont="1" applyFill="1" applyBorder="1" applyAlignment="1" applyProtection="1">
      <alignment vertical="center" wrapText="1"/>
      <protection hidden="1"/>
    </xf>
    <xf numFmtId="0" fontId="3" fillId="3" borderId="4" xfId="0" applyFont="1" applyFill="1" applyBorder="1" applyAlignment="1" applyProtection="1">
      <alignment vertical="center" wrapText="1"/>
      <protection hidden="1"/>
    </xf>
    <xf numFmtId="0" fontId="27" fillId="25" borderId="17" xfId="0" applyFont="1" applyFill="1" applyBorder="1" applyAlignment="1" applyProtection="1">
      <alignment horizontal="center" vertical="center" wrapText="1"/>
      <protection locked="0" hidden="1"/>
    </xf>
    <xf numFmtId="0" fontId="27" fillId="25" borderId="19" xfId="0" applyFont="1" applyFill="1" applyBorder="1" applyAlignment="1" applyProtection="1">
      <alignment horizontal="center" vertical="center" wrapText="1"/>
      <protection locked="0" hidden="1"/>
    </xf>
    <xf numFmtId="9" fontId="24" fillId="0" borderId="58" xfId="1" applyFont="1" applyBorder="1" applyAlignment="1" applyProtection="1">
      <alignment horizontal="center" vertical="center" wrapText="1"/>
      <protection hidden="1"/>
    </xf>
    <xf numFmtId="2" fontId="24" fillId="0" borderId="10" xfId="1" applyNumberFormat="1" applyFont="1" applyBorder="1" applyAlignment="1" applyProtection="1">
      <alignment horizontal="center" vertical="center" wrapText="1"/>
      <protection hidden="1"/>
    </xf>
    <xf numFmtId="0" fontId="24" fillId="19" borderId="58" xfId="0" applyFont="1" applyFill="1" applyBorder="1" applyAlignment="1" applyProtection="1">
      <alignment vertical="center" wrapText="1"/>
      <protection hidden="1"/>
    </xf>
    <xf numFmtId="9" fontId="24" fillId="0" borderId="59" xfId="1" applyFont="1" applyBorder="1" applyAlignment="1" applyProtection="1">
      <alignment horizontal="center" vertical="center" wrapText="1"/>
      <protection hidden="1"/>
    </xf>
    <xf numFmtId="0" fontId="24" fillId="19" borderId="59" xfId="0" applyFont="1" applyFill="1" applyBorder="1" applyAlignment="1" applyProtection="1">
      <alignment vertical="center" wrapText="1"/>
      <protection hidden="1"/>
    </xf>
    <xf numFmtId="2" fontId="24" fillId="12" borderId="11" xfId="0" applyNumberFormat="1" applyFont="1" applyFill="1" applyBorder="1" applyAlignment="1" applyProtection="1">
      <alignment horizontal="center" vertical="center" wrapText="1"/>
      <protection hidden="1"/>
    </xf>
    <xf numFmtId="1" fontId="26" fillId="0" borderId="15" xfId="0" applyNumberFormat="1" applyFont="1" applyBorder="1" applyAlignment="1" applyProtection="1">
      <alignment horizontal="center" vertical="center" wrapText="1"/>
      <protection locked="0" hidden="1"/>
    </xf>
    <xf numFmtId="0" fontId="24" fillId="0" borderId="11" xfId="0" applyFont="1" applyBorder="1" applyAlignment="1" applyProtection="1">
      <alignment horizontal="center" vertical="center" wrapText="1"/>
      <protection hidden="1"/>
    </xf>
    <xf numFmtId="1" fontId="26" fillId="25" borderId="21" xfId="0" applyNumberFormat="1" applyFont="1" applyFill="1" applyBorder="1" applyAlignment="1" applyProtection="1">
      <alignment horizontal="center" vertical="center" wrapText="1"/>
      <protection locked="0" hidden="1"/>
    </xf>
    <xf numFmtId="0" fontId="26" fillId="25" borderId="23" xfId="0" applyFont="1" applyFill="1" applyBorder="1" applyAlignment="1" applyProtection="1">
      <alignment horizontal="center" vertical="center" wrapText="1"/>
      <protection locked="0" hidden="1"/>
    </xf>
    <xf numFmtId="4" fontId="24" fillId="0" borderId="48" xfId="0" applyNumberFormat="1" applyFont="1" applyBorder="1" applyAlignment="1" applyProtection="1">
      <alignment horizontal="center" vertical="center" wrapText="1"/>
      <protection hidden="1"/>
    </xf>
    <xf numFmtId="9" fontId="24" fillId="0" borderId="60" xfId="1" applyFont="1" applyBorder="1" applyAlignment="1" applyProtection="1">
      <alignment horizontal="center" vertical="center" wrapText="1"/>
      <protection hidden="1"/>
    </xf>
    <xf numFmtId="0" fontId="24" fillId="19" borderId="60" xfId="0" applyFont="1" applyFill="1" applyBorder="1" applyAlignment="1" applyProtection="1">
      <alignment vertical="center" wrapText="1"/>
      <protection hidden="1"/>
    </xf>
    <xf numFmtId="0" fontId="33" fillId="2" borderId="16" xfId="0" applyFont="1" applyFill="1" applyBorder="1" applyAlignment="1" applyProtection="1">
      <alignment vertical="center" wrapText="1"/>
      <protection locked="0" hidden="1"/>
    </xf>
    <xf numFmtId="0" fontId="33" fillId="2" borderId="7" xfId="0" applyFont="1" applyFill="1" applyBorder="1" applyAlignment="1" applyProtection="1">
      <alignment vertical="center" wrapText="1"/>
      <protection locked="0" hidden="1"/>
    </xf>
    <xf numFmtId="0" fontId="2" fillId="2" borderId="0" xfId="0" applyFont="1" applyFill="1" applyAlignment="1" applyProtection="1">
      <alignment vertical="center" wrapText="1"/>
      <protection hidden="1"/>
    </xf>
    <xf numFmtId="0" fontId="2" fillId="2" borderId="7" xfId="0" applyFont="1" applyFill="1" applyBorder="1" applyAlignment="1" applyProtection="1">
      <alignment vertical="center" wrapText="1"/>
      <protection hidden="1"/>
    </xf>
    <xf numFmtId="4" fontId="24" fillId="12" borderId="46" xfId="0" applyNumberFormat="1" applyFont="1" applyFill="1" applyBorder="1" applyAlignment="1" applyProtection="1">
      <alignment horizontal="center" vertical="center" wrapText="1"/>
      <protection hidden="1"/>
    </xf>
    <xf numFmtId="9" fontId="24" fillId="6" borderId="58" xfId="1" applyFont="1" applyFill="1" applyBorder="1" applyAlignment="1" applyProtection="1">
      <alignment horizontal="center" vertical="center" wrapText="1"/>
      <protection hidden="1"/>
    </xf>
    <xf numFmtId="1" fontId="24" fillId="0" borderId="27" xfId="1" applyNumberFormat="1" applyFont="1" applyBorder="1" applyAlignment="1" applyProtection="1">
      <alignment horizontal="center" vertical="center" wrapText="1"/>
      <protection hidden="1"/>
    </xf>
    <xf numFmtId="4" fontId="24" fillId="12" borderId="47" xfId="0" applyNumberFormat="1" applyFont="1" applyFill="1" applyBorder="1" applyAlignment="1" applyProtection="1">
      <alignment horizontal="center" vertical="center" wrapText="1"/>
      <protection hidden="1"/>
    </xf>
    <xf numFmtId="0" fontId="15" fillId="0" borderId="59" xfId="0" applyFont="1" applyBorder="1" applyAlignment="1" applyProtection="1">
      <alignment horizontal="center" vertical="center" wrapText="1"/>
      <protection hidden="1"/>
    </xf>
    <xf numFmtId="165" fontId="26" fillId="0" borderId="15" xfId="0" applyNumberFormat="1" applyFont="1" applyBorder="1" applyAlignment="1" applyProtection="1">
      <alignment horizontal="center" vertical="center" wrapText="1"/>
      <protection locked="0" hidden="1"/>
    </xf>
    <xf numFmtId="165" fontId="26" fillId="0" borderId="20" xfId="0" applyNumberFormat="1" applyFont="1" applyBorder="1" applyAlignment="1" applyProtection="1">
      <alignment horizontal="center" vertical="center" wrapText="1"/>
      <protection locked="0" hidden="1"/>
    </xf>
    <xf numFmtId="165" fontId="26" fillId="28" borderId="15" xfId="0" applyNumberFormat="1" applyFont="1" applyFill="1" applyBorder="1" applyAlignment="1" applyProtection="1">
      <alignment horizontal="center" vertical="center" wrapText="1"/>
      <protection locked="0" hidden="1"/>
    </xf>
    <xf numFmtId="165" fontId="26" fillId="28" borderId="20" xfId="0" applyNumberFormat="1" applyFont="1" applyFill="1" applyBorder="1" applyAlignment="1" applyProtection="1">
      <alignment horizontal="center" vertical="center" wrapText="1"/>
      <protection locked="0" hidden="1"/>
    </xf>
    <xf numFmtId="165" fontId="24" fillId="12" borderId="27" xfId="0" applyNumberFormat="1" applyFont="1" applyFill="1" applyBorder="1" applyAlignment="1" applyProtection="1">
      <alignment horizontal="center" vertical="center" wrapText="1"/>
      <protection hidden="1"/>
    </xf>
    <xf numFmtId="165" fontId="24" fillId="12" borderId="11" xfId="0" applyNumberFormat="1" applyFont="1" applyFill="1" applyBorder="1" applyAlignment="1" applyProtection="1">
      <alignment horizontal="center" vertical="center" wrapText="1"/>
      <protection hidden="1"/>
    </xf>
    <xf numFmtId="165" fontId="26" fillId="28" borderId="21" xfId="0" applyNumberFormat="1" applyFont="1" applyFill="1" applyBorder="1" applyAlignment="1" applyProtection="1">
      <alignment horizontal="center" vertical="center" wrapText="1"/>
      <protection locked="0" hidden="1"/>
    </xf>
    <xf numFmtId="165" fontId="26" fillId="28" borderId="23" xfId="0" applyNumberFormat="1" applyFont="1" applyFill="1" applyBorder="1" applyAlignment="1" applyProtection="1">
      <alignment horizontal="center" vertical="center" wrapText="1"/>
      <protection locked="0" hidden="1"/>
    </xf>
    <xf numFmtId="165" fontId="24" fillId="12" borderId="28" xfId="0" applyNumberFormat="1" applyFont="1" applyFill="1" applyBorder="1" applyAlignment="1" applyProtection="1">
      <alignment horizontal="center" vertical="center" wrapText="1"/>
      <protection hidden="1"/>
    </xf>
    <xf numFmtId="165" fontId="24" fillId="12" borderId="22" xfId="0" applyNumberFormat="1" applyFont="1" applyFill="1" applyBorder="1" applyAlignment="1" applyProtection="1">
      <alignment horizontal="center" vertical="center" wrapText="1"/>
      <protection hidden="1"/>
    </xf>
    <xf numFmtId="4" fontId="24" fillId="12" borderId="48" xfId="0" applyNumberFormat="1" applyFont="1" applyFill="1" applyBorder="1" applyAlignment="1" applyProtection="1">
      <alignment horizontal="center" vertical="center" wrapText="1"/>
      <protection hidden="1"/>
    </xf>
    <xf numFmtId="0" fontId="15" fillId="0" borderId="60" xfId="0" applyFont="1" applyBorder="1" applyAlignment="1" applyProtection="1">
      <alignment horizontal="center" vertical="center" wrapText="1"/>
      <protection hidden="1"/>
    </xf>
    <xf numFmtId="0" fontId="24" fillId="22" borderId="60" xfId="0" applyFont="1" applyFill="1" applyBorder="1" applyAlignment="1" applyProtection="1">
      <alignment vertical="center" wrapText="1"/>
      <protection hidden="1"/>
    </xf>
    <xf numFmtId="0" fontId="3" fillId="3" borderId="7" xfId="0" applyFont="1" applyFill="1" applyBorder="1" applyAlignment="1" applyProtection="1">
      <alignment vertical="center" wrapText="1"/>
      <protection hidden="1"/>
    </xf>
    <xf numFmtId="2" fontId="26" fillId="0" borderId="50" xfId="0" applyNumberFormat="1" applyFont="1" applyBorder="1" applyAlignment="1" applyProtection="1">
      <alignment horizontal="center" vertical="center" wrapText="1"/>
      <protection locked="0" hidden="1"/>
    </xf>
    <xf numFmtId="0" fontId="26" fillId="0" borderId="36" xfId="0" applyFont="1" applyBorder="1" applyAlignment="1" applyProtection="1">
      <alignment horizontal="center" vertical="center" wrapText="1"/>
      <protection locked="0" hidden="1"/>
    </xf>
    <xf numFmtId="1" fontId="24" fillId="0" borderId="50" xfId="1" applyNumberFormat="1" applyFont="1" applyBorder="1" applyAlignment="1" applyProtection="1">
      <alignment horizontal="center" vertical="center" wrapText="1"/>
      <protection hidden="1"/>
    </xf>
    <xf numFmtId="0" fontId="24" fillId="12" borderId="52" xfId="0" applyFont="1" applyFill="1" applyBorder="1" applyAlignment="1" applyProtection="1">
      <alignment horizontal="center" vertical="center" wrapText="1"/>
      <protection hidden="1"/>
    </xf>
    <xf numFmtId="9" fontId="24" fillId="6" borderId="4" xfId="1" applyFont="1" applyFill="1" applyBorder="1" applyAlignment="1" applyProtection="1">
      <alignment horizontal="center" vertical="center" wrapText="1"/>
      <protection hidden="1"/>
    </xf>
    <xf numFmtId="0" fontId="22" fillId="0" borderId="3" xfId="0" applyFont="1" applyBorder="1" applyAlignment="1" applyProtection="1">
      <alignment horizontal="left" vertical="center" wrapText="1"/>
      <protection hidden="1"/>
    </xf>
    <xf numFmtId="0" fontId="16" fillId="9" borderId="2" xfId="0" applyFont="1" applyFill="1" applyBorder="1" applyAlignment="1" applyProtection="1">
      <alignment vertical="center" wrapText="1"/>
      <protection locked="0" hidden="1"/>
    </xf>
    <xf numFmtId="0" fontId="16" fillId="9" borderId="4" xfId="0" applyFont="1" applyFill="1" applyBorder="1" applyAlignment="1" applyProtection="1">
      <alignment vertical="center" wrapText="1"/>
      <protection locked="0" hidden="1"/>
    </xf>
    <xf numFmtId="0" fontId="0" fillId="9" borderId="16" xfId="0" applyFill="1" applyBorder="1" applyAlignment="1" applyProtection="1">
      <alignment vertical="center" wrapText="1"/>
      <protection locked="0" hidden="1"/>
    </xf>
    <xf numFmtId="0" fontId="0" fillId="9" borderId="6" xfId="0" applyFill="1" applyBorder="1" applyAlignment="1" applyProtection="1">
      <alignment vertical="center" wrapText="1"/>
      <protection locked="0" hidden="1"/>
    </xf>
    <xf numFmtId="0" fontId="0" fillId="9" borderId="1" xfId="0" applyFill="1" applyBorder="1" applyAlignment="1" applyProtection="1">
      <alignment vertical="center" wrapText="1"/>
      <protection locked="0" hidden="1"/>
    </xf>
    <xf numFmtId="0" fontId="0" fillId="9" borderId="3" xfId="0" applyFill="1" applyBorder="1" applyAlignment="1" applyProtection="1">
      <alignment vertical="center" wrapText="1"/>
      <protection hidden="1"/>
    </xf>
    <xf numFmtId="0" fontId="3" fillId="3" borderId="5" xfId="0" applyFont="1" applyFill="1" applyBorder="1" applyAlignment="1" applyProtection="1">
      <alignment vertical="center" wrapText="1"/>
      <protection hidden="1"/>
    </xf>
    <xf numFmtId="0" fontId="26" fillId="25" borderId="50" xfId="0" applyFont="1" applyFill="1" applyBorder="1" applyAlignment="1" applyProtection="1">
      <alignment horizontal="center" vertical="center" wrapText="1"/>
      <protection locked="0" hidden="1"/>
    </xf>
    <xf numFmtId="0" fontId="26" fillId="25" borderId="36" xfId="0" applyFont="1" applyFill="1" applyBorder="1" applyAlignment="1" applyProtection="1">
      <alignment horizontal="center" vertical="center" wrapText="1"/>
      <protection locked="0" hidden="1"/>
    </xf>
    <xf numFmtId="2" fontId="24" fillId="12" borderId="50" xfId="0" applyNumberFormat="1" applyFont="1" applyFill="1" applyBorder="1" applyAlignment="1" applyProtection="1">
      <alignment horizontal="center" vertical="center" wrapText="1"/>
      <protection hidden="1"/>
    </xf>
    <xf numFmtId="0" fontId="22" fillId="9" borderId="27" xfId="0" applyFont="1" applyFill="1" applyBorder="1" applyAlignment="1" applyProtection="1">
      <alignment vertical="center" wrapText="1"/>
      <protection hidden="1"/>
    </xf>
    <xf numFmtId="0" fontId="6" fillId="3" borderId="4" xfId="0" applyFont="1" applyFill="1" applyBorder="1" applyAlignment="1" applyProtection="1">
      <alignment vertical="center" wrapText="1"/>
      <protection hidden="1"/>
    </xf>
    <xf numFmtId="2" fontId="24" fillId="12" borderId="56" xfId="0" applyNumberFormat="1" applyFont="1" applyFill="1" applyBorder="1" applyAlignment="1" applyProtection="1">
      <alignment horizontal="center" vertical="center" wrapText="1"/>
      <protection hidden="1"/>
    </xf>
    <xf numFmtId="0" fontId="24" fillId="12" borderId="67" xfId="0" applyFont="1" applyFill="1" applyBorder="1" applyAlignment="1" applyProtection="1">
      <alignment horizontal="center" vertical="center" wrapText="1"/>
      <protection hidden="1"/>
    </xf>
    <xf numFmtId="0" fontId="24" fillId="12" borderId="65" xfId="0" applyFont="1" applyFill="1" applyBorder="1" applyAlignment="1" applyProtection="1">
      <alignment horizontal="center" vertical="center" wrapText="1"/>
      <protection hidden="1"/>
    </xf>
    <xf numFmtId="0" fontId="24" fillId="21" borderId="4" xfId="0" applyFont="1" applyFill="1" applyBorder="1" applyAlignment="1" applyProtection="1">
      <alignment vertical="center" wrapText="1"/>
      <protection hidden="1"/>
    </xf>
    <xf numFmtId="0" fontId="26" fillId="0" borderId="50" xfId="0" applyFont="1" applyBorder="1" applyAlignment="1" applyProtection="1">
      <alignment horizontal="center" vertical="center" wrapText="1"/>
      <protection locked="0" hidden="1"/>
    </xf>
    <xf numFmtId="0" fontId="24" fillId="0" borderId="52" xfId="0" applyFont="1" applyBorder="1" applyAlignment="1" applyProtection="1">
      <alignment horizontal="center" vertical="center" wrapText="1"/>
      <protection hidden="1"/>
    </xf>
    <xf numFmtId="9" fontId="24" fillId="11" borderId="53" xfId="1" quotePrefix="1" applyFont="1" applyFill="1" applyBorder="1" applyAlignment="1" applyProtection="1">
      <alignment horizontal="center" vertical="center" wrapText="1"/>
      <protection hidden="1"/>
    </xf>
    <xf numFmtId="0" fontId="24" fillId="17" borderId="27" xfId="0" applyFont="1" applyFill="1" applyBorder="1" applyAlignment="1" applyProtection="1">
      <alignment vertical="center" wrapText="1"/>
      <protection hidden="1"/>
    </xf>
    <xf numFmtId="0" fontId="16" fillId="2" borderId="2" xfId="0" applyFont="1" applyFill="1" applyBorder="1" applyAlignment="1" applyProtection="1">
      <alignment vertical="center" wrapText="1"/>
      <protection locked="0" hidden="1"/>
    </xf>
    <xf numFmtId="0" fontId="16" fillId="2" borderId="4" xfId="0" applyFont="1" applyFill="1" applyBorder="1" applyAlignment="1" applyProtection="1">
      <alignment vertical="center" wrapText="1"/>
      <protection locked="0" hidden="1"/>
    </xf>
    <xf numFmtId="0" fontId="0" fillId="2" borderId="2" xfId="0" applyFill="1" applyBorder="1" applyAlignment="1" applyProtection="1">
      <alignment vertical="center" wrapText="1"/>
      <protection hidden="1"/>
    </xf>
    <xf numFmtId="0" fontId="0" fillId="2" borderId="3" xfId="0" applyFill="1" applyBorder="1" applyAlignment="1" applyProtection="1">
      <alignment vertical="center" wrapText="1"/>
      <protection hidden="1"/>
    </xf>
    <xf numFmtId="0" fontId="0" fillId="2" borderId="1" xfId="0" applyFill="1" applyBorder="1" applyAlignment="1" applyProtection="1">
      <alignment vertical="center" wrapText="1"/>
      <protection hidden="1"/>
    </xf>
    <xf numFmtId="0" fontId="0" fillId="2" borderId="4" xfId="0" applyFill="1" applyBorder="1" applyAlignment="1" applyProtection="1">
      <alignment vertical="center" wrapText="1"/>
      <protection hidden="1"/>
    </xf>
    <xf numFmtId="0" fontId="24" fillId="8" borderId="27" xfId="0" applyFont="1" applyFill="1" applyBorder="1" applyAlignment="1" applyProtection="1">
      <alignment vertical="center" wrapText="1"/>
      <protection hidden="1"/>
    </xf>
    <xf numFmtId="0" fontId="0" fillId="2" borderId="16" xfId="0" applyFill="1" applyBorder="1" applyAlignment="1" applyProtection="1">
      <alignment vertical="center" wrapText="1"/>
      <protection hidden="1"/>
    </xf>
    <xf numFmtId="0" fontId="0" fillId="2" borderId="6" xfId="0" applyFill="1" applyBorder="1" applyAlignment="1" applyProtection="1">
      <alignment vertical="center" wrapText="1"/>
      <protection hidden="1"/>
    </xf>
    <xf numFmtId="0" fontId="32" fillId="3" borderId="42" xfId="0" applyFont="1" applyFill="1" applyBorder="1" applyAlignment="1" applyProtection="1">
      <alignment vertical="center" wrapText="1"/>
      <protection locked="0" hidden="1"/>
    </xf>
    <xf numFmtId="0" fontId="32" fillId="3" borderId="45" xfId="0" applyFont="1" applyFill="1" applyBorder="1" applyAlignment="1" applyProtection="1">
      <alignment vertical="center" wrapText="1"/>
      <protection locked="0" hidden="1"/>
    </xf>
    <xf numFmtId="0" fontId="3" fillId="11" borderId="45" xfId="0" applyFont="1" applyFill="1" applyBorder="1" applyAlignment="1" applyProtection="1">
      <alignment vertical="center" wrapText="1"/>
      <protection hidden="1"/>
    </xf>
    <xf numFmtId="1" fontId="24" fillId="12" borderId="46" xfId="0" applyNumberFormat="1" applyFont="1" applyFill="1" applyBorder="1" applyAlignment="1" applyProtection="1">
      <alignment horizontal="center" vertical="center" wrapText="1"/>
      <protection hidden="1"/>
    </xf>
    <xf numFmtId="0" fontId="24" fillId="9" borderId="49" xfId="0" applyFont="1" applyFill="1" applyBorder="1" applyAlignment="1" applyProtection="1">
      <alignment vertical="center" wrapText="1"/>
      <protection hidden="1"/>
    </xf>
    <xf numFmtId="1" fontId="24" fillId="0" borderId="28" xfId="1" applyNumberFormat="1" applyFont="1" applyBorder="1" applyAlignment="1" applyProtection="1">
      <alignment horizontal="center" vertical="center" wrapText="1"/>
      <protection hidden="1"/>
    </xf>
    <xf numFmtId="1" fontId="24" fillId="12" borderId="48" xfId="0" applyNumberFormat="1" applyFont="1" applyFill="1" applyBorder="1" applyAlignment="1" applyProtection="1">
      <alignment horizontal="center" vertical="center" wrapText="1"/>
      <protection hidden="1"/>
    </xf>
    <xf numFmtId="0" fontId="24" fillId="9" borderId="28" xfId="0" applyFont="1" applyFill="1" applyBorder="1" applyAlignment="1" applyProtection="1">
      <alignment vertical="center" wrapText="1"/>
      <protection hidden="1"/>
    </xf>
    <xf numFmtId="2" fontId="24" fillId="12" borderId="73" xfId="0" applyNumberFormat="1" applyFont="1" applyFill="1" applyBorder="1" applyAlignment="1" applyProtection="1">
      <alignment horizontal="center" vertical="center" wrapText="1"/>
      <protection hidden="1"/>
    </xf>
    <xf numFmtId="0" fontId="24" fillId="12" borderId="12" xfId="0" applyFont="1" applyFill="1" applyBorder="1" applyAlignment="1" applyProtection="1">
      <alignment horizontal="center" vertical="center" wrapText="1"/>
      <protection hidden="1"/>
    </xf>
    <xf numFmtId="9" fontId="28" fillId="0" borderId="45" xfId="1" applyFont="1" applyBorder="1" applyAlignment="1" applyProtection="1">
      <alignment horizontal="center" vertical="center" wrapText="1"/>
      <protection hidden="1"/>
    </xf>
    <xf numFmtId="0" fontId="24" fillId="9" borderId="58" xfId="0" applyFont="1" applyFill="1" applyBorder="1" applyAlignment="1" applyProtection="1">
      <alignment vertical="center" wrapText="1"/>
      <protection hidden="1"/>
    </xf>
    <xf numFmtId="0" fontId="27" fillId="25" borderId="15" xfId="0" applyFont="1" applyFill="1" applyBorder="1" applyAlignment="1" applyProtection="1">
      <alignment horizontal="center" vertical="center" wrapText="1"/>
      <protection locked="0" hidden="1"/>
    </xf>
    <xf numFmtId="0" fontId="27" fillId="25" borderId="20" xfId="0" applyFont="1" applyFill="1" applyBorder="1" applyAlignment="1" applyProtection="1">
      <alignment horizontal="center" vertical="center" wrapText="1"/>
      <protection locked="0" hidden="1"/>
    </xf>
    <xf numFmtId="2" fontId="24" fillId="12" borderId="27" xfId="0" applyNumberFormat="1" applyFont="1" applyFill="1" applyBorder="1" applyAlignment="1" applyProtection="1">
      <alignment horizontal="center" vertical="center" wrapText="1"/>
      <protection hidden="1"/>
    </xf>
    <xf numFmtId="0" fontId="24" fillId="12" borderId="47" xfId="0" applyFont="1" applyFill="1" applyBorder="1" applyAlignment="1" applyProtection="1">
      <alignment horizontal="center" vertical="center" wrapText="1"/>
      <protection hidden="1"/>
    </xf>
    <xf numFmtId="9" fontId="28" fillId="0" borderId="9" xfId="1" applyFont="1" applyBorder="1" applyAlignment="1" applyProtection="1">
      <alignment horizontal="center" vertical="center" wrapText="1"/>
      <protection hidden="1"/>
    </xf>
    <xf numFmtId="0" fontId="24" fillId="9" borderId="59" xfId="0" applyFont="1" applyFill="1" applyBorder="1" applyAlignment="1" applyProtection="1">
      <alignment vertical="center" wrapText="1"/>
      <protection hidden="1"/>
    </xf>
    <xf numFmtId="0" fontId="26" fillId="25" borderId="21" xfId="0" applyFont="1" applyFill="1" applyBorder="1" applyAlignment="1" applyProtection="1">
      <alignment horizontal="center" vertical="center" wrapText="1"/>
      <protection locked="0" hidden="1"/>
    </xf>
    <xf numFmtId="2" fontId="24" fillId="12" borderId="28" xfId="0" applyNumberFormat="1" applyFont="1" applyFill="1" applyBorder="1" applyAlignment="1" applyProtection="1">
      <alignment horizontal="center" vertical="center" wrapText="1"/>
      <protection hidden="1"/>
    </xf>
    <xf numFmtId="0" fontId="24" fillId="12" borderId="22" xfId="0" applyFont="1" applyFill="1" applyBorder="1" applyAlignment="1" applyProtection="1">
      <alignment horizontal="center" vertical="center" wrapText="1"/>
      <protection hidden="1"/>
    </xf>
    <xf numFmtId="0" fontId="24" fillId="12" borderId="48" xfId="0" applyFont="1" applyFill="1" applyBorder="1" applyAlignment="1" applyProtection="1">
      <alignment horizontal="center" vertical="center" wrapText="1"/>
      <protection hidden="1"/>
    </xf>
    <xf numFmtId="9" fontId="28" fillId="0" borderId="7" xfId="1" applyFont="1" applyBorder="1" applyAlignment="1" applyProtection="1">
      <alignment horizontal="center" vertical="center" wrapText="1"/>
      <protection hidden="1"/>
    </xf>
    <xf numFmtId="0" fontId="24" fillId="9" borderId="60" xfId="0" applyFont="1" applyFill="1" applyBorder="1" applyAlignment="1" applyProtection="1">
      <alignment vertical="center" wrapText="1"/>
      <protection hidden="1"/>
    </xf>
    <xf numFmtId="0" fontId="32" fillId="3" borderId="16" xfId="0" applyFont="1" applyFill="1" applyBorder="1" applyAlignment="1" applyProtection="1">
      <alignment vertical="center" wrapText="1"/>
      <protection locked="0" hidden="1"/>
    </xf>
    <xf numFmtId="0" fontId="32" fillId="3" borderId="7" xfId="0" applyFont="1" applyFill="1" applyBorder="1" applyAlignment="1" applyProtection="1">
      <alignment vertical="center" wrapText="1"/>
      <protection locked="0" hidden="1"/>
    </xf>
    <xf numFmtId="0" fontId="3" fillId="3" borderId="16" xfId="0" applyFont="1" applyFill="1" applyBorder="1" applyAlignment="1" applyProtection="1">
      <alignment vertical="center" wrapText="1"/>
      <protection hidden="1"/>
    </xf>
    <xf numFmtId="0" fontId="3" fillId="3" borderId="6" xfId="0" applyFont="1" applyFill="1" applyBorder="1" applyAlignment="1" applyProtection="1">
      <alignment vertical="center" wrapText="1"/>
      <protection hidden="1"/>
    </xf>
    <xf numFmtId="165" fontId="26" fillId="0" borderId="54" xfId="0" applyNumberFormat="1" applyFont="1" applyBorder="1" applyAlignment="1" applyProtection="1">
      <alignment horizontal="center" vertical="center" wrapText="1"/>
      <protection locked="0" hidden="1"/>
    </xf>
    <xf numFmtId="165" fontId="26" fillId="0" borderId="74" xfId="0" applyNumberFormat="1" applyFont="1" applyBorder="1" applyAlignment="1" applyProtection="1">
      <alignment horizontal="center" vertical="center" wrapText="1"/>
      <protection locked="0" hidden="1"/>
    </xf>
    <xf numFmtId="2" fontId="24" fillId="12" borderId="54" xfId="0" applyNumberFormat="1" applyFont="1" applyFill="1" applyBorder="1" applyAlignment="1" applyProtection="1">
      <alignment horizontal="center" vertical="center" wrapText="1"/>
      <protection hidden="1"/>
    </xf>
    <xf numFmtId="1" fontId="24" fillId="0" borderId="14" xfId="1" applyNumberFormat="1" applyFont="1" applyBorder="1" applyAlignment="1" applyProtection="1">
      <alignment horizontal="center" vertical="center" wrapText="1"/>
      <protection hidden="1"/>
    </xf>
    <xf numFmtId="1" fontId="24" fillId="0" borderId="12" xfId="1" applyNumberFormat="1" applyFont="1" applyBorder="1" applyAlignment="1" applyProtection="1">
      <alignment horizontal="center" vertical="center" wrapText="1"/>
      <protection hidden="1"/>
    </xf>
    <xf numFmtId="0" fontId="24" fillId="16" borderId="62" xfId="0" applyFont="1" applyFill="1" applyBorder="1" applyAlignment="1" applyProtection="1">
      <alignment vertical="center" wrapText="1"/>
      <protection hidden="1"/>
    </xf>
    <xf numFmtId="2" fontId="24" fillId="12" borderId="15" xfId="0" applyNumberFormat="1" applyFont="1" applyFill="1" applyBorder="1" applyAlignment="1" applyProtection="1">
      <alignment horizontal="center" vertical="center" wrapText="1"/>
      <protection hidden="1"/>
    </xf>
    <xf numFmtId="1" fontId="24" fillId="0" borderId="11" xfId="1" applyNumberFormat="1" applyFont="1" applyBorder="1" applyAlignment="1" applyProtection="1">
      <alignment horizontal="center" vertical="center" wrapText="1"/>
      <protection hidden="1"/>
    </xf>
    <xf numFmtId="1" fontId="24" fillId="0" borderId="47" xfId="1" applyNumberFormat="1" applyFont="1" applyBorder="1" applyAlignment="1" applyProtection="1">
      <alignment horizontal="center" vertical="center" wrapText="1"/>
      <protection hidden="1"/>
    </xf>
    <xf numFmtId="0" fontId="24" fillId="16" borderId="59" xfId="0" applyFont="1" applyFill="1" applyBorder="1" applyAlignment="1" applyProtection="1">
      <alignment vertical="center" wrapText="1"/>
      <protection hidden="1"/>
    </xf>
    <xf numFmtId="165" fontId="27" fillId="12" borderId="15" xfId="0" applyNumberFormat="1" applyFont="1" applyFill="1" applyBorder="1" applyAlignment="1" applyProtection="1">
      <alignment horizontal="center" vertical="center" wrapText="1"/>
      <protection locked="0" hidden="1"/>
    </xf>
    <xf numFmtId="165" fontId="27" fillId="12" borderId="20" xfId="0" applyNumberFormat="1" applyFont="1" applyFill="1" applyBorder="1" applyAlignment="1" applyProtection="1">
      <alignment horizontal="center" vertical="center" wrapText="1"/>
      <protection locked="0" hidden="1"/>
    </xf>
    <xf numFmtId="1" fontId="24" fillId="12" borderId="11" xfId="1" applyNumberFormat="1" applyFont="1" applyFill="1" applyBorder="1" applyAlignment="1" applyProtection="1">
      <alignment horizontal="center" vertical="center" wrapText="1"/>
      <protection hidden="1"/>
    </xf>
    <xf numFmtId="1" fontId="24" fillId="12" borderId="47" xfId="1" applyNumberFormat="1" applyFont="1" applyFill="1" applyBorder="1" applyAlignment="1" applyProtection="1">
      <alignment horizontal="center" vertical="center" wrapText="1"/>
      <protection hidden="1"/>
    </xf>
    <xf numFmtId="0" fontId="22" fillId="16" borderId="59" xfId="0" applyFont="1" applyFill="1" applyBorder="1" applyAlignment="1" applyProtection="1">
      <alignment vertical="center" wrapText="1"/>
      <protection hidden="1"/>
    </xf>
    <xf numFmtId="2" fontId="24" fillId="12" borderId="21" xfId="0" applyNumberFormat="1" applyFont="1" applyFill="1" applyBorder="1" applyAlignment="1" applyProtection="1">
      <alignment horizontal="center" vertical="center" wrapText="1"/>
      <protection hidden="1"/>
    </xf>
    <xf numFmtId="165" fontId="24" fillId="12" borderId="48" xfId="0" applyNumberFormat="1" applyFont="1" applyFill="1" applyBorder="1" applyAlignment="1" applyProtection="1">
      <alignment horizontal="center" vertical="center" wrapText="1"/>
      <protection hidden="1"/>
    </xf>
    <xf numFmtId="0" fontId="24" fillId="16" borderId="60" xfId="0" applyFont="1" applyFill="1" applyBorder="1" applyAlignment="1" applyProtection="1">
      <alignment vertical="center" wrapText="1"/>
      <protection hidden="1"/>
    </xf>
    <xf numFmtId="0" fontId="0" fillId="2" borderId="2" xfId="0" applyFill="1" applyBorder="1" applyAlignment="1" applyProtection="1">
      <alignment vertical="center" wrapText="1"/>
      <protection locked="0" hidden="1"/>
    </xf>
    <xf numFmtId="0" fontId="0" fillId="2" borderId="3" xfId="0" applyFill="1" applyBorder="1" applyAlignment="1" applyProtection="1">
      <alignment vertical="center" wrapText="1"/>
      <protection locked="0" hidden="1"/>
    </xf>
    <xf numFmtId="0" fontId="0" fillId="2" borderId="5" xfId="0" applyFill="1" applyBorder="1" applyAlignment="1" applyProtection="1">
      <alignment vertical="center" wrapText="1"/>
      <protection locked="0" hidden="1"/>
    </xf>
    <xf numFmtId="2" fontId="24" fillId="12" borderId="17" xfId="0" applyNumberFormat="1" applyFont="1" applyFill="1" applyBorder="1" applyAlignment="1" applyProtection="1">
      <alignment horizontal="center" vertical="center" wrapText="1"/>
      <protection hidden="1"/>
    </xf>
    <xf numFmtId="0" fontId="24" fillId="12" borderId="18" xfId="0" applyFont="1" applyFill="1" applyBorder="1" applyAlignment="1" applyProtection="1">
      <alignment horizontal="center" vertical="center" wrapText="1"/>
      <protection hidden="1"/>
    </xf>
    <xf numFmtId="165" fontId="24" fillId="12" borderId="46" xfId="0" applyNumberFormat="1" applyFont="1" applyFill="1" applyBorder="1" applyAlignment="1" applyProtection="1">
      <alignment horizontal="center" vertical="center" wrapText="1"/>
      <protection hidden="1"/>
    </xf>
    <xf numFmtId="0" fontId="24" fillId="18" borderId="58" xfId="0" applyFont="1" applyFill="1" applyBorder="1" applyAlignment="1" applyProtection="1">
      <alignment vertical="center" wrapText="1"/>
      <protection hidden="1"/>
    </xf>
    <xf numFmtId="165" fontId="24" fillId="12" borderId="47" xfId="0" applyNumberFormat="1" applyFont="1" applyFill="1" applyBorder="1" applyAlignment="1" applyProtection="1">
      <alignment horizontal="center" vertical="center" wrapText="1"/>
      <protection hidden="1"/>
    </xf>
    <xf numFmtId="0" fontId="24" fillId="18" borderId="59" xfId="0" applyFont="1" applyFill="1" applyBorder="1" applyAlignment="1" applyProtection="1">
      <alignment vertical="center" wrapText="1"/>
      <protection hidden="1"/>
    </xf>
    <xf numFmtId="0" fontId="24" fillId="18" borderId="60" xfId="0" applyFont="1" applyFill="1" applyBorder="1" applyAlignment="1" applyProtection="1">
      <alignment vertical="center" wrapText="1"/>
      <protection hidden="1"/>
    </xf>
    <xf numFmtId="0" fontId="10" fillId="11" borderId="42" xfId="0" applyFont="1" applyFill="1" applyBorder="1" applyAlignment="1" applyProtection="1">
      <alignment vertical="center" wrapText="1"/>
      <protection locked="0" hidden="1"/>
    </xf>
    <xf numFmtId="0" fontId="10" fillId="11" borderId="45" xfId="0" applyFont="1" applyFill="1" applyBorder="1" applyAlignment="1" applyProtection="1">
      <alignment vertical="center" wrapText="1"/>
      <protection locked="0" hidden="1"/>
    </xf>
    <xf numFmtId="0" fontId="10" fillId="11" borderId="42" xfId="0" applyFont="1" applyFill="1" applyBorder="1" applyAlignment="1" applyProtection="1">
      <alignment vertical="center" wrapText="1"/>
      <protection hidden="1"/>
    </xf>
    <xf numFmtId="0" fontId="10" fillId="11" borderId="44" xfId="0" applyFont="1" applyFill="1" applyBorder="1" applyAlignment="1" applyProtection="1">
      <alignment vertical="center" wrapText="1"/>
      <protection hidden="1"/>
    </xf>
    <xf numFmtId="0" fontId="32" fillId="11" borderId="5" xfId="0" applyFont="1" applyFill="1" applyBorder="1" applyAlignment="1" applyProtection="1">
      <alignment vertical="center" wrapText="1"/>
      <protection hidden="1"/>
    </xf>
    <xf numFmtId="9" fontId="23" fillId="11" borderId="45" xfId="1" applyFont="1" applyFill="1" applyBorder="1" applyAlignment="1" applyProtection="1">
      <alignment horizontal="center" vertical="center" wrapText="1"/>
      <protection hidden="1"/>
    </xf>
    <xf numFmtId="2" fontId="23" fillId="11" borderId="45" xfId="1" applyNumberFormat="1" applyFont="1" applyFill="1" applyBorder="1" applyAlignment="1" applyProtection="1">
      <alignment horizontal="center" vertical="center" wrapText="1"/>
      <protection hidden="1"/>
    </xf>
    <xf numFmtId="0" fontId="10" fillId="11" borderId="45" xfId="0" applyFont="1" applyFill="1" applyBorder="1" applyAlignment="1" applyProtection="1">
      <alignment vertical="center" wrapText="1"/>
      <protection hidden="1"/>
    </xf>
    <xf numFmtId="2" fontId="26" fillId="25" borderId="50" xfId="0" applyNumberFormat="1" applyFont="1" applyFill="1" applyBorder="1" applyAlignment="1" applyProtection="1">
      <alignment horizontal="center" vertical="center" wrapText="1"/>
      <protection locked="0" hidden="1"/>
    </xf>
    <xf numFmtId="1" fontId="24" fillId="0" borderId="35" xfId="1" applyNumberFormat="1" applyFont="1" applyBorder="1" applyAlignment="1" applyProtection="1">
      <alignment horizontal="center" vertical="center" wrapText="1"/>
      <protection hidden="1"/>
    </xf>
    <xf numFmtId="0" fontId="5" fillId="5" borderId="4" xfId="0" applyFont="1" applyFill="1" applyBorder="1" applyAlignment="1" applyProtection="1">
      <alignment vertical="center" wrapText="1"/>
      <protection hidden="1"/>
    </xf>
    <xf numFmtId="9" fontId="24" fillId="11" borderId="10" xfId="1" applyFont="1" applyFill="1" applyBorder="1" applyAlignment="1" applyProtection="1">
      <alignment horizontal="center" vertical="center" wrapText="1"/>
      <protection hidden="1"/>
    </xf>
    <xf numFmtId="1" fontId="24" fillId="0" borderId="18" xfId="1" applyNumberFormat="1" applyFont="1" applyBorder="1" applyAlignment="1" applyProtection="1">
      <alignment horizontal="center" vertical="center" wrapText="1"/>
      <protection hidden="1"/>
    </xf>
    <xf numFmtId="0" fontId="24" fillId="0" borderId="46" xfId="0" applyFont="1" applyBorder="1" applyAlignment="1" applyProtection="1">
      <alignment horizontal="center" vertical="center" wrapText="1"/>
      <protection hidden="1"/>
    </xf>
    <xf numFmtId="9" fontId="0" fillId="0" borderId="45" xfId="0" applyNumberFormat="1" applyBorder="1" applyAlignment="1" applyProtection="1">
      <alignment horizontal="center" vertical="center" wrapText="1"/>
      <protection hidden="1"/>
    </xf>
    <xf numFmtId="0" fontId="5" fillId="5" borderId="58" xfId="0" applyFont="1" applyFill="1" applyBorder="1" applyAlignment="1" applyProtection="1">
      <alignment vertical="center" wrapText="1"/>
      <protection hidden="1"/>
    </xf>
    <xf numFmtId="1" fontId="24" fillId="0" borderId="22" xfId="1" applyNumberFormat="1" applyFont="1" applyBorder="1" applyAlignment="1" applyProtection="1">
      <alignment horizontal="center" vertical="center" wrapText="1"/>
      <protection hidden="1"/>
    </xf>
    <xf numFmtId="0" fontId="24" fillId="0" borderId="48" xfId="0" applyFont="1" applyBorder="1" applyAlignment="1" applyProtection="1">
      <alignment horizontal="center" vertical="center" wrapText="1"/>
      <protection hidden="1"/>
    </xf>
    <xf numFmtId="9" fontId="0" fillId="0" borderId="7" xfId="0" applyNumberFormat="1" applyBorder="1" applyAlignment="1" applyProtection="1">
      <alignment horizontal="center" vertical="center" wrapText="1"/>
      <protection hidden="1"/>
    </xf>
    <xf numFmtId="0" fontId="5" fillId="5" borderId="60" xfId="0" applyFont="1" applyFill="1" applyBorder="1" applyAlignment="1" applyProtection="1">
      <alignment vertical="center" wrapText="1"/>
      <protection hidden="1"/>
    </xf>
    <xf numFmtId="0" fontId="0" fillId="14" borderId="56" xfId="0" applyFill="1" applyBorder="1" applyProtection="1">
      <protection hidden="1"/>
    </xf>
    <xf numFmtId="0" fontId="0" fillId="14" borderId="57" xfId="0" applyFill="1" applyBorder="1" applyProtection="1">
      <protection hidden="1"/>
    </xf>
    <xf numFmtId="0" fontId="0" fillId="14" borderId="67" xfId="0" applyFill="1" applyBorder="1" applyProtection="1">
      <protection hidden="1"/>
    </xf>
    <xf numFmtId="0" fontId="0" fillId="14" borderId="65" xfId="0" applyFill="1" applyBorder="1" applyProtection="1">
      <protection hidden="1"/>
    </xf>
    <xf numFmtId="0" fontId="0" fillId="14" borderId="5" xfId="0" applyFill="1" applyBorder="1" applyProtection="1">
      <protection hidden="1"/>
    </xf>
    <xf numFmtId="9" fontId="0" fillId="14" borderId="7" xfId="0" applyNumberFormat="1" applyFill="1" applyBorder="1" applyProtection="1">
      <protection hidden="1"/>
    </xf>
    <xf numFmtId="9" fontId="0" fillId="14" borderId="6" xfId="0" applyNumberFormat="1" applyFill="1" applyBorder="1" applyProtection="1">
      <protection hidden="1"/>
    </xf>
    <xf numFmtId="0" fontId="0" fillId="14" borderId="35" xfId="0" applyFill="1" applyBorder="1" applyProtection="1">
      <protection hidden="1"/>
    </xf>
  </cellXfs>
  <cellStyles count="4">
    <cellStyle name="Comma" xfId="2" builtinId="3"/>
    <cellStyle name="Hyperlink" xfId="3" builtinId="8"/>
    <cellStyle name="Normal" xfId="0" builtinId="0"/>
    <cellStyle name="Percent" xfId="1" builtinId="5"/>
  </cellStyles>
  <dxfs count="0"/>
  <tableStyles count="0" defaultTableStyle="TableStyleMedium2" defaultPivotStyle="PivotStyleLight16"/>
  <colors>
    <mruColors>
      <color rgb="FFFF9933"/>
      <color rgb="FFFF6600"/>
      <color rgb="FFFF5050"/>
      <color rgb="FFCCFF66"/>
      <color rgb="FFFF99FF"/>
      <color rgb="FF006600"/>
      <color rgb="FFFFFF99"/>
      <color rgb="FFCCFF99"/>
      <color rgb="FF000066"/>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101890609398731"/>
          <c:y val="0.16020748730001719"/>
          <c:w val="0.35796205771676309"/>
          <c:h val="0.67336902070516902"/>
        </c:manualLayout>
      </c:layout>
      <c:radarChart>
        <c:radarStyle val="marker"/>
        <c:varyColors val="0"/>
        <c:ser>
          <c:idx val="0"/>
          <c:order val="0"/>
          <c:tx>
            <c:strRef>
              <c:f>'Aspiration Chart'!$B$3</c:f>
              <c:strCache>
                <c:ptCount val="1"/>
                <c:pt idx="0">
                  <c:v>Achievement</c:v>
                </c:pt>
              </c:strCache>
            </c:strRef>
          </c:tx>
          <c:spPr>
            <a:ln w="28575" cap="rnd">
              <a:solidFill>
                <a:schemeClr val="accent1"/>
              </a:solidFill>
              <a:round/>
            </a:ln>
            <a:effectLst/>
          </c:spPr>
          <c:marker>
            <c:symbol val="none"/>
          </c:marker>
          <c:dLbls>
            <c:dLbl>
              <c:idx val="0"/>
              <c:layout>
                <c:manualLayout>
                  <c:x val="1.6522098306485529E-3"/>
                  <c:y val="0"/>
                </c:manualLayout>
              </c:layout>
              <c:spPr>
                <a:solidFill>
                  <a:srgbClr val="FF6600"/>
                </a:solidFill>
                <a:ln>
                  <a:solidFill>
                    <a:srgbClr val="FF9933"/>
                  </a:solid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1A8-4178-8334-E3F2CC107E7E}"/>
                </c:ext>
              </c:extLst>
            </c:dLbl>
            <c:dLbl>
              <c:idx val="1"/>
              <c:layout>
                <c:manualLayout>
                  <c:x val="-3.3044196612969846E-2"/>
                  <c:y val="-1.0878008215894106E-2"/>
                </c:manualLayout>
              </c:layout>
              <c:spPr>
                <a:solidFill>
                  <a:srgbClr val="FF9933"/>
                </a:solidFill>
                <a:ln>
                  <a:solidFill>
                    <a:srgbClr val="FF9933"/>
                  </a:solid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3.5819909128459317E-2"/>
                      <c:h val="4.6573537538060795E-2"/>
                    </c:manualLayout>
                  </c15:layout>
                </c:ext>
                <c:ext xmlns:c16="http://schemas.microsoft.com/office/drawing/2014/chart" uri="{C3380CC4-5D6E-409C-BE32-E72D297353CC}">
                  <c16:uniqueId val="{00000001-F1A8-4178-8334-E3F2CC107E7E}"/>
                </c:ext>
              </c:extLst>
            </c:dLbl>
            <c:dLbl>
              <c:idx val="2"/>
              <c:spPr>
                <a:solidFill>
                  <a:srgbClr val="FF0000"/>
                </a:solidFill>
                <a:ln>
                  <a:solidFill>
                    <a:srgbClr val="FF9933"/>
                  </a:solid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2-F1A8-4178-8334-E3F2CC107E7E}"/>
                </c:ext>
              </c:extLst>
            </c:dLbl>
            <c:dLbl>
              <c:idx val="3"/>
              <c:layout>
                <c:manualLayout>
                  <c:x val="0"/>
                  <c:y val="-3.1080023473983084E-3"/>
                </c:manualLayout>
              </c:layout>
              <c:spPr>
                <a:solidFill>
                  <a:srgbClr val="FF9933"/>
                </a:solidFill>
                <a:ln>
                  <a:solidFill>
                    <a:srgbClr val="FF9933"/>
                  </a:solid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1A8-4178-8334-E3F2CC107E7E}"/>
                </c:ext>
              </c:extLst>
            </c:dLbl>
            <c:dLbl>
              <c:idx val="4"/>
              <c:spPr>
                <a:solidFill>
                  <a:srgbClr val="FF0000"/>
                </a:solidFill>
                <a:ln>
                  <a:solidFill>
                    <a:srgbClr val="FF9933"/>
                  </a:solid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4-F1A8-4178-8334-E3F2CC107E7E}"/>
                </c:ext>
              </c:extLst>
            </c:dLbl>
            <c:dLbl>
              <c:idx val="5"/>
              <c:layout>
                <c:manualLayout>
                  <c:x val="8.2610491532424616E-3"/>
                  <c:y val="1.2432009389593119E-2"/>
                </c:manualLayout>
              </c:layout>
              <c:spPr>
                <a:solidFill>
                  <a:srgbClr val="FF9933"/>
                </a:solidFill>
                <a:ln>
                  <a:solidFill>
                    <a:srgbClr val="FF9933"/>
                  </a:solid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1A8-4178-8334-E3F2CC107E7E}"/>
                </c:ext>
              </c:extLst>
            </c:dLbl>
            <c:dLbl>
              <c:idx val="6"/>
              <c:layout>
                <c:manualLayout>
                  <c:x val="0"/>
                  <c:y val="5.9052044600567802E-2"/>
                </c:manualLayout>
              </c:layout>
              <c:spPr>
                <a:solidFill>
                  <a:srgbClr val="FF6600"/>
                </a:solidFill>
                <a:ln>
                  <a:solidFill>
                    <a:srgbClr val="FF9933"/>
                  </a:solid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1A8-4178-8334-E3F2CC107E7E}"/>
                </c:ext>
              </c:extLst>
            </c:dLbl>
            <c:spPr>
              <a:noFill/>
              <a:ln>
                <a:solidFill>
                  <a:srgbClr val="FF9933"/>
                </a:solid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'Aspiration Chart'!$A$4:$A$10</c:f>
              <c:strCache>
                <c:ptCount val="7"/>
                <c:pt idx="0">
                  <c:v>Apriration 1:  A properous Africa based on inclusive growth and sustainable development</c:v>
                </c:pt>
                <c:pt idx="1">
                  <c:v> Aspiration 2:  An integrated continent, politically united and based on the ideals of Pan - Africanism and a Vision of the African Renaissance</c:v>
                </c:pt>
                <c:pt idx="2">
                  <c:v>Aspiration 3: An African of good governance, democracy, respect for human rigjhts and the rule of law</c:v>
                </c:pt>
                <c:pt idx="3">
                  <c:v> Aspiration 4. A peaceful and secure Africa</c:v>
                </c:pt>
                <c:pt idx="4">
                  <c:v>Aspiration 5: African with a strong cultural identity, common heritage, value and beliefs</c:v>
                </c:pt>
                <c:pt idx="5">
                  <c:v>Aspiration 6 An Africa whose development of people driven, relying on the potential of the African People</c:v>
                </c:pt>
                <c:pt idx="6">
                  <c:v> Aspiration 7: Africa as a strong and influential global partner</c:v>
                </c:pt>
              </c:strCache>
            </c:strRef>
          </c:cat>
          <c:val>
            <c:numRef>
              <c:f>'Aspiration Chart'!$B$4:$B$10</c:f>
              <c:numCache>
                <c:formatCode>0%</c:formatCode>
                <c:ptCount val="7"/>
                <c:pt idx="0">
                  <c:v>0.27832869728193038</c:v>
                </c:pt>
                <c:pt idx="1">
                  <c:v>0.31831027234041515</c:v>
                </c:pt>
                <c:pt idx="2">
                  <c:v>0.1039186507936508</c:v>
                </c:pt>
                <c:pt idx="3">
                  <c:v>0.375</c:v>
                </c:pt>
                <c:pt idx="4">
                  <c:v>6.3606194690265488E-2</c:v>
                </c:pt>
                <c:pt idx="5">
                  <c:v>0.30370445334494173</c:v>
                </c:pt>
                <c:pt idx="6">
                  <c:v>0.22797834680584517</c:v>
                </c:pt>
              </c:numCache>
            </c:numRef>
          </c:val>
          <c:extLst>
            <c:ext xmlns:c16="http://schemas.microsoft.com/office/drawing/2014/chart" uri="{C3380CC4-5D6E-409C-BE32-E72D297353CC}">
              <c16:uniqueId val="{00000007-F1A8-4178-8334-E3F2CC107E7E}"/>
            </c:ext>
          </c:extLst>
        </c:ser>
        <c:dLbls>
          <c:showLegendKey val="0"/>
          <c:showVal val="0"/>
          <c:showCatName val="0"/>
          <c:showSerName val="0"/>
          <c:showPercent val="0"/>
          <c:showBubbleSize val="0"/>
        </c:dLbls>
        <c:axId val="2053271680"/>
        <c:axId val="1858782976"/>
      </c:radarChart>
      <c:catAx>
        <c:axId val="20532716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58782976"/>
        <c:crosses val="autoZero"/>
        <c:auto val="1"/>
        <c:lblAlgn val="ctr"/>
        <c:lblOffset val="100"/>
        <c:noMultiLvlLbl val="0"/>
      </c:catAx>
      <c:valAx>
        <c:axId val="1858782976"/>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20532716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134665310928717E-2"/>
          <c:y val="1.9196212729668042E-2"/>
          <c:w val="0.92860254583032675"/>
          <c:h val="0.86577617299847409"/>
        </c:manualLayout>
      </c:layout>
      <c:barChart>
        <c:barDir val="col"/>
        <c:grouping val="stacked"/>
        <c:varyColors val="0"/>
        <c:ser>
          <c:idx val="0"/>
          <c:order val="0"/>
          <c:tx>
            <c:strRef>
              <c:f>'Performance by Goal'!$D$1</c:f>
              <c:strCache>
                <c:ptCount val="1"/>
                <c:pt idx="0">
                  <c:v>Decription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'Performance by Goal'!$C$2:$C$23</c:f>
              <c:strCache>
                <c:ptCount val="20"/>
                <c:pt idx="0">
                  <c:v>Goal 1</c:v>
                </c:pt>
                <c:pt idx="1">
                  <c:v>Goal 2</c:v>
                </c:pt>
                <c:pt idx="2">
                  <c:v>Goal 3</c:v>
                </c:pt>
                <c:pt idx="3">
                  <c:v>Goal 4</c:v>
                </c:pt>
                <c:pt idx="4">
                  <c:v>Goal 5</c:v>
                </c:pt>
                <c:pt idx="5">
                  <c:v>Goal 6</c:v>
                </c:pt>
                <c:pt idx="6">
                  <c:v>Goal 7</c:v>
                </c:pt>
                <c:pt idx="7">
                  <c:v>Goal 8</c:v>
                </c:pt>
                <c:pt idx="8">
                  <c:v>Goal 9</c:v>
                </c:pt>
                <c:pt idx="9">
                  <c:v>Goal 10</c:v>
                </c:pt>
                <c:pt idx="10">
                  <c:v>Goal 11</c:v>
                </c:pt>
                <c:pt idx="11">
                  <c:v>Goal 12</c:v>
                </c:pt>
                <c:pt idx="12">
                  <c:v>Goal 13</c:v>
                </c:pt>
                <c:pt idx="13">
                  <c:v>Goal 14</c:v>
                </c:pt>
                <c:pt idx="14">
                  <c:v>Goal 15</c:v>
                </c:pt>
                <c:pt idx="15">
                  <c:v>Goal 16</c:v>
                </c:pt>
                <c:pt idx="16">
                  <c:v>Goal 17</c:v>
                </c:pt>
                <c:pt idx="17">
                  <c:v>Goal 18</c:v>
                </c:pt>
                <c:pt idx="18">
                  <c:v>Goal 19</c:v>
                </c:pt>
                <c:pt idx="19">
                  <c:v>Goal 20</c:v>
                </c:pt>
              </c:strCache>
            </c:strRef>
          </c:cat>
          <c:val>
            <c:numRef>
              <c:f>'Performance by Goal'!$D$2:$D$23</c:f>
            </c:numRef>
          </c:val>
          <c:extLst>
            <c:ext xmlns:c16="http://schemas.microsoft.com/office/drawing/2014/chart" uri="{C3380CC4-5D6E-409C-BE32-E72D297353CC}">
              <c16:uniqueId val="{00000000-3BD5-42DB-A8DD-68ED77B36605}"/>
            </c:ext>
          </c:extLst>
        </c:ser>
        <c:ser>
          <c:idx val="1"/>
          <c:order val="1"/>
          <c:tx>
            <c:strRef>
              <c:f>'Performance by Goal'!$E$1</c:f>
              <c:strCache>
                <c:ptCount val="1"/>
                <c:pt idx="0">
                  <c:v>Achievement</c:v>
                </c:pt>
              </c:strCache>
            </c:strRef>
          </c:tx>
          <c:spPr>
            <a:solidFill>
              <a:schemeClr val="accent2"/>
            </a:solidFill>
            <a:ln>
              <a:noFill/>
            </a:ln>
            <a:effectLst/>
          </c:spPr>
          <c:invertIfNegative val="0"/>
          <c:dPt>
            <c:idx val="0"/>
            <c:invertIfNegative val="0"/>
            <c:bubble3D val="0"/>
            <c:spPr>
              <a:solidFill>
                <a:srgbClr val="FFFF00"/>
              </a:solidFill>
              <a:ln>
                <a:noFill/>
              </a:ln>
              <a:effectLst/>
            </c:spPr>
            <c:extLst>
              <c:ext xmlns:c16="http://schemas.microsoft.com/office/drawing/2014/chart" uri="{C3380CC4-5D6E-409C-BE32-E72D297353CC}">
                <c16:uniqueId val="{00000001-DF58-4B5C-AB0F-1BFB69053935}"/>
              </c:ext>
            </c:extLst>
          </c:dPt>
          <c:dPt>
            <c:idx val="1"/>
            <c:invertIfNegative val="0"/>
            <c:bubble3D val="0"/>
            <c:spPr>
              <a:solidFill>
                <a:srgbClr val="FF6600"/>
              </a:solidFill>
              <a:ln>
                <a:noFill/>
              </a:ln>
              <a:effectLst/>
            </c:spPr>
            <c:extLst>
              <c:ext xmlns:c16="http://schemas.microsoft.com/office/drawing/2014/chart" uri="{C3380CC4-5D6E-409C-BE32-E72D297353CC}">
                <c16:uniqueId val="{00000003-DF58-4B5C-AB0F-1BFB69053935}"/>
              </c:ext>
            </c:extLst>
          </c:dPt>
          <c:dPt>
            <c:idx val="2"/>
            <c:invertIfNegative val="0"/>
            <c:bubble3D val="0"/>
            <c:spPr>
              <a:solidFill>
                <a:srgbClr val="FF9933"/>
              </a:solidFill>
              <a:ln>
                <a:noFill/>
              </a:ln>
              <a:effectLst/>
            </c:spPr>
            <c:extLst>
              <c:ext xmlns:c16="http://schemas.microsoft.com/office/drawing/2014/chart" uri="{C3380CC4-5D6E-409C-BE32-E72D297353CC}">
                <c16:uniqueId val="{00000005-DF58-4B5C-AB0F-1BFB69053935}"/>
              </c:ext>
            </c:extLst>
          </c:dPt>
          <c:dPt>
            <c:idx val="3"/>
            <c:invertIfNegative val="0"/>
            <c:bubble3D val="0"/>
            <c:spPr>
              <a:solidFill>
                <a:srgbClr val="FF0000"/>
              </a:solidFill>
              <a:ln>
                <a:noFill/>
              </a:ln>
              <a:effectLst/>
            </c:spPr>
            <c:extLst>
              <c:ext xmlns:c16="http://schemas.microsoft.com/office/drawing/2014/chart" uri="{C3380CC4-5D6E-409C-BE32-E72D297353CC}">
                <c16:uniqueId val="{00000007-DF58-4B5C-AB0F-1BFB69053935}"/>
              </c:ext>
            </c:extLst>
          </c:dPt>
          <c:dPt>
            <c:idx val="4"/>
            <c:invertIfNegative val="0"/>
            <c:bubble3D val="0"/>
            <c:spPr>
              <a:solidFill>
                <a:srgbClr val="FF0000"/>
              </a:solidFill>
              <a:ln>
                <a:noFill/>
              </a:ln>
              <a:effectLst/>
            </c:spPr>
            <c:extLst>
              <c:ext xmlns:c16="http://schemas.microsoft.com/office/drawing/2014/chart" uri="{C3380CC4-5D6E-409C-BE32-E72D297353CC}">
                <c16:uniqueId val="{00000009-DF58-4B5C-AB0F-1BFB69053935}"/>
              </c:ext>
            </c:extLst>
          </c:dPt>
          <c:dPt>
            <c:idx val="5"/>
            <c:invertIfNegative val="0"/>
            <c:bubble3D val="0"/>
            <c:spPr>
              <a:solidFill>
                <a:srgbClr val="FF0000"/>
              </a:solidFill>
              <a:ln>
                <a:noFill/>
              </a:ln>
              <a:effectLst/>
            </c:spPr>
            <c:extLst>
              <c:ext xmlns:c16="http://schemas.microsoft.com/office/drawing/2014/chart" uri="{C3380CC4-5D6E-409C-BE32-E72D297353CC}">
                <c16:uniqueId val="{0000000B-DF58-4B5C-AB0F-1BFB69053935}"/>
              </c:ext>
            </c:extLst>
          </c:dPt>
          <c:dPt>
            <c:idx val="6"/>
            <c:invertIfNegative val="0"/>
            <c:bubble3D val="0"/>
            <c:spPr>
              <a:solidFill>
                <a:srgbClr val="FF6600"/>
              </a:solidFill>
              <a:ln>
                <a:noFill/>
              </a:ln>
              <a:effectLst/>
            </c:spPr>
            <c:extLst>
              <c:ext xmlns:c16="http://schemas.microsoft.com/office/drawing/2014/chart" uri="{C3380CC4-5D6E-409C-BE32-E72D297353CC}">
                <c16:uniqueId val="{0000000D-DF58-4B5C-AB0F-1BFB69053935}"/>
              </c:ext>
            </c:extLst>
          </c:dPt>
          <c:dPt>
            <c:idx val="7"/>
            <c:invertIfNegative val="0"/>
            <c:bubble3D val="0"/>
            <c:spPr>
              <a:solidFill>
                <a:srgbClr val="FF0000"/>
              </a:solidFill>
              <a:ln>
                <a:noFill/>
              </a:ln>
              <a:effectLst/>
            </c:spPr>
            <c:extLst>
              <c:ext xmlns:c16="http://schemas.microsoft.com/office/drawing/2014/chart" uri="{C3380CC4-5D6E-409C-BE32-E72D297353CC}">
                <c16:uniqueId val="{0000000F-DF58-4B5C-AB0F-1BFB69053935}"/>
              </c:ext>
            </c:extLst>
          </c:dPt>
          <c:dPt>
            <c:idx val="8"/>
            <c:invertIfNegative val="0"/>
            <c:bubble3D val="0"/>
            <c:spPr>
              <a:solidFill>
                <a:srgbClr val="006600"/>
              </a:solidFill>
              <a:ln>
                <a:noFill/>
              </a:ln>
              <a:effectLst/>
            </c:spPr>
            <c:extLst>
              <c:ext xmlns:c16="http://schemas.microsoft.com/office/drawing/2014/chart" uri="{C3380CC4-5D6E-409C-BE32-E72D297353CC}">
                <c16:uniqueId val="{00000011-DF58-4B5C-AB0F-1BFB69053935}"/>
              </c:ext>
            </c:extLst>
          </c:dPt>
          <c:dPt>
            <c:idx val="9"/>
            <c:invertIfNegative val="0"/>
            <c:bubble3D val="0"/>
            <c:spPr>
              <a:solidFill>
                <a:srgbClr val="FF0000"/>
              </a:solidFill>
              <a:ln>
                <a:noFill/>
              </a:ln>
              <a:effectLst/>
            </c:spPr>
            <c:extLst>
              <c:ext xmlns:c16="http://schemas.microsoft.com/office/drawing/2014/chart" uri="{C3380CC4-5D6E-409C-BE32-E72D297353CC}">
                <c16:uniqueId val="{00000013-DF58-4B5C-AB0F-1BFB69053935}"/>
              </c:ext>
            </c:extLst>
          </c:dPt>
          <c:dPt>
            <c:idx val="10"/>
            <c:invertIfNegative val="0"/>
            <c:bubble3D val="0"/>
            <c:spPr>
              <a:solidFill>
                <a:srgbClr val="FF6600"/>
              </a:solidFill>
              <a:ln>
                <a:noFill/>
              </a:ln>
              <a:effectLst/>
            </c:spPr>
            <c:extLst>
              <c:ext xmlns:c16="http://schemas.microsoft.com/office/drawing/2014/chart" uri="{C3380CC4-5D6E-409C-BE32-E72D297353CC}">
                <c16:uniqueId val="{00000015-DF58-4B5C-AB0F-1BFB69053935}"/>
              </c:ext>
            </c:extLst>
          </c:dPt>
          <c:dPt>
            <c:idx val="11"/>
            <c:invertIfNegative val="0"/>
            <c:bubble3D val="0"/>
            <c:spPr>
              <a:solidFill>
                <a:srgbClr val="FF0000"/>
              </a:solidFill>
              <a:ln>
                <a:noFill/>
              </a:ln>
              <a:effectLst/>
            </c:spPr>
            <c:extLst>
              <c:ext xmlns:c16="http://schemas.microsoft.com/office/drawing/2014/chart" uri="{C3380CC4-5D6E-409C-BE32-E72D297353CC}">
                <c16:uniqueId val="{00000017-DF58-4B5C-AB0F-1BFB69053935}"/>
              </c:ext>
            </c:extLst>
          </c:dPt>
          <c:dPt>
            <c:idx val="12"/>
            <c:invertIfNegative val="0"/>
            <c:bubble3D val="0"/>
            <c:spPr>
              <a:solidFill>
                <a:srgbClr val="FF5050"/>
              </a:solidFill>
              <a:ln>
                <a:noFill/>
              </a:ln>
              <a:effectLst/>
            </c:spPr>
            <c:extLst>
              <c:ext xmlns:c16="http://schemas.microsoft.com/office/drawing/2014/chart" uri="{C3380CC4-5D6E-409C-BE32-E72D297353CC}">
                <c16:uniqueId val="{00000019-DF58-4B5C-AB0F-1BFB69053935}"/>
              </c:ext>
            </c:extLst>
          </c:dPt>
          <c:dPt>
            <c:idx val="13"/>
            <c:invertIfNegative val="0"/>
            <c:bubble3D val="0"/>
            <c:spPr>
              <a:solidFill>
                <a:srgbClr val="FF6600"/>
              </a:solidFill>
              <a:ln>
                <a:noFill/>
              </a:ln>
              <a:effectLst/>
            </c:spPr>
            <c:extLst>
              <c:ext xmlns:c16="http://schemas.microsoft.com/office/drawing/2014/chart" uri="{C3380CC4-5D6E-409C-BE32-E72D297353CC}">
                <c16:uniqueId val="{0000001B-DF58-4B5C-AB0F-1BFB69053935}"/>
              </c:ext>
            </c:extLst>
          </c:dPt>
          <c:dPt>
            <c:idx val="14"/>
            <c:invertIfNegative val="0"/>
            <c:bubble3D val="0"/>
            <c:spPr>
              <a:solidFill>
                <a:srgbClr val="CCFF66"/>
              </a:solidFill>
              <a:ln>
                <a:noFill/>
              </a:ln>
              <a:effectLst/>
            </c:spPr>
            <c:extLst>
              <c:ext xmlns:c16="http://schemas.microsoft.com/office/drawing/2014/chart" uri="{C3380CC4-5D6E-409C-BE32-E72D297353CC}">
                <c16:uniqueId val="{0000001D-DF58-4B5C-AB0F-1BFB69053935}"/>
              </c:ext>
            </c:extLst>
          </c:dPt>
          <c:dPt>
            <c:idx val="15"/>
            <c:invertIfNegative val="0"/>
            <c:bubble3D val="0"/>
            <c:spPr>
              <a:solidFill>
                <a:srgbClr val="FF0000"/>
              </a:solidFill>
              <a:ln>
                <a:noFill/>
              </a:ln>
              <a:effectLst/>
            </c:spPr>
            <c:extLst>
              <c:ext xmlns:c16="http://schemas.microsoft.com/office/drawing/2014/chart" uri="{C3380CC4-5D6E-409C-BE32-E72D297353CC}">
                <c16:uniqueId val="{00000025-77E3-48E2-9CD8-270ACE34747F}"/>
              </c:ext>
            </c:extLst>
          </c:dPt>
          <c:dPt>
            <c:idx val="16"/>
            <c:invertIfNegative val="0"/>
            <c:bubble3D val="0"/>
            <c:spPr>
              <a:solidFill>
                <a:srgbClr val="FF6600"/>
              </a:solidFill>
              <a:ln>
                <a:noFill/>
              </a:ln>
              <a:effectLst/>
            </c:spPr>
            <c:extLst>
              <c:ext xmlns:c16="http://schemas.microsoft.com/office/drawing/2014/chart" uri="{C3380CC4-5D6E-409C-BE32-E72D297353CC}">
                <c16:uniqueId val="{00000021-DF58-4B5C-AB0F-1BFB69053935}"/>
              </c:ext>
            </c:extLst>
          </c:dPt>
          <c:dPt>
            <c:idx val="17"/>
            <c:invertIfNegative val="0"/>
            <c:bubble3D val="0"/>
            <c:spPr>
              <a:solidFill>
                <a:srgbClr val="FF9933"/>
              </a:solidFill>
              <a:ln>
                <a:noFill/>
              </a:ln>
              <a:effectLst/>
            </c:spPr>
            <c:extLst>
              <c:ext xmlns:c16="http://schemas.microsoft.com/office/drawing/2014/chart" uri="{C3380CC4-5D6E-409C-BE32-E72D297353CC}">
                <c16:uniqueId val="{00000023-DF58-4B5C-AB0F-1BFB69053935}"/>
              </c:ext>
            </c:extLst>
          </c:dPt>
          <c:dPt>
            <c:idx val="18"/>
            <c:invertIfNegative val="0"/>
            <c:bubble3D val="0"/>
            <c:spPr>
              <a:solidFill>
                <a:srgbClr val="FFC000"/>
              </a:solidFill>
              <a:ln>
                <a:noFill/>
              </a:ln>
              <a:effectLst/>
            </c:spPr>
            <c:extLst>
              <c:ext xmlns:c16="http://schemas.microsoft.com/office/drawing/2014/chart" uri="{C3380CC4-5D6E-409C-BE32-E72D297353CC}">
                <c16:uniqueId val="{00000023-77E3-48E2-9CD8-270ACE34747F}"/>
              </c:ext>
            </c:extLst>
          </c:dPt>
          <c:dPt>
            <c:idx val="19"/>
            <c:invertIfNegative val="0"/>
            <c:bubble3D val="0"/>
            <c:spPr>
              <a:solidFill>
                <a:srgbClr val="FF0000"/>
              </a:solidFill>
              <a:ln>
                <a:noFill/>
              </a:ln>
              <a:effectLst/>
            </c:spPr>
            <c:extLst>
              <c:ext xmlns:c16="http://schemas.microsoft.com/office/drawing/2014/chart" uri="{C3380CC4-5D6E-409C-BE32-E72D297353CC}">
                <c16:uniqueId val="{00000024-77E3-48E2-9CD8-270ACE34747F}"/>
              </c:ext>
            </c:extLst>
          </c:dPt>
          <c:dLbls>
            <c:dLbl>
              <c:idx val="0"/>
              <c:layout>
                <c:manualLayout>
                  <c:x val="1.643554026403235E-3"/>
                  <c:y val="-0.2899920478045090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F58-4B5C-AB0F-1BFB69053935}"/>
                </c:ext>
              </c:extLst>
            </c:dLbl>
            <c:dLbl>
              <c:idx val="1"/>
              <c:layout>
                <c:manualLayout>
                  <c:x val="1.6435540264032275E-3"/>
                  <c:y val="-0.1355397614738467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F58-4B5C-AB0F-1BFB69053935}"/>
                </c:ext>
              </c:extLst>
            </c:dLbl>
            <c:dLbl>
              <c:idx val="2"/>
              <c:layout>
                <c:manualLayout>
                  <c:x val="0"/>
                  <c:y val="-0.1544522863306624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F58-4B5C-AB0F-1BFB69053935}"/>
                </c:ext>
              </c:extLst>
            </c:dLbl>
            <c:dLbl>
              <c:idx val="3"/>
              <c:layout>
                <c:manualLayout>
                  <c:x val="0"/>
                  <c:y val="-7.249776375526299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F58-4B5C-AB0F-1BFB69053935}"/>
                </c:ext>
              </c:extLst>
            </c:dLbl>
            <c:dLbl>
              <c:idx val="4"/>
              <c:layout>
                <c:manualLayout>
                  <c:x val="3.2871080528064549E-3"/>
                  <c:y val="-7.565009942726322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F58-4B5C-AB0F-1BFB69053935}"/>
                </c:ext>
              </c:extLst>
            </c:dLbl>
            <c:dLbl>
              <c:idx val="5"/>
              <c:layout>
                <c:manualLayout>
                  <c:x val="1.6435540264032424E-3"/>
                  <c:y val="-5.673757457044753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F58-4B5C-AB0F-1BFB69053935}"/>
                </c:ext>
              </c:extLst>
            </c:dLbl>
            <c:dLbl>
              <c:idx val="6"/>
              <c:layout>
                <c:manualLayout>
                  <c:x val="1.6435540264032424E-3"/>
                  <c:y val="-0.1418439364261185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F58-4B5C-AB0F-1BFB69053935}"/>
                </c:ext>
              </c:extLst>
            </c:dLbl>
            <c:dLbl>
              <c:idx val="7"/>
              <c:layout>
                <c:manualLayout>
                  <c:x val="1.6435540264031821E-3"/>
                  <c:y val="-3.467296223749564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DF58-4B5C-AB0F-1BFB69053935}"/>
                </c:ext>
              </c:extLst>
            </c:dLbl>
            <c:dLbl>
              <c:idx val="8"/>
              <c:layout>
                <c:manualLayout>
                  <c:x val="1.6435540264032424E-3"/>
                  <c:y val="-0.4223797218022196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DF58-4B5C-AB0F-1BFB69053935}"/>
                </c:ext>
              </c:extLst>
            </c:dLbl>
            <c:dLbl>
              <c:idx val="9"/>
              <c:layout>
                <c:manualLayout>
                  <c:x val="-1.2052590294405543E-16"/>
                  <c:y val="-4.097713718976769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DF58-4B5C-AB0F-1BFB69053935}"/>
                </c:ext>
              </c:extLst>
            </c:dLbl>
            <c:dLbl>
              <c:idx val="10"/>
              <c:layout>
                <c:manualLayout>
                  <c:x val="1.6435540264032424E-3"/>
                  <c:y val="-0.116627236617030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DF58-4B5C-AB0F-1BFB69053935}"/>
                </c:ext>
              </c:extLst>
            </c:dLbl>
            <c:dLbl>
              <c:idx val="11"/>
              <c:layout>
                <c:manualLayout>
                  <c:x val="0"/>
                  <c:y val="-3.152087476135967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DF58-4B5C-AB0F-1BFB69053935}"/>
                </c:ext>
              </c:extLst>
            </c:dLbl>
            <c:dLbl>
              <c:idx val="12"/>
              <c:layout>
                <c:manualLayout>
                  <c:x val="-1.643554026403363E-3"/>
                  <c:y val="-8.195427437953527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DF58-4B5C-AB0F-1BFB69053935}"/>
                </c:ext>
              </c:extLst>
            </c:dLbl>
            <c:dLbl>
              <c:idx val="13"/>
              <c:layout>
                <c:manualLayout>
                  <c:x val="0"/>
                  <c:y val="-0.1355397614738466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DF58-4B5C-AB0F-1BFB69053935}"/>
                </c:ext>
              </c:extLst>
            </c:dLbl>
            <c:dLbl>
              <c:idx val="14"/>
              <c:layout>
                <c:manualLayout>
                  <c:x val="1.6435540264032424E-3"/>
                  <c:y val="-0.3561858848033643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DF58-4B5C-AB0F-1BFB69053935}"/>
                </c:ext>
              </c:extLst>
            </c:dLbl>
            <c:dLbl>
              <c:idx val="15"/>
              <c:layout>
                <c:manualLayout>
                  <c:x val="1.6435540264032424E-3"/>
                  <c:y val="-5.673757457044753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77E3-48E2-9CD8-270ACE34747F}"/>
                </c:ext>
              </c:extLst>
            </c:dLbl>
            <c:dLbl>
              <c:idx val="16"/>
              <c:layout>
                <c:manualLayout>
                  <c:x val="-1.2052590294405543E-16"/>
                  <c:y val="-0.1418439364261185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DF58-4B5C-AB0F-1BFB69053935}"/>
                </c:ext>
              </c:extLst>
            </c:dLbl>
            <c:dLbl>
              <c:idx val="17"/>
              <c:layout>
                <c:manualLayout>
                  <c:x val="1.6435540264032424E-3"/>
                  <c:y val="-0.1828210736158861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DF58-4B5C-AB0F-1BFB69053935}"/>
                </c:ext>
              </c:extLst>
            </c:dLbl>
            <c:dLbl>
              <c:idx val="18"/>
              <c:layout>
                <c:manualLayout>
                  <c:x val="0"/>
                  <c:y val="-0.2080377734249738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77E3-48E2-9CD8-270ACE34747F}"/>
                </c:ext>
              </c:extLst>
            </c:dLbl>
            <c:dLbl>
              <c:idx val="19"/>
              <c:layout>
                <c:manualLayout>
                  <c:x val="-1.2052590294405543E-16"/>
                  <c:y val="-8.19542743795351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77E3-48E2-9CD8-270ACE34747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'Performance by Goal'!$C$2:$C$23</c:f>
              <c:strCache>
                <c:ptCount val="20"/>
                <c:pt idx="0">
                  <c:v>Goal 1</c:v>
                </c:pt>
                <c:pt idx="1">
                  <c:v>Goal 2</c:v>
                </c:pt>
                <c:pt idx="2">
                  <c:v>Goal 3</c:v>
                </c:pt>
                <c:pt idx="3">
                  <c:v>Goal 4</c:v>
                </c:pt>
                <c:pt idx="4">
                  <c:v>Goal 5</c:v>
                </c:pt>
                <c:pt idx="5">
                  <c:v>Goal 6</c:v>
                </c:pt>
                <c:pt idx="6">
                  <c:v>Goal 7</c:v>
                </c:pt>
                <c:pt idx="7">
                  <c:v>Goal 8</c:v>
                </c:pt>
                <c:pt idx="8">
                  <c:v>Goal 9</c:v>
                </c:pt>
                <c:pt idx="9">
                  <c:v>Goal 10</c:v>
                </c:pt>
                <c:pt idx="10">
                  <c:v>Goal 11</c:v>
                </c:pt>
                <c:pt idx="11">
                  <c:v>Goal 12</c:v>
                </c:pt>
                <c:pt idx="12">
                  <c:v>Goal 13</c:v>
                </c:pt>
                <c:pt idx="13">
                  <c:v>Goal 14</c:v>
                </c:pt>
                <c:pt idx="14">
                  <c:v>Goal 15</c:v>
                </c:pt>
                <c:pt idx="15">
                  <c:v>Goal 16</c:v>
                </c:pt>
                <c:pt idx="16">
                  <c:v>Goal 17</c:v>
                </c:pt>
                <c:pt idx="17">
                  <c:v>Goal 18</c:v>
                </c:pt>
                <c:pt idx="18">
                  <c:v>Goal 19</c:v>
                </c:pt>
                <c:pt idx="19">
                  <c:v>Goal 20</c:v>
                </c:pt>
              </c:strCache>
            </c:strRef>
          </c:cat>
          <c:val>
            <c:numRef>
              <c:f>'Performance by Goal'!$E$2:$E$23</c:f>
              <c:numCache>
                <c:formatCode>0%</c:formatCode>
                <c:ptCount val="20"/>
                <c:pt idx="0">
                  <c:v>0.60448346529768848</c:v>
                </c:pt>
                <c:pt idx="1">
                  <c:v>0.26209805863809033</c:v>
                </c:pt>
                <c:pt idx="2">
                  <c:v>0.32271587672514934</c:v>
                </c:pt>
                <c:pt idx="3">
                  <c:v>0.11712865785509866</c:v>
                </c:pt>
                <c:pt idx="4">
                  <c:v>0.1250018200002912</c:v>
                </c:pt>
                <c:pt idx="5">
                  <c:v>6.25E-2</c:v>
                </c:pt>
                <c:pt idx="6">
                  <c:v>0.28566358470617353</c:v>
                </c:pt>
                <c:pt idx="7">
                  <c:v>0</c:v>
                </c:pt>
                <c:pt idx="8">
                  <c:v>0.91666666666666663</c:v>
                </c:pt>
                <c:pt idx="9">
                  <c:v>3.8264150354578703E-2</c:v>
                </c:pt>
                <c:pt idx="10">
                  <c:v>0.2078373015873016</c:v>
                </c:pt>
                <c:pt idx="11">
                  <c:v>0</c:v>
                </c:pt>
                <c:pt idx="12">
                  <c:v>0.125</c:v>
                </c:pt>
                <c:pt idx="13">
                  <c:v>0.25</c:v>
                </c:pt>
                <c:pt idx="14">
                  <c:v>0.75</c:v>
                </c:pt>
                <c:pt idx="15">
                  <c:v>6.3606194690265488E-2</c:v>
                </c:pt>
                <c:pt idx="16">
                  <c:v>0.26896491293358338</c:v>
                </c:pt>
                <c:pt idx="17">
                  <c:v>0.37318353416765832</c:v>
                </c:pt>
                <c:pt idx="18">
                  <c:v>0.44717261904761901</c:v>
                </c:pt>
                <c:pt idx="19">
                  <c:v>0.15491358939192054</c:v>
                </c:pt>
              </c:numCache>
            </c:numRef>
          </c:val>
          <c:extLst>
            <c:ext xmlns:c16="http://schemas.microsoft.com/office/drawing/2014/chart" uri="{C3380CC4-5D6E-409C-BE32-E72D297353CC}">
              <c16:uniqueId val="{00000022-77E3-48E2-9CD8-270ACE34747F}"/>
            </c:ext>
          </c:extLst>
        </c:ser>
        <c:dLbls>
          <c:showLegendKey val="0"/>
          <c:showVal val="0"/>
          <c:showCatName val="0"/>
          <c:showSerName val="0"/>
          <c:showPercent val="0"/>
          <c:showBubbleSize val="0"/>
        </c:dLbls>
        <c:gapWidth val="150"/>
        <c:overlap val="100"/>
        <c:axId val="2052780656"/>
        <c:axId val="2051166640"/>
      </c:barChart>
      <c:catAx>
        <c:axId val="2052780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1166640"/>
        <c:crosses val="autoZero"/>
        <c:auto val="1"/>
        <c:lblAlgn val="ctr"/>
        <c:lblOffset val="100"/>
        <c:noMultiLvlLbl val="0"/>
      </c:catAx>
      <c:valAx>
        <c:axId val="20511666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2052780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133349</xdr:colOff>
      <xdr:row>10</xdr:row>
      <xdr:rowOff>123824</xdr:rowOff>
    </xdr:from>
    <xdr:to>
      <xdr:col>2</xdr:col>
      <xdr:colOff>404811</xdr:colOff>
      <xdr:row>33</xdr:row>
      <xdr:rowOff>47625</xdr:rowOff>
    </xdr:to>
    <xdr:graphicFrame macro="">
      <xdr:nvGraphicFramePr>
        <xdr:cNvPr id="3" name="Chart 2">
          <a:extLst>
            <a:ext uri="{FF2B5EF4-FFF2-40B4-BE49-F238E27FC236}">
              <a16:creationId xmlns:a16="http://schemas.microsoft.com/office/drawing/2014/main" id="{FDC33054-816A-4312-B67C-1D671D5113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130967</xdr:colOff>
      <xdr:row>1</xdr:row>
      <xdr:rowOff>33337</xdr:rowOff>
    </xdr:from>
    <xdr:to>
      <xdr:col>15</xdr:col>
      <xdr:colOff>347662</xdr:colOff>
      <xdr:row>15</xdr:row>
      <xdr:rowOff>185738</xdr:rowOff>
    </xdr:to>
    <xdr:graphicFrame macro="">
      <xdr:nvGraphicFramePr>
        <xdr:cNvPr id="2" name="Chart 1">
          <a:extLst>
            <a:ext uri="{FF2B5EF4-FFF2-40B4-BE49-F238E27FC236}">
              <a16:creationId xmlns:a16="http://schemas.microsoft.com/office/drawing/2014/main" id="{FFEA0A31-29D2-4AD0-86B5-E9F1425171C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E6453-5B53-4B7A-8243-4114A4C9C88E}">
  <dimension ref="A1:B10"/>
  <sheetViews>
    <sheetView topLeftCell="A13" workbookViewId="0">
      <selection activeCell="D26" sqref="D26"/>
    </sheetView>
  </sheetViews>
  <sheetFormatPr defaultRowHeight="14.25" x14ac:dyDescent="0.45"/>
  <cols>
    <col min="1" max="1" width="91.46484375" customWidth="1"/>
    <col min="2" max="2" width="12.33203125" customWidth="1"/>
  </cols>
  <sheetData>
    <row r="1" spans="1:2" x14ac:dyDescent="0.45">
      <c r="A1" t="s">
        <v>370</v>
      </c>
      <c r="B1" t="s">
        <v>340</v>
      </c>
    </row>
    <row r="3" spans="1:2" x14ac:dyDescent="0.45">
      <c r="A3" t="s">
        <v>371</v>
      </c>
      <c r="B3" t="s">
        <v>341</v>
      </c>
    </row>
    <row r="4" spans="1:2" x14ac:dyDescent="0.45">
      <c r="A4" s="532" t="s">
        <v>456</v>
      </c>
      <c r="B4" s="533">
        <f>'Initial Analysis Table'!E2</f>
        <v>0.27832869728193038</v>
      </c>
    </row>
    <row r="5" spans="1:2" ht="24" x14ac:dyDescent="0.45">
      <c r="A5" s="532" t="s">
        <v>457</v>
      </c>
      <c r="B5" s="533">
        <f>'Initial Analysis Table'!E10</f>
        <v>0.31831027234041515</v>
      </c>
    </row>
    <row r="6" spans="1:2" x14ac:dyDescent="0.45">
      <c r="A6" s="532" t="s">
        <v>458</v>
      </c>
      <c r="B6" s="533">
        <f>'Initial Analysis Table'!E14</f>
        <v>0.1039186507936508</v>
      </c>
    </row>
    <row r="7" spans="1:2" x14ac:dyDescent="0.45">
      <c r="A7" s="532" t="s">
        <v>459</v>
      </c>
      <c r="B7" s="533">
        <f>'Initial Analysis Table'!E17</f>
        <v>0.375</v>
      </c>
    </row>
    <row r="8" spans="1:2" x14ac:dyDescent="0.45">
      <c r="A8" s="532" t="s">
        <v>460</v>
      </c>
      <c r="B8" s="533">
        <f>'Initial Analysis Table'!E21</f>
        <v>6.3606194690265488E-2</v>
      </c>
    </row>
    <row r="9" spans="1:2" x14ac:dyDescent="0.45">
      <c r="A9" s="532" t="s">
        <v>461</v>
      </c>
      <c r="B9" s="533">
        <f>'Initial Analysis Table'!E23</f>
        <v>0.30370445334494173</v>
      </c>
    </row>
    <row r="10" spans="1:2" x14ac:dyDescent="0.45">
      <c r="A10" s="532" t="s">
        <v>462</v>
      </c>
      <c r="B10" s="533">
        <f>'Initial Analysis Table'!E26</f>
        <v>0.22797834680584517</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2EEC9-2C66-41F4-881A-BF0C6BD80901}">
  <dimension ref="A1:AA168"/>
  <sheetViews>
    <sheetView topLeftCell="B1" zoomScale="50" zoomScaleNormal="50" workbookViewId="0">
      <selection activeCell="I14" sqref="I14"/>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793"/>
      <c r="R1" s="3"/>
      <c r="S1" s="4"/>
      <c r="U1" s="794"/>
      <c r="V1" s="794"/>
      <c r="W1" s="794"/>
      <c r="X1" s="794"/>
      <c r="Y1" s="794"/>
      <c r="Z1" s="794"/>
      <c r="AA1" s="794"/>
    </row>
    <row r="2" spans="1:27" ht="30" x14ac:dyDescent="1.1000000000000001">
      <c r="B2" s="795"/>
      <c r="C2" s="796"/>
      <c r="D2" s="797" t="s">
        <v>286</v>
      </c>
      <c r="E2" s="796"/>
      <c r="F2" s="798"/>
      <c r="G2" s="798"/>
      <c r="H2" s="798"/>
      <c r="I2" s="798"/>
      <c r="J2" s="798"/>
      <c r="K2" s="798"/>
      <c r="L2" s="798"/>
      <c r="M2" s="798"/>
      <c r="N2" s="798"/>
      <c r="O2" s="798"/>
      <c r="P2" s="798"/>
      <c r="Q2" s="796"/>
      <c r="R2" s="798"/>
      <c r="S2" s="6"/>
    </row>
    <row r="3" spans="1:27" ht="14.65" thickBot="1" x14ac:dyDescent="0.5">
      <c r="B3" s="799"/>
      <c r="C3" s="800"/>
      <c r="D3" s="800"/>
      <c r="E3" s="800"/>
      <c r="F3" s="801"/>
      <c r="G3" s="801"/>
      <c r="H3" s="801"/>
      <c r="I3" s="801"/>
      <c r="J3" s="801"/>
      <c r="K3" s="801"/>
      <c r="L3" s="801"/>
      <c r="M3" s="801"/>
      <c r="N3" s="801"/>
      <c r="O3" s="801"/>
      <c r="P3" s="801"/>
      <c r="Q3" s="800"/>
      <c r="R3" s="801"/>
      <c r="S3" s="7"/>
    </row>
    <row r="4" spans="1:27" ht="26.45" customHeight="1" thickBot="1" x14ac:dyDescent="0.5">
      <c r="B4" s="799"/>
      <c r="C4" s="800"/>
      <c r="D4" s="802" t="s">
        <v>195</v>
      </c>
      <c r="E4" s="800"/>
      <c r="F4" s="8" t="s">
        <v>248</v>
      </c>
      <c r="G4" s="801"/>
      <c r="H4" s="801"/>
      <c r="I4" s="801"/>
      <c r="J4" s="801"/>
      <c r="K4" s="1652" t="s">
        <v>556</v>
      </c>
      <c r="L4" s="1653"/>
      <c r="M4" s="1654"/>
      <c r="N4" s="803">
        <f>(N9+N46+N59+N69+N76+N79+N92)/7</f>
        <v>0.19711815653355683</v>
      </c>
      <c r="O4" s="804">
        <f>(O9+O46+O59+O69+O76+O79+O92)</f>
        <v>25.661793184239833</v>
      </c>
      <c r="P4" s="803">
        <f>O4/100</f>
        <v>0.25661793184239834</v>
      </c>
      <c r="Q4" s="800"/>
      <c r="R4" s="801"/>
      <c r="S4" s="7"/>
    </row>
    <row r="5" spans="1:27" ht="18.399999999999999" thickBot="1" x14ac:dyDescent="0.6">
      <c r="B5" s="1655"/>
      <c r="C5" s="1656"/>
      <c r="D5" s="1656"/>
      <c r="E5" s="1656"/>
      <c r="F5" s="1656"/>
      <c r="G5" s="1656"/>
      <c r="H5" s="1656"/>
      <c r="I5" s="1656"/>
      <c r="J5" s="1656"/>
      <c r="K5" s="1656"/>
      <c r="L5" s="58"/>
      <c r="M5" s="805">
        <f>100/28</f>
        <v>3.5714285714285716</v>
      </c>
      <c r="N5" s="9"/>
      <c r="O5" s="561"/>
      <c r="P5" s="561"/>
      <c r="Q5" s="806"/>
      <c r="R5" s="9"/>
      <c r="S5" s="10"/>
    </row>
    <row r="6" spans="1:27" ht="33.6" customHeight="1" thickBot="1" x14ac:dyDescent="0.5">
      <c r="B6" s="1657"/>
      <c r="C6" s="1658"/>
      <c r="D6" s="1658"/>
      <c r="E6" s="1658"/>
      <c r="F6" s="1659"/>
      <c r="G6" s="807"/>
      <c r="H6" s="807"/>
      <c r="I6" s="807"/>
      <c r="J6" s="807"/>
      <c r="K6" s="807"/>
      <c r="L6" s="807"/>
      <c r="M6" s="807"/>
      <c r="N6" s="808"/>
      <c r="O6" s="809"/>
      <c r="P6" s="809"/>
      <c r="Q6" s="808"/>
      <c r="R6" s="12"/>
      <c r="S6" s="13"/>
    </row>
    <row r="7" spans="1:27" ht="55.8" customHeight="1" thickBot="1" x14ac:dyDescent="0.5">
      <c r="B7" s="1660"/>
      <c r="C7" s="1661"/>
      <c r="D7" s="1661"/>
      <c r="E7" s="1661"/>
      <c r="F7" s="1662"/>
      <c r="G7" s="810"/>
      <c r="H7" s="811" t="s">
        <v>218</v>
      </c>
      <c r="I7" s="812" t="s">
        <v>219</v>
      </c>
      <c r="J7" s="813" t="s">
        <v>91</v>
      </c>
      <c r="K7" s="814" t="s">
        <v>107</v>
      </c>
      <c r="L7" s="814" t="s">
        <v>104</v>
      </c>
      <c r="M7" s="814" t="s">
        <v>105</v>
      </c>
      <c r="N7" s="812" t="s">
        <v>106</v>
      </c>
      <c r="O7" s="812" t="s">
        <v>464</v>
      </c>
      <c r="P7" s="815" t="s">
        <v>465</v>
      </c>
      <c r="Q7" s="816" t="s">
        <v>93</v>
      </c>
      <c r="R7" s="817" t="s">
        <v>110</v>
      </c>
      <c r="S7" s="818" t="s">
        <v>103</v>
      </c>
    </row>
    <row r="8" spans="1:27" ht="25.25" customHeight="1" thickBot="1" x14ac:dyDescent="0.5">
      <c r="B8" s="819" t="s">
        <v>2</v>
      </c>
      <c r="C8" s="819" t="s">
        <v>92</v>
      </c>
      <c r="D8" s="819" t="s">
        <v>3</v>
      </c>
      <c r="E8" s="819" t="s">
        <v>94</v>
      </c>
      <c r="F8" s="819" t="s">
        <v>102</v>
      </c>
      <c r="G8" s="819" t="s">
        <v>96</v>
      </c>
      <c r="H8" s="820"/>
      <c r="I8" s="821"/>
      <c r="J8" s="820"/>
      <c r="K8" s="822"/>
      <c r="L8" s="822"/>
      <c r="M8" s="819"/>
      <c r="N8" s="823"/>
      <c r="O8" s="824"/>
      <c r="P8" s="825"/>
      <c r="Q8" s="821"/>
      <c r="R8" s="823"/>
      <c r="S8" s="823"/>
      <c r="V8" s="826" t="s">
        <v>151</v>
      </c>
      <c r="W8" s="827"/>
      <c r="X8" s="827"/>
      <c r="Y8" s="827"/>
      <c r="Z8" s="828"/>
    </row>
    <row r="9" spans="1:27" s="168" customFormat="1" ht="25.25" customHeight="1" thickBot="1" x14ac:dyDescent="0.5">
      <c r="B9" s="1663" t="s">
        <v>0</v>
      </c>
      <c r="C9" s="1664"/>
      <c r="D9" s="1664"/>
      <c r="E9" s="1664"/>
      <c r="F9" s="1665"/>
      <c r="G9" s="829"/>
      <c r="H9" s="830"/>
      <c r="I9" s="831"/>
      <c r="J9" s="832"/>
      <c r="K9" s="832"/>
      <c r="L9" s="832"/>
      <c r="M9" s="829"/>
      <c r="N9" s="833">
        <f>(N10+N18+N23+N32+N37+N40+N43)/7</f>
        <v>0.1925708038651647</v>
      </c>
      <c r="O9" s="834">
        <f>(O10+O18+O23+O32+O37+O40+O43)</f>
        <v>10.897855328770579</v>
      </c>
      <c r="P9" s="835">
        <f>O9/42.857136</f>
        <v>0.25428333168997991</v>
      </c>
      <c r="Q9" s="832"/>
      <c r="R9" s="836"/>
      <c r="S9" s="836"/>
      <c r="U9" s="837"/>
      <c r="V9" s="838"/>
      <c r="W9" s="839"/>
      <c r="X9" s="839"/>
      <c r="Y9" s="839"/>
      <c r="Z9" s="840"/>
      <c r="AA9" s="837"/>
    </row>
    <row r="10" spans="1:27" s="92" customFormat="1" ht="25.25" customHeight="1" thickBot="1" x14ac:dyDescent="0.5">
      <c r="B10" s="1666" t="s">
        <v>1</v>
      </c>
      <c r="C10" s="1667"/>
      <c r="D10" s="1667"/>
      <c r="E10" s="1667"/>
      <c r="F10" s="1668"/>
      <c r="G10" s="841"/>
      <c r="H10" s="842"/>
      <c r="I10" s="843"/>
      <c r="J10" s="844"/>
      <c r="K10" s="844"/>
      <c r="L10" s="844"/>
      <c r="M10" s="841"/>
      <c r="N10" s="833">
        <f>(N11+N13+N15)/3</f>
        <v>1.7059187105276461</v>
      </c>
      <c r="O10" s="834">
        <f>(O11+O13+O15)</f>
        <v>7.889055584260336</v>
      </c>
      <c r="P10" s="835">
        <f>O10/10.714284</f>
        <v>0.73631197234088031</v>
      </c>
      <c r="Q10" s="844"/>
      <c r="R10" s="845"/>
      <c r="S10" s="845"/>
      <c r="U10" s="846"/>
      <c r="V10" s="847"/>
      <c r="W10" s="848"/>
      <c r="X10" s="848"/>
      <c r="Y10" s="848"/>
      <c r="Z10" s="849"/>
      <c r="AA10" s="846"/>
    </row>
    <row r="11" spans="1:27" ht="27.6" customHeight="1" thickBot="1" x14ac:dyDescent="0.5">
      <c r="A11" s="1669">
        <v>1</v>
      </c>
      <c r="B11" s="1680" t="s">
        <v>4</v>
      </c>
      <c r="C11" s="1682">
        <f>M5</f>
        <v>3.5714285714285716</v>
      </c>
      <c r="D11" s="850" t="s">
        <v>111</v>
      </c>
      <c r="E11" s="851">
        <f>$C$11/2</f>
        <v>1.7857142857142858</v>
      </c>
      <c r="F11" s="852" t="s">
        <v>5</v>
      </c>
      <c r="G11" s="853">
        <f>E11/1</f>
        <v>1.7857142857142858</v>
      </c>
      <c r="H11" s="854">
        <v>31.4</v>
      </c>
      <c r="I11" s="855">
        <v>19.7</v>
      </c>
      <c r="J11" s="856">
        <f>(H11-I11)</f>
        <v>11.7</v>
      </c>
      <c r="K11" s="857">
        <f>(0.3*I11)*6/10</f>
        <v>3.5459999999999994</v>
      </c>
      <c r="L11" s="858">
        <f>I11+K11</f>
        <v>23.245999999999999</v>
      </c>
      <c r="M11" s="859">
        <f>IF(K11&lt;&gt;0,J11/K11,"0%")</f>
        <v>3.2994923857868024</v>
      </c>
      <c r="N11" s="1674">
        <f>(((G11/C11)*M11)+((G12/C11)*M12))</f>
        <v>1.6497461928934012</v>
      </c>
      <c r="O11" s="1699">
        <f>IF((((G11/C11)*M11)+((G12/C11)*M12))&gt;=1,3.57148,IF((((G11/C11)*M11)+((G12/C11)*M12))&lt;=0,0, (((G11/C11)*M11)+((G12/C11)*M12))*3.571428))</f>
        <v>3.5714800000000002</v>
      </c>
      <c r="P11" s="1678">
        <f>O11/3.571428</f>
        <v>1.0000145600023296</v>
      </c>
      <c r="Q11" s="860" t="s">
        <v>97</v>
      </c>
      <c r="R11" s="209" t="s">
        <v>505</v>
      </c>
      <c r="S11" s="196"/>
      <c r="V11" s="861" t="s">
        <v>109</v>
      </c>
      <c r="W11" s="862" t="e">
        <f>#REF!</f>
        <v>#REF!</v>
      </c>
      <c r="X11" s="863"/>
      <c r="Y11" s="863"/>
      <c r="Z11" s="864"/>
    </row>
    <row r="12" spans="1:27" ht="27" customHeight="1" thickBot="1" x14ac:dyDescent="0.5">
      <c r="A12" s="1669"/>
      <c r="B12" s="1681"/>
      <c r="C12" s="1683"/>
      <c r="D12" s="865" t="s">
        <v>112</v>
      </c>
      <c r="E12" s="866">
        <f>$C$11/2</f>
        <v>1.7857142857142858</v>
      </c>
      <c r="F12" s="867" t="s">
        <v>281</v>
      </c>
      <c r="G12" s="868">
        <f>E12/1</f>
        <v>1.7857142857142858</v>
      </c>
      <c r="H12" s="869"/>
      <c r="I12" s="870">
        <v>20.7</v>
      </c>
      <c r="J12" s="871">
        <f>I12-H12</f>
        <v>20.7</v>
      </c>
      <c r="K12" s="872">
        <f>(0.25*I12)*(6/10)</f>
        <v>3.105</v>
      </c>
      <c r="L12" s="873">
        <f>I12-K12</f>
        <v>17.594999999999999</v>
      </c>
      <c r="M12" s="874" t="str">
        <f>IF(H12=0,"0%",J12/K12)</f>
        <v>0%</v>
      </c>
      <c r="N12" s="1675"/>
      <c r="O12" s="1800"/>
      <c r="P12" s="1679"/>
      <c r="Q12" s="875" t="s">
        <v>98</v>
      </c>
      <c r="R12" s="197" t="s">
        <v>506</v>
      </c>
      <c r="S12" s="198"/>
      <c r="V12" s="876">
        <v>0.02</v>
      </c>
      <c r="W12" s="877" t="e">
        <f>(W11-(W11*V12))</f>
        <v>#REF!</v>
      </c>
      <c r="X12" s="877" t="e">
        <f>W11-(V12*W11)</f>
        <v>#REF!</v>
      </c>
      <c r="Y12" s="863"/>
      <c r="Z12" s="864"/>
    </row>
    <row r="13" spans="1:27" ht="32.450000000000003" customHeight="1" thickBot="1" x14ac:dyDescent="0.5">
      <c r="A13" s="1669">
        <v>2</v>
      </c>
      <c r="B13" s="1670" t="s">
        <v>6</v>
      </c>
      <c r="C13" s="1672">
        <f>M5</f>
        <v>3.5714285714285716</v>
      </c>
      <c r="D13" s="878" t="s">
        <v>273</v>
      </c>
      <c r="E13" s="879">
        <f>$C$13/2</f>
        <v>1.7857142857142858</v>
      </c>
      <c r="F13" s="880" t="s">
        <v>7</v>
      </c>
      <c r="G13" s="881">
        <f>E13/1</f>
        <v>1.7857142857142858</v>
      </c>
      <c r="H13" s="882"/>
      <c r="I13" s="883">
        <v>14.9</v>
      </c>
      <c r="J13" s="884">
        <f>IF(I13=H13,(5-H13),I13-H13)</f>
        <v>14.9</v>
      </c>
      <c r="K13" s="885">
        <f>IF(I13&lt;=5,0,((I13-5)*(6/10)))</f>
        <v>5.94</v>
      </c>
      <c r="L13" s="886">
        <f>I13-K13</f>
        <v>8.9600000000000009</v>
      </c>
      <c r="M13" s="874" t="str">
        <f>IF(H13=0,"0%",J13/K13)</f>
        <v>0%</v>
      </c>
      <c r="N13" s="1674">
        <f>(((G13/C13)*M13)+((G14/C13)*M14))</f>
        <v>0.20892135702031106</v>
      </c>
      <c r="O13" s="1699">
        <f>IF((((G13/C13)*M13)+((G14/C13)*M14))&gt;=1,3.57148,IF((((G13/C13)*M13)+((G14/C13)*M14))&lt;=0,0, (((G13/C13)*M13)+((G14/C13)*M14))*3.571428))</f>
        <v>0.74614758426033545</v>
      </c>
      <c r="P13" s="1678">
        <f>O13/3.571428</f>
        <v>0.20892135702031106</v>
      </c>
      <c r="Q13" s="888" t="s">
        <v>99</v>
      </c>
      <c r="R13" s="207" t="s">
        <v>507</v>
      </c>
      <c r="S13" s="200"/>
      <c r="V13" s="876">
        <v>0.02</v>
      </c>
      <c r="W13" s="877" t="e">
        <f>(#REF!-(#REF!*V13))</f>
        <v>#REF!</v>
      </c>
      <c r="X13" s="877" t="e">
        <f>(W11-(V12*W11))-((W11-(V12*W11))*0.02)-(((W11-(V12*W11))-((W11-(V12*W11))*0.02))*0.02)-(((W11-(V12*W11))-((W11-(V12*W11))*0.02)-(((W11-(V12*W11))-((W11-(V12*W11))*0.02))*0.02))*0.02)</f>
        <v>#REF!</v>
      </c>
      <c r="Y13" s="889" t="e">
        <f>(W11-W14)/W11</f>
        <v>#REF!</v>
      </c>
      <c r="Z13" s="864"/>
    </row>
    <row r="14" spans="1:27" ht="33" customHeight="1" thickBot="1" x14ac:dyDescent="0.5">
      <c r="A14" s="1669"/>
      <c r="B14" s="1671"/>
      <c r="C14" s="1673"/>
      <c r="D14" s="865" t="s">
        <v>274</v>
      </c>
      <c r="E14" s="890">
        <f>$C$13/2</f>
        <v>1.7857142857142858</v>
      </c>
      <c r="F14" s="891" t="s">
        <v>8</v>
      </c>
      <c r="G14" s="892">
        <f>E14/1</f>
        <v>1.7857142857142858</v>
      </c>
      <c r="H14" s="893">
        <v>51.7</v>
      </c>
      <c r="I14" s="894">
        <v>36.6</v>
      </c>
      <c r="J14" s="895">
        <f>H14-I14</f>
        <v>15.100000000000001</v>
      </c>
      <c r="K14" s="896">
        <f>(0.95*(100-I14))*6/10</f>
        <v>36.137999999999998</v>
      </c>
      <c r="L14" s="897">
        <f>K14+I14</f>
        <v>72.738</v>
      </c>
      <c r="M14" s="898">
        <f>IF(K14&lt;&gt;0,J14/K14,"1%")</f>
        <v>0.41784271404062212</v>
      </c>
      <c r="N14" s="1675"/>
      <c r="O14" s="1800"/>
      <c r="P14" s="1679"/>
      <c r="Q14" s="899" t="s">
        <v>100</v>
      </c>
      <c r="R14" s="201" t="s">
        <v>508</v>
      </c>
      <c r="S14" s="202"/>
      <c r="V14" s="900">
        <v>0.02</v>
      </c>
      <c r="W14" s="901" t="e">
        <f>(#REF!-(#REF!*V14))</f>
        <v>#REF!</v>
      </c>
      <c r="X14" s="901"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02" t="e">
        <f>W11-X14</f>
        <v>#REF!</v>
      </c>
      <c r="Z14" s="903"/>
    </row>
    <row r="15" spans="1:27" ht="22.25" customHeight="1" x14ac:dyDescent="0.45">
      <c r="A15" s="1710">
        <v>3</v>
      </c>
      <c r="B15" s="1711" t="s">
        <v>9</v>
      </c>
      <c r="C15" s="1713">
        <f>M5</f>
        <v>3.5714285714285716</v>
      </c>
      <c r="D15" s="1711" t="s">
        <v>113</v>
      </c>
      <c r="E15" s="1713">
        <f>$C$15/1</f>
        <v>3.5714285714285716</v>
      </c>
      <c r="F15" s="904" t="s">
        <v>221</v>
      </c>
      <c r="G15" s="905">
        <f>$E$15/3</f>
        <v>1.1904761904761905</v>
      </c>
      <c r="H15" s="906">
        <v>22.2</v>
      </c>
      <c r="I15" s="907">
        <v>12.4</v>
      </c>
      <c r="J15" s="908">
        <f>H15-I15</f>
        <v>9.7999999999999989</v>
      </c>
      <c r="K15" s="909">
        <f>(0.5*I15)*6/10</f>
        <v>3.72</v>
      </c>
      <c r="L15" s="858">
        <f>I15+K15</f>
        <v>16.12</v>
      </c>
      <c r="M15" s="859">
        <f>IF(K15&lt;&gt;0,J15/K15,"0%")</f>
        <v>2.6344086021505371</v>
      </c>
      <c r="N15" s="1715">
        <f>(((G15/C15)*M15)+((G16/C15)*M16)+((G17/C15)*M17))</f>
        <v>3.2590885816692259</v>
      </c>
      <c r="O15" s="1702">
        <f>IF((((G15/C15)*M15)+((G16/C15)*M16)+((G17/C15)*M17))&gt;=1,3.571428,IF((((G15/C15)*M15)+((G16/C15)*M16)+((G17/C15)*M17))&lt;=0,0,(((G15/C15)*M15)+((G16/C15)*M16)+((G17/C15)*M17))*3.571428))</f>
        <v>3.571428</v>
      </c>
      <c r="P15" s="1678">
        <f>O15/3.571428</f>
        <v>1</v>
      </c>
      <c r="Q15" s="910" t="s">
        <v>101</v>
      </c>
      <c r="R15" s="201" t="s">
        <v>508</v>
      </c>
      <c r="S15" s="196"/>
    </row>
    <row r="16" spans="1:27" x14ac:dyDescent="0.45">
      <c r="A16" s="1710"/>
      <c r="B16" s="1711"/>
      <c r="C16" s="1713"/>
      <c r="D16" s="1711"/>
      <c r="E16" s="1713"/>
      <c r="F16" s="911" t="s">
        <v>220</v>
      </c>
      <c r="G16" s="912">
        <f t="shared" ref="G16:G17" si="0">$E$15/3</f>
        <v>1.1904761904761905</v>
      </c>
      <c r="H16" s="180"/>
      <c r="I16" s="181"/>
      <c r="J16" s="913">
        <f>H16-I16</f>
        <v>0</v>
      </c>
      <c r="K16" s="914">
        <f>(0.5*I16)*6/10</f>
        <v>0</v>
      </c>
      <c r="L16" s="915">
        <f t="shared" ref="L16:L17" si="1">I16+K16</f>
        <v>0</v>
      </c>
      <c r="M16" s="916" t="str">
        <f>IF(K16&lt;&gt;0,J16/K16,"0%")</f>
        <v>0%</v>
      </c>
      <c r="N16" s="1716"/>
      <c r="O16" s="1802"/>
      <c r="P16" s="1703"/>
      <c r="Q16" s="917" t="s">
        <v>95</v>
      </c>
      <c r="R16" s="203"/>
      <c r="S16" s="204" t="s">
        <v>509</v>
      </c>
    </row>
    <row r="17" spans="1:19" ht="25.25" customHeight="1" thickBot="1" x14ac:dyDescent="0.5">
      <c r="A17" s="1710"/>
      <c r="B17" s="1712"/>
      <c r="C17" s="1714"/>
      <c r="D17" s="1712"/>
      <c r="E17" s="1714"/>
      <c r="F17" s="918" t="s">
        <v>10</v>
      </c>
      <c r="G17" s="919">
        <f t="shared" si="0"/>
        <v>1.1904761904761905</v>
      </c>
      <c r="H17" s="94">
        <v>6.6</v>
      </c>
      <c r="I17" s="95">
        <v>2.1</v>
      </c>
      <c r="J17" s="920">
        <f>H17-I17</f>
        <v>4.5</v>
      </c>
      <c r="K17" s="921">
        <f>(0.5*I17)*6/10</f>
        <v>0.63000000000000012</v>
      </c>
      <c r="L17" s="873">
        <f t="shared" si="1"/>
        <v>2.7300000000000004</v>
      </c>
      <c r="M17" s="874">
        <f>IF(K17&lt;&gt;0,J17/K17,"0%")</f>
        <v>7.1428571428571415</v>
      </c>
      <c r="N17" s="1717"/>
      <c r="O17" s="1803"/>
      <c r="P17" s="1703"/>
      <c r="Q17" s="922" t="s">
        <v>162</v>
      </c>
      <c r="R17" s="201" t="s">
        <v>508</v>
      </c>
      <c r="S17" s="198"/>
    </row>
    <row r="18" spans="1:19" ht="21.4" thickBot="1" x14ac:dyDescent="0.7">
      <c r="A18" s="14"/>
      <c r="B18" s="1704" t="s">
        <v>11</v>
      </c>
      <c r="C18" s="1705"/>
      <c r="D18" s="1705"/>
      <c r="E18" s="1705"/>
      <c r="F18" s="1706"/>
      <c r="G18" s="923"/>
      <c r="H18" s="1204"/>
      <c r="I18" s="1204"/>
      <c r="J18" s="924"/>
      <c r="K18" s="924"/>
      <c r="L18" s="924"/>
      <c r="M18" s="925"/>
      <c r="N18" s="833">
        <f>N19</f>
        <v>0.59856162423272674</v>
      </c>
      <c r="O18" s="834">
        <f>O19</f>
        <v>2.1377197445102389</v>
      </c>
      <c r="P18" s="835">
        <f>O18/3.571428</f>
        <v>0.59856162423272674</v>
      </c>
      <c r="Q18" s="924"/>
      <c r="R18" s="255"/>
      <c r="S18" s="611"/>
    </row>
    <row r="19" spans="1:19" ht="34.25" customHeight="1" thickBot="1" x14ac:dyDescent="0.5">
      <c r="A19" s="1669">
        <v>4</v>
      </c>
      <c r="B19" s="1687" t="s">
        <v>12</v>
      </c>
      <c r="C19" s="1691">
        <f>M5</f>
        <v>3.5714285714285716</v>
      </c>
      <c r="D19" s="926" t="s">
        <v>114</v>
      </c>
      <c r="E19" s="853">
        <f>$C$19/4</f>
        <v>0.8928571428571429</v>
      </c>
      <c r="F19" s="927" t="s">
        <v>222</v>
      </c>
      <c r="G19" s="905">
        <f>E19/1</f>
        <v>0.8928571428571429</v>
      </c>
      <c r="H19" s="906"/>
      <c r="I19" s="907"/>
      <c r="J19" s="930">
        <f>H19-I19</f>
        <v>0</v>
      </c>
      <c r="K19" s="909">
        <f>(2*I19)*6/10</f>
        <v>0</v>
      </c>
      <c r="L19" s="931">
        <f t="shared" ref="L19:L22" si="2">K19+I19</f>
        <v>0</v>
      </c>
      <c r="M19" s="859" t="str">
        <f>IF(K19&lt;&gt;0,J19/K19,"0%")</f>
        <v>0%</v>
      </c>
      <c r="N19" s="1695">
        <f>(((G19/C19)*M19)+((G20/C19)*M20)+((G21/C19)*M21)+((G22/C19)*M22))</f>
        <v>0.59856162423272674</v>
      </c>
      <c r="O19" s="1699">
        <f>IF((((G19/C19)*M19)+((G20/C19)*M20)+((G21/C19)*M21)+((G22/C19)*M22))&gt;=1,3.571428,IF((((G19/C19)*M19)+((G20/C19)*M20)+((G21/C19)*M21)+((G22/C19)*M22))&lt;=0,0,((((G19/C19)*M19)+((G20/C19)*M20)+((G21/C19)*M21)+((G22/C19)*M22))*3.571428)))</f>
        <v>2.1377197445102389</v>
      </c>
      <c r="P19" s="1678">
        <f>O19/3.571428</f>
        <v>0.59856162423272674</v>
      </c>
      <c r="Q19" s="932" t="s">
        <v>163</v>
      </c>
      <c r="R19" s="631"/>
      <c r="S19" s="196" t="s">
        <v>509</v>
      </c>
    </row>
    <row r="20" spans="1:19" ht="39" customHeight="1" x14ac:dyDescent="0.45">
      <c r="A20" s="1669"/>
      <c r="B20" s="1688"/>
      <c r="C20" s="1692"/>
      <c r="D20" s="933" t="s">
        <v>152</v>
      </c>
      <c r="E20" s="934">
        <f>($C$19/4)</f>
        <v>0.8928571428571429</v>
      </c>
      <c r="F20" s="935" t="s">
        <v>265</v>
      </c>
      <c r="G20" s="912">
        <f>E20/1</f>
        <v>0.8928571428571429</v>
      </c>
      <c r="H20" s="101">
        <v>100.2</v>
      </c>
      <c r="I20" s="104">
        <v>95.1</v>
      </c>
      <c r="J20" s="936">
        <f t="shared" ref="J20:J24" si="3">H20-I20</f>
        <v>5.1000000000000085</v>
      </c>
      <c r="K20" s="914">
        <f>(100-I20)*(6/10)</f>
        <v>2.9400000000000035</v>
      </c>
      <c r="L20" s="937">
        <f t="shared" si="2"/>
        <v>98.039999999999992</v>
      </c>
      <c r="M20" s="859">
        <f>IF(K20&lt;&gt;0,J20/K20,"0%")</f>
        <v>1.7346938775510212</v>
      </c>
      <c r="N20" s="1696"/>
      <c r="O20" s="1801"/>
      <c r="P20" s="1703"/>
      <c r="Q20" s="938" t="s">
        <v>164</v>
      </c>
      <c r="R20" s="204" t="s">
        <v>510</v>
      </c>
      <c r="S20" s="204" t="s">
        <v>511</v>
      </c>
    </row>
    <row r="21" spans="1:19" ht="56.45" customHeight="1" x14ac:dyDescent="0.45">
      <c r="A21" s="1669"/>
      <c r="B21" s="1688"/>
      <c r="C21" s="1692"/>
      <c r="D21" s="933" t="s">
        <v>153</v>
      </c>
      <c r="E21" s="934">
        <f t="shared" ref="E21:E22" si="4">($C$19/4)</f>
        <v>0.8928571428571429</v>
      </c>
      <c r="F21" s="935" t="s">
        <v>155</v>
      </c>
      <c r="G21" s="912">
        <f>E21/1</f>
        <v>0.8928571428571429</v>
      </c>
      <c r="H21" s="101">
        <v>97.3</v>
      </c>
      <c r="I21" s="104">
        <v>87.3</v>
      </c>
      <c r="J21" s="936">
        <f t="shared" si="3"/>
        <v>10</v>
      </c>
      <c r="K21" s="914">
        <f>(0.3*I21)*6/10</f>
        <v>15.713999999999999</v>
      </c>
      <c r="L21" s="937">
        <f t="shared" si="2"/>
        <v>103.014</v>
      </c>
      <c r="M21" s="916">
        <f>IF(K21&lt;&gt;0,J21/K21,"0%")</f>
        <v>0.63637520682194226</v>
      </c>
      <c r="N21" s="1696"/>
      <c r="O21" s="1801"/>
      <c r="P21" s="1703"/>
      <c r="Q21" s="938" t="s">
        <v>165</v>
      </c>
      <c r="R21" s="204" t="s">
        <v>512</v>
      </c>
      <c r="S21" s="204" t="s">
        <v>513</v>
      </c>
    </row>
    <row r="22" spans="1:19" ht="36.6" customHeight="1" thickBot="1" x14ac:dyDescent="0.5">
      <c r="A22" s="1669"/>
      <c r="B22" s="1707"/>
      <c r="C22" s="1708"/>
      <c r="D22" s="891" t="s">
        <v>154</v>
      </c>
      <c r="E22" s="939">
        <f t="shared" si="4"/>
        <v>0.8928571428571429</v>
      </c>
      <c r="F22" s="940" t="s">
        <v>156</v>
      </c>
      <c r="G22" s="941">
        <f>E22/1</f>
        <v>0.8928571428571429</v>
      </c>
      <c r="H22" s="100">
        <v>22</v>
      </c>
      <c r="I22" s="107">
        <v>20.9</v>
      </c>
      <c r="J22" s="943">
        <f t="shared" si="3"/>
        <v>1.1000000000000014</v>
      </c>
      <c r="K22" s="921">
        <f>(100-I22)*(6/10)</f>
        <v>47.459999999999994</v>
      </c>
      <c r="L22" s="944">
        <f t="shared" si="2"/>
        <v>68.359999999999985</v>
      </c>
      <c r="M22" s="874">
        <f>IF(K22&lt;&gt;0,J22/K22,"100%")</f>
        <v>2.3177412557943564E-2</v>
      </c>
      <c r="N22" s="1709"/>
      <c r="O22" s="1800"/>
      <c r="P22" s="1679"/>
      <c r="Q22" s="945" t="s">
        <v>95</v>
      </c>
      <c r="R22" s="198" t="s">
        <v>510</v>
      </c>
      <c r="S22" s="198" t="s">
        <v>511</v>
      </c>
    </row>
    <row r="23" spans="1:19" ht="20.45" customHeight="1" thickBot="1" x14ac:dyDescent="0.5">
      <c r="B23" s="1684" t="s">
        <v>13</v>
      </c>
      <c r="C23" s="1685"/>
      <c r="D23" s="1685"/>
      <c r="E23" s="1685"/>
      <c r="F23" s="1686"/>
      <c r="G23" s="923"/>
      <c r="H23" s="1204"/>
      <c r="I23" s="1204"/>
      <c r="J23" s="946"/>
      <c r="K23" s="947"/>
      <c r="L23" s="947"/>
      <c r="M23" s="948"/>
      <c r="N23" s="833">
        <f>N24</f>
        <v>-0.55555555555555569</v>
      </c>
      <c r="O23" s="834">
        <f>O24</f>
        <v>0</v>
      </c>
      <c r="P23" s="835">
        <f>O23/3.571428</f>
        <v>0</v>
      </c>
      <c r="Q23" s="924"/>
      <c r="R23" s="255"/>
      <c r="S23" s="613"/>
    </row>
    <row r="24" spans="1:19" ht="36" customHeight="1" thickBot="1" x14ac:dyDescent="0.5">
      <c r="A24" s="1669">
        <v>5</v>
      </c>
      <c r="B24" s="1687" t="s">
        <v>14</v>
      </c>
      <c r="C24" s="1691">
        <f>M5</f>
        <v>3.5714285714285716</v>
      </c>
      <c r="D24" s="926" t="s">
        <v>115</v>
      </c>
      <c r="E24" s="853">
        <f>$C$24/4</f>
        <v>0.8928571428571429</v>
      </c>
      <c r="F24" s="926" t="s">
        <v>280</v>
      </c>
      <c r="G24" s="853">
        <f>E24/1</f>
        <v>0.8928571428571429</v>
      </c>
      <c r="H24" s="906"/>
      <c r="I24" s="907">
        <v>12.1</v>
      </c>
      <c r="J24" s="949">
        <f t="shared" si="3"/>
        <v>-12.1</v>
      </c>
      <c r="K24" s="909">
        <f>(0.3*I24)*6/10</f>
        <v>2.1779999999999999</v>
      </c>
      <c r="L24" s="931">
        <f>K24+I24</f>
        <v>14.277999999999999</v>
      </c>
      <c r="M24" s="874" t="str">
        <f>IF(H24=0,"0%",J24/K24)</f>
        <v>0%</v>
      </c>
      <c r="N24" s="1695">
        <f>(((G24/C24)*M24)+((G25/C24)*M25)+ ((G26/C24)*M26)+((G27/C24)*M27)+((G28/C24)*M28)+((G29/C24)*M29)+((G30/C24)*M30)+((G31/C24)*M31))</f>
        <v>-0.55555555555555569</v>
      </c>
      <c r="O24" s="1699">
        <f>IF((((G24/C24)*M24)+((G25/C24)*M25)+ ((G26/C24)*M26)+((G27/C24)*M27)+((G28/C24)*M28)+((G29/C24)*M29)+((G30/C24)*M30)+((G31/C24)*M31))&gt;=1,3.571428,IF((((G24/C24)*M24)+((G25/C24)*M25)+ ((G26/C24)*M26)+((G27/C24)*M27)+((G28/C24)*M28)+((G29/C24)*M29)+((G30/C24)*M30)+((G31/C24)*M31))&lt;=0,0,((((G24/C24)*M24)+((G25/C24)*M25)+ ((G26/C24)*M26)+((G27/C24)*M27)+((G28/C24)*M28)+((G29/C24)*M29)+((G30/C24)*M30)+((G31/C24)*M31))*3.571428)))</f>
        <v>0</v>
      </c>
      <c r="P24" s="1678">
        <f>O24/3.571428</f>
        <v>0</v>
      </c>
      <c r="Q24" s="950" t="s">
        <v>166</v>
      </c>
      <c r="R24" s="207" t="s">
        <v>514</v>
      </c>
      <c r="S24" s="196" t="s">
        <v>515</v>
      </c>
    </row>
    <row r="25" spans="1:19" ht="19.8" customHeight="1" thickBot="1" x14ac:dyDescent="0.5">
      <c r="A25" s="1669"/>
      <c r="B25" s="1688"/>
      <c r="C25" s="1692"/>
      <c r="D25" s="1721" t="s">
        <v>158</v>
      </c>
      <c r="E25" s="1723">
        <v>0.9</v>
      </c>
      <c r="F25" s="933" t="s">
        <v>15</v>
      </c>
      <c r="G25" s="934">
        <f>$E$25/3</f>
        <v>0.3</v>
      </c>
      <c r="H25" s="101"/>
      <c r="I25" s="104">
        <v>408</v>
      </c>
      <c r="J25" s="951">
        <f t="shared" ref="J25:J30" si="5">I25-H25</f>
        <v>408</v>
      </c>
      <c r="K25" s="914">
        <f>(0.5*I25)*6/10</f>
        <v>122.4</v>
      </c>
      <c r="L25" s="937">
        <f t="shared" ref="L25:L30" si="6">I25-K25</f>
        <v>285.60000000000002</v>
      </c>
      <c r="M25" s="874" t="str">
        <f>IF(H25=0,"0%",J25/K25)</f>
        <v>0%</v>
      </c>
      <c r="N25" s="1696"/>
      <c r="O25" s="1801"/>
      <c r="P25" s="1703"/>
      <c r="Q25" s="952" t="s">
        <v>167</v>
      </c>
      <c r="R25" s="207" t="s">
        <v>514</v>
      </c>
      <c r="S25" s="204" t="s">
        <v>516</v>
      </c>
    </row>
    <row r="26" spans="1:19" ht="19.8" customHeight="1" thickBot="1" x14ac:dyDescent="0.5">
      <c r="A26" s="1669"/>
      <c r="B26" s="1688"/>
      <c r="C26" s="1692"/>
      <c r="D26" s="1722"/>
      <c r="E26" s="1693"/>
      <c r="F26" s="933" t="s">
        <v>16</v>
      </c>
      <c r="G26" s="934">
        <f t="shared" ref="G26:G27" si="7">$E$25/3</f>
        <v>0.3</v>
      </c>
      <c r="H26" s="101"/>
      <c r="I26" s="104">
        <v>30</v>
      </c>
      <c r="J26" s="951">
        <f t="shared" si="5"/>
        <v>30</v>
      </c>
      <c r="K26" s="914">
        <f>(0.8*I26)*6/10</f>
        <v>14.4</v>
      </c>
      <c r="L26" s="937">
        <f t="shared" si="6"/>
        <v>15.6</v>
      </c>
      <c r="M26" s="874" t="str">
        <f>IF(H26=0,"0%",J26/K26)</f>
        <v>0%</v>
      </c>
      <c r="N26" s="1696"/>
      <c r="O26" s="1801"/>
      <c r="P26" s="1703"/>
      <c r="Q26" s="952" t="s">
        <v>168</v>
      </c>
      <c r="R26" s="207" t="s">
        <v>514</v>
      </c>
      <c r="S26" s="204" t="s">
        <v>517</v>
      </c>
    </row>
    <row r="27" spans="1:19" ht="19.8" customHeight="1" thickBot="1" x14ac:dyDescent="0.5">
      <c r="A27" s="1669"/>
      <c r="B27" s="1688"/>
      <c r="C27" s="1692"/>
      <c r="D27" s="1722"/>
      <c r="E27" s="1693"/>
      <c r="F27" s="933" t="s">
        <v>17</v>
      </c>
      <c r="G27" s="934">
        <f t="shared" si="7"/>
        <v>0.3</v>
      </c>
      <c r="H27" s="101"/>
      <c r="I27" s="104">
        <v>97</v>
      </c>
      <c r="J27" s="951">
        <f t="shared" si="5"/>
        <v>97</v>
      </c>
      <c r="K27" s="914">
        <f>(0.5*I27)*(6/10)</f>
        <v>29.099999999999998</v>
      </c>
      <c r="L27" s="937">
        <f t="shared" si="6"/>
        <v>67.900000000000006</v>
      </c>
      <c r="M27" s="874" t="str">
        <f>IF(H27=0,"0%",J27/K27)</f>
        <v>0%</v>
      </c>
      <c r="N27" s="1696"/>
      <c r="O27" s="1801"/>
      <c r="P27" s="1703"/>
      <c r="Q27" s="952" t="s">
        <v>169</v>
      </c>
      <c r="R27" s="207" t="s">
        <v>514</v>
      </c>
      <c r="S27" s="204" t="s">
        <v>518</v>
      </c>
    </row>
    <row r="28" spans="1:19" ht="30.6" customHeight="1" x14ac:dyDescent="0.45">
      <c r="A28" s="16"/>
      <c r="B28" s="1688"/>
      <c r="C28" s="1692"/>
      <c r="D28" s="1721" t="s">
        <v>116</v>
      </c>
      <c r="E28" s="1723">
        <f t="shared" ref="E28:E31" si="8">$C$24/4</f>
        <v>0.8928571428571429</v>
      </c>
      <c r="F28" s="933" t="s">
        <v>148</v>
      </c>
      <c r="G28" s="934">
        <f>$E$28/3</f>
        <v>0.29761904761904762</v>
      </c>
      <c r="H28" s="101">
        <v>6</v>
      </c>
      <c r="I28" s="104"/>
      <c r="J28" s="951">
        <f t="shared" si="5"/>
        <v>-6</v>
      </c>
      <c r="K28" s="914">
        <f>(0.5*I28)*(6/10)</f>
        <v>0</v>
      </c>
      <c r="L28" s="937">
        <f t="shared" si="6"/>
        <v>0</v>
      </c>
      <c r="M28" s="916" t="str">
        <f t="shared" ref="M28:M30" si="9">IF(K28&lt;&gt;0,J28/K28,"0%")</f>
        <v>0%</v>
      </c>
      <c r="N28" s="1697"/>
      <c r="O28" s="1801"/>
      <c r="P28" s="1703"/>
      <c r="Q28" s="952" t="s">
        <v>170</v>
      </c>
      <c r="R28" s="206" t="s">
        <v>519</v>
      </c>
      <c r="S28" s="204" t="s">
        <v>520</v>
      </c>
    </row>
    <row r="29" spans="1:19" ht="20.45" customHeight="1" x14ac:dyDescent="0.45">
      <c r="A29" s="16"/>
      <c r="B29" s="1688"/>
      <c r="C29" s="1692"/>
      <c r="D29" s="1722"/>
      <c r="E29" s="1693"/>
      <c r="F29" s="933" t="s">
        <v>149</v>
      </c>
      <c r="G29" s="934">
        <f t="shared" ref="G29:G30" si="10">$E$28/3</f>
        <v>0.29761904761904762</v>
      </c>
      <c r="H29" s="101"/>
      <c r="I29" s="104"/>
      <c r="J29" s="951">
        <f t="shared" si="5"/>
        <v>0</v>
      </c>
      <c r="K29" s="914">
        <f>(0.5*I29)*(6/10)</f>
        <v>0</v>
      </c>
      <c r="L29" s="937">
        <f t="shared" si="6"/>
        <v>0</v>
      </c>
      <c r="M29" s="916" t="str">
        <f t="shared" si="9"/>
        <v>0%</v>
      </c>
      <c r="N29" s="1697"/>
      <c r="O29" s="1801"/>
      <c r="P29" s="1703"/>
      <c r="Q29" s="952" t="s">
        <v>171</v>
      </c>
      <c r="R29" s="206"/>
      <c r="S29" s="204" t="s">
        <v>521</v>
      </c>
    </row>
    <row r="30" spans="1:19" ht="20.45" customHeight="1" x14ac:dyDescent="0.45">
      <c r="A30" s="16"/>
      <c r="B30" s="1689"/>
      <c r="C30" s="1693"/>
      <c r="D30" s="1722"/>
      <c r="E30" s="1693"/>
      <c r="F30" s="933" t="s">
        <v>150</v>
      </c>
      <c r="G30" s="934">
        <f t="shared" si="10"/>
        <v>0.29761904761904762</v>
      </c>
      <c r="H30" s="101">
        <v>40.200000000000003</v>
      </c>
      <c r="I30" s="104">
        <v>13.4</v>
      </c>
      <c r="J30" s="951">
        <f t="shared" si="5"/>
        <v>-26.800000000000004</v>
      </c>
      <c r="K30" s="914">
        <f>(0.5*I30)*(6/10)</f>
        <v>4.0199999999999996</v>
      </c>
      <c r="L30" s="937">
        <f t="shared" si="6"/>
        <v>9.3800000000000008</v>
      </c>
      <c r="M30" s="916">
        <f t="shared" si="9"/>
        <v>-6.6666666666666687</v>
      </c>
      <c r="N30" s="1697"/>
      <c r="O30" s="1801"/>
      <c r="P30" s="1703"/>
      <c r="Q30" s="952" t="s">
        <v>172</v>
      </c>
      <c r="R30" s="206" t="s">
        <v>522</v>
      </c>
      <c r="S30" s="204" t="s">
        <v>523</v>
      </c>
    </row>
    <row r="31" spans="1:19" ht="34.9" customHeight="1" thickBot="1" x14ac:dyDescent="0.5">
      <c r="A31" s="16"/>
      <c r="B31" s="1690"/>
      <c r="C31" s="1694"/>
      <c r="D31" s="953" t="s">
        <v>117</v>
      </c>
      <c r="E31" s="868">
        <f t="shared" si="8"/>
        <v>0.8928571428571429</v>
      </c>
      <c r="F31" s="954" t="s">
        <v>223</v>
      </c>
      <c r="G31" s="868">
        <f>E31/1</f>
        <v>0.8928571428571429</v>
      </c>
      <c r="H31" s="100">
        <v>79.599999999999994</v>
      </c>
      <c r="I31" s="107"/>
      <c r="J31" s="955">
        <f t="shared" ref="J31" si="11">H31-I31</f>
        <v>79.599999999999994</v>
      </c>
      <c r="K31" s="921">
        <f>(100-I31)*(6/10)</f>
        <v>60</v>
      </c>
      <c r="L31" s="944">
        <f>K31+I31</f>
        <v>60</v>
      </c>
      <c r="M31" s="874" t="str">
        <f>IF(I31=0,"0%",J31/K31)</f>
        <v>0%</v>
      </c>
      <c r="N31" s="1698"/>
      <c r="O31" s="1800"/>
      <c r="P31" s="1679"/>
      <c r="Q31" s="956" t="s">
        <v>95</v>
      </c>
      <c r="R31" s="208" t="s">
        <v>519</v>
      </c>
      <c r="S31" s="198" t="s">
        <v>520</v>
      </c>
    </row>
    <row r="32" spans="1:19" ht="20.45" customHeight="1" thickBot="1" x14ac:dyDescent="0.5">
      <c r="B32" s="1724" t="s">
        <v>18</v>
      </c>
      <c r="C32" s="1725"/>
      <c r="D32" s="1725"/>
      <c r="E32" s="1725"/>
      <c r="F32" s="1726"/>
      <c r="G32" s="923"/>
      <c r="H32" s="634"/>
      <c r="I32" s="635"/>
      <c r="J32" s="957"/>
      <c r="K32" s="958"/>
      <c r="L32" s="959"/>
      <c r="M32" s="960"/>
      <c r="N32" s="833">
        <f>(N33+N34+N35+N36)/4</f>
        <v>-6.759581881533086E-2</v>
      </c>
      <c r="O32" s="834">
        <f>(O33+O34+O35+O36)</f>
        <v>0.8710800000000023</v>
      </c>
      <c r="P32" s="835">
        <f>O32/14.285712</f>
        <v>6.0975609756097719E-2</v>
      </c>
      <c r="Q32" s="924"/>
      <c r="R32" s="250"/>
      <c r="S32" s="611"/>
    </row>
    <row r="33" spans="1:19" ht="33.6" customHeight="1" thickBot="1" x14ac:dyDescent="0.5">
      <c r="A33" s="16">
        <v>6</v>
      </c>
      <c r="B33" s="961" t="s">
        <v>19</v>
      </c>
      <c r="C33" s="962">
        <f>$M$5</f>
        <v>3.5714285714285716</v>
      </c>
      <c r="D33" s="963" t="s">
        <v>287</v>
      </c>
      <c r="E33" s="964">
        <f>C33/1</f>
        <v>3.5714285714285716</v>
      </c>
      <c r="F33" s="961" t="s">
        <v>288</v>
      </c>
      <c r="G33" s="962">
        <f>E33/1</f>
        <v>3.5714285714285716</v>
      </c>
      <c r="H33" s="170">
        <v>3.4</v>
      </c>
      <c r="I33" s="610">
        <v>7</v>
      </c>
      <c r="J33" s="965">
        <f>IF(H33&lt;7,(H33-7),(H33-I33))</f>
        <v>-3.6</v>
      </c>
      <c r="K33" s="966">
        <f>IF((7-H33&gt;=0),(7-H33),0)</f>
        <v>3.6</v>
      </c>
      <c r="L33" s="967">
        <f>IF((I33&lt;7),7,I33)</f>
        <v>7</v>
      </c>
      <c r="M33" s="968">
        <f>IF(K33&lt;&gt;0,J33/7,(1+((H33-I33)/I33)))</f>
        <v>-0.51428571428571435</v>
      </c>
      <c r="N33" s="969">
        <f>((G33/C33)*M33)</f>
        <v>-0.51428571428571435</v>
      </c>
      <c r="O33" s="970">
        <f>IF(((G33/C33)*M33)&gt;=1,3.571428,IF(((G33/C33)*M33)&lt;=0,0,((G33/C33)*M33)*3.571428))</f>
        <v>0</v>
      </c>
      <c r="P33" s="835">
        <f>O33/3.571428</f>
        <v>0</v>
      </c>
      <c r="Q33" s="971" t="s">
        <v>97</v>
      </c>
      <c r="R33" s="209" t="s">
        <v>505</v>
      </c>
      <c r="S33" s="1328"/>
    </row>
    <row r="34" spans="1:19" ht="51" customHeight="1" thickBot="1" x14ac:dyDescent="0.5">
      <c r="A34" s="16">
        <v>7</v>
      </c>
      <c r="B34" s="961" t="s">
        <v>20</v>
      </c>
      <c r="C34" s="962">
        <f t="shared" ref="C34:C36" si="12">$M$5</f>
        <v>3.5714285714285716</v>
      </c>
      <c r="D34" s="961" t="s">
        <v>118</v>
      </c>
      <c r="E34" s="964">
        <f t="shared" ref="E34:E36" si="13">C34/1</f>
        <v>3.5714285714285716</v>
      </c>
      <c r="F34" s="961" t="s">
        <v>21</v>
      </c>
      <c r="G34" s="962">
        <f>E34/1</f>
        <v>3.5714285714285716</v>
      </c>
      <c r="H34" s="1329">
        <v>8.8000000000000007</v>
      </c>
      <c r="I34" s="1330">
        <v>8.1999999999999993</v>
      </c>
      <c r="J34" s="975">
        <f>H34-I34</f>
        <v>0.60000000000000142</v>
      </c>
      <c r="K34" s="976">
        <f>(0.5*I34)*(6/10)</f>
        <v>2.4599999999999995</v>
      </c>
      <c r="L34" s="977">
        <f>K34+I34</f>
        <v>10.659999999999998</v>
      </c>
      <c r="M34" s="968">
        <f>IF(K34&lt;&gt;0,J34/K34,"0%")</f>
        <v>0.24390243902439088</v>
      </c>
      <c r="N34" s="969">
        <f>((G34/C34)*M34)</f>
        <v>0.24390243902439088</v>
      </c>
      <c r="O34" s="970">
        <f>IF(((G34/C34)*M34)&gt;=1,3.571428,IF(((G34/C34)*M34)&lt;=0,0,((G34/C34)*M34)*3.571428))</f>
        <v>0.8710800000000023</v>
      </c>
      <c r="P34" s="835">
        <f t="shared" ref="P34:P36" si="14">O34/3.571428</f>
        <v>0.24390243902439088</v>
      </c>
      <c r="Q34" s="971" t="s">
        <v>173</v>
      </c>
      <c r="R34" s="646" t="s">
        <v>505</v>
      </c>
      <c r="S34" s="214"/>
    </row>
    <row r="35" spans="1:19" ht="40.799999999999997" customHeight="1" thickBot="1" x14ac:dyDescent="0.5">
      <c r="A35" s="16">
        <v>8</v>
      </c>
      <c r="B35" s="961" t="s">
        <v>22</v>
      </c>
      <c r="C35" s="962">
        <f t="shared" si="12"/>
        <v>3.5714285714285716</v>
      </c>
      <c r="D35" s="961" t="s">
        <v>119</v>
      </c>
      <c r="E35" s="964">
        <f t="shared" si="13"/>
        <v>3.5714285714285716</v>
      </c>
      <c r="F35" s="961" t="s">
        <v>23</v>
      </c>
      <c r="G35" s="962">
        <f>E35/1</f>
        <v>3.5714285714285716</v>
      </c>
      <c r="H35" s="647"/>
      <c r="I35" s="648"/>
      <c r="J35" s="978">
        <f>H35-I35</f>
        <v>0</v>
      </c>
      <c r="K35" s="979">
        <f>IF((I35&gt;=1),0,((1-I35)*0.6))</f>
        <v>0.6</v>
      </c>
      <c r="L35" s="967">
        <f>I35+K35</f>
        <v>0.6</v>
      </c>
      <c r="M35" s="968">
        <f>IF(K35&lt;&gt;0,J35/K35,"0%")</f>
        <v>0</v>
      </c>
      <c r="N35" s="969">
        <f>((G35/C35)*M35)</f>
        <v>0</v>
      </c>
      <c r="O35" s="970">
        <f>IF(((G35/C35)*M35)&gt;=1,3.571428,IF(((G35/C35)*M35)&lt;=0,0,((G35/C35)*M35)*3.571428))</f>
        <v>0</v>
      </c>
      <c r="P35" s="835">
        <f t="shared" si="14"/>
        <v>0</v>
      </c>
      <c r="Q35" s="971" t="s">
        <v>174</v>
      </c>
      <c r="R35" s="646"/>
      <c r="S35" s="214" t="s">
        <v>524</v>
      </c>
    </row>
    <row r="36" spans="1:19" ht="32.450000000000003" customHeight="1" thickBot="1" x14ac:dyDescent="0.5">
      <c r="A36" s="16">
        <v>9</v>
      </c>
      <c r="B36" s="961" t="s">
        <v>24</v>
      </c>
      <c r="C36" s="962">
        <f t="shared" si="12"/>
        <v>3.5714285714285716</v>
      </c>
      <c r="D36" s="961" t="s">
        <v>275</v>
      </c>
      <c r="E36" s="964">
        <f t="shared" si="13"/>
        <v>3.5714285714285716</v>
      </c>
      <c r="F36" s="980" t="s">
        <v>25</v>
      </c>
      <c r="G36" s="962">
        <f>E36/1</f>
        <v>3.5714285714285716</v>
      </c>
      <c r="H36" s="615"/>
      <c r="I36" s="648"/>
      <c r="J36" s="981">
        <f>H36-I36</f>
        <v>0</v>
      </c>
      <c r="K36" s="982">
        <f>(1*I36)*(6/10)</f>
        <v>0</v>
      </c>
      <c r="L36" s="983">
        <f>I36+K36</f>
        <v>0</v>
      </c>
      <c r="M36" s="968" t="str">
        <f>IF(K36&lt;&gt;0,J36/K36,"0%")</f>
        <v>0%</v>
      </c>
      <c r="N36" s="969">
        <f>((G36/C36)*M36)</f>
        <v>0</v>
      </c>
      <c r="O36" s="970">
        <f>IF(((G36/C36)*M36)&gt;=1,3.571428,IF(((G36/C36)*M36)&lt;=0,0,((G36/C36)*M36)*3.571428))</f>
        <v>0</v>
      </c>
      <c r="P36" s="835">
        <f t="shared" si="14"/>
        <v>0</v>
      </c>
      <c r="Q36" s="984" t="s">
        <v>175</v>
      </c>
      <c r="R36" s="223"/>
      <c r="S36" s="214" t="s">
        <v>525</v>
      </c>
    </row>
    <row r="37" spans="1:19" ht="30.6" customHeight="1" thickBot="1" x14ac:dyDescent="0.5">
      <c r="B37" s="1718" t="s">
        <v>26</v>
      </c>
      <c r="C37" s="1719"/>
      <c r="D37" s="1719"/>
      <c r="E37" s="1719"/>
      <c r="F37" s="1720"/>
      <c r="G37" s="985"/>
      <c r="H37" s="1208"/>
      <c r="I37" s="1208"/>
      <c r="J37" s="986"/>
      <c r="K37" s="987"/>
      <c r="L37" s="987"/>
      <c r="M37" s="988"/>
      <c r="N37" s="833">
        <f>N38</f>
        <v>0</v>
      </c>
      <c r="O37" s="834">
        <f>O38</f>
        <v>0</v>
      </c>
      <c r="P37" s="835">
        <f>O37/3.571428</f>
        <v>0</v>
      </c>
      <c r="Q37" s="989"/>
      <c r="R37" s="250"/>
      <c r="S37" s="611"/>
    </row>
    <row r="38" spans="1:19" ht="25.8" customHeight="1" x14ac:dyDescent="0.45">
      <c r="A38" s="1669">
        <v>10</v>
      </c>
      <c r="B38" s="1687" t="s">
        <v>27</v>
      </c>
      <c r="C38" s="1691">
        <f>M5</f>
        <v>3.5714285714285716</v>
      </c>
      <c r="D38" s="904" t="s">
        <v>120</v>
      </c>
      <c r="E38" s="853">
        <f>$C$38/2</f>
        <v>1.7857142857142858</v>
      </c>
      <c r="F38" s="990" t="s">
        <v>224</v>
      </c>
      <c r="G38" s="853">
        <f>E38/1</f>
        <v>1.7857142857142858</v>
      </c>
      <c r="H38" s="600"/>
      <c r="I38" s="601"/>
      <c r="J38" s="991">
        <f>H38-I38</f>
        <v>0</v>
      </c>
      <c r="K38" s="992">
        <f>(1*I38)*(6/10)</f>
        <v>0</v>
      </c>
      <c r="L38" s="993">
        <f>I38+K38</f>
        <v>0</v>
      </c>
      <c r="M38" s="859" t="str">
        <f>IF(K38&lt;&gt;0,J38/K38,"0%")</f>
        <v>0%</v>
      </c>
      <c r="N38" s="1715">
        <f>(((G38/C38)*M38)+((G39/C38)*M39))</f>
        <v>0</v>
      </c>
      <c r="O38" s="1699">
        <f>IF((((G38/C38)*M38)+((G39/C38)*M39))&gt;=1,3.57148,IF((((G38/C38)*M38)+((G39/C38)*M39))&lt;=0,0, (((G38/C38)*M38)+((G39/C38)*M39))*3.571428))</f>
        <v>0</v>
      </c>
      <c r="P38" s="1678">
        <f>O38/3.571428</f>
        <v>0</v>
      </c>
      <c r="Q38" s="994" t="s">
        <v>176</v>
      </c>
      <c r="R38" s="649" t="s">
        <v>526</v>
      </c>
      <c r="S38" s="1331" t="s">
        <v>527</v>
      </c>
    </row>
    <row r="39" spans="1:19" ht="35.25" thickBot="1" x14ac:dyDescent="0.5">
      <c r="A39" s="1669"/>
      <c r="B39" s="1688"/>
      <c r="C39" s="1692"/>
      <c r="D39" s="911" t="s">
        <v>157</v>
      </c>
      <c r="E39" s="868">
        <f>$C$38/2</f>
        <v>1.7857142857142858</v>
      </c>
      <c r="F39" s="995" t="s">
        <v>225</v>
      </c>
      <c r="G39" s="934">
        <f>E39/1</f>
        <v>1.7857142857142858</v>
      </c>
      <c r="H39" s="233"/>
      <c r="I39" s="398"/>
      <c r="J39" s="996">
        <f>H39-I39</f>
        <v>0</v>
      </c>
      <c r="K39" s="997">
        <f>IF(AND(I39&gt;=10,H39&gt;=I39),0,((10-H39)*(6/10)))</f>
        <v>6</v>
      </c>
      <c r="L39" s="998">
        <f>I39+K39</f>
        <v>6</v>
      </c>
      <c r="M39" s="874">
        <f>IF(K39&lt;&gt;0,J39/K39,"0%")</f>
        <v>0</v>
      </c>
      <c r="N39" s="1716"/>
      <c r="O39" s="1800"/>
      <c r="P39" s="1679"/>
      <c r="Q39" s="999" t="s">
        <v>95</v>
      </c>
      <c r="R39" s="650" t="s">
        <v>526</v>
      </c>
      <c r="S39" s="1332" t="s">
        <v>527</v>
      </c>
    </row>
    <row r="40" spans="1:19" ht="20.45" customHeight="1" thickBot="1" x14ac:dyDescent="0.5">
      <c r="B40" s="1730" t="s">
        <v>28</v>
      </c>
      <c r="C40" s="1731"/>
      <c r="D40" s="1731"/>
      <c r="E40" s="1732"/>
      <c r="F40" s="1733"/>
      <c r="G40" s="985"/>
      <c r="H40" s="189"/>
      <c r="I40" s="189"/>
      <c r="J40" s="1000"/>
      <c r="K40" s="1001"/>
      <c r="L40" s="1001"/>
      <c r="M40" s="1002"/>
      <c r="N40" s="833">
        <f>N41</f>
        <v>-0.33333333333333343</v>
      </c>
      <c r="O40" s="834">
        <f>O41</f>
        <v>0</v>
      </c>
      <c r="P40" s="835">
        <f>O40/3.571428</f>
        <v>0</v>
      </c>
      <c r="Q40" s="1003"/>
      <c r="R40" s="250"/>
      <c r="S40" s="611"/>
    </row>
    <row r="41" spans="1:19" ht="34.9" x14ac:dyDescent="0.45">
      <c r="A41" s="1669">
        <v>11</v>
      </c>
      <c r="B41" s="1734" t="s">
        <v>29</v>
      </c>
      <c r="C41" s="1736">
        <f>M5</f>
        <v>3.5714285714285716</v>
      </c>
      <c r="D41" s="1004" t="s">
        <v>121</v>
      </c>
      <c r="E41" s="1005">
        <f>$C$41/2</f>
        <v>1.7857142857142858</v>
      </c>
      <c r="F41" s="880" t="s">
        <v>30</v>
      </c>
      <c r="G41" s="1006">
        <f>E41/1</f>
        <v>1.7857142857142858</v>
      </c>
      <c r="H41" s="1148">
        <v>1.2</v>
      </c>
      <c r="I41" s="1333">
        <v>1.5</v>
      </c>
      <c r="J41" s="1007">
        <f>H41-I41</f>
        <v>-0.30000000000000004</v>
      </c>
      <c r="K41" s="1008">
        <f>(0.5*I41)*(6/10)</f>
        <v>0.44999999999999996</v>
      </c>
      <c r="L41" s="1009">
        <f>I41+K41</f>
        <v>1.95</v>
      </c>
      <c r="M41" s="859">
        <f>IF(K41&lt;&gt;0,J41/K41,"0%")</f>
        <v>-0.66666666666666685</v>
      </c>
      <c r="N41" s="1738">
        <f>(((G41/C41)*M41)+(G42/C41)*M42)</f>
        <v>-0.33333333333333343</v>
      </c>
      <c r="O41" s="1699">
        <f>IF((((G41/C41)*M41)+((G42/C41)*M42))&gt;=1,3.57148,IF((((G41/C41)*M41)+((G42/C41)*M42))&lt;=0,0, (((G41/C41)*M41)+((G42/C41)*M42))*3.571428))</f>
        <v>0</v>
      </c>
      <c r="P41" s="1678">
        <f>O41/3.571428</f>
        <v>0</v>
      </c>
      <c r="Q41" s="1010" t="s">
        <v>177</v>
      </c>
      <c r="R41" s="205" t="s">
        <v>505</v>
      </c>
      <c r="S41" s="196"/>
    </row>
    <row r="42" spans="1:19" ht="23.65" thickBot="1" x14ac:dyDescent="0.5">
      <c r="A42" s="1669"/>
      <c r="B42" s="1735"/>
      <c r="C42" s="1737"/>
      <c r="D42" s="1011" t="s">
        <v>122</v>
      </c>
      <c r="E42" s="939">
        <f>$C$41/2</f>
        <v>1.7857142857142858</v>
      </c>
      <c r="F42" s="891" t="s">
        <v>31</v>
      </c>
      <c r="G42" s="1012">
        <f>E42/1</f>
        <v>1.7857142857142858</v>
      </c>
      <c r="H42" s="1334"/>
      <c r="I42" s="1335"/>
      <c r="J42" s="1013">
        <f>H42-I42</f>
        <v>0</v>
      </c>
      <c r="K42" s="896">
        <f>(0.5*I42)*(6/10)</f>
        <v>0</v>
      </c>
      <c r="L42" s="1014">
        <f>I42+K42</f>
        <v>0</v>
      </c>
      <c r="M42" s="874" t="str">
        <f>IF(K42&lt;&gt;0,J42/K42,"0%")</f>
        <v>0%</v>
      </c>
      <c r="N42" s="1738"/>
      <c r="O42" s="1800"/>
      <c r="P42" s="1679"/>
      <c r="Q42" s="1010" t="s">
        <v>95</v>
      </c>
      <c r="R42" s="211"/>
      <c r="S42" s="198" t="s">
        <v>528</v>
      </c>
    </row>
    <row r="43" spans="1:19" ht="30.6" customHeight="1" thickBot="1" x14ac:dyDescent="0.5">
      <c r="B43" s="1704" t="s">
        <v>32</v>
      </c>
      <c r="C43" s="1705"/>
      <c r="D43" s="1705"/>
      <c r="E43" s="1705"/>
      <c r="F43" s="1706"/>
      <c r="G43" s="923"/>
      <c r="H43" s="190"/>
      <c r="I43" s="190"/>
      <c r="J43" s="1015"/>
      <c r="K43" s="1016"/>
      <c r="L43" s="1016"/>
      <c r="M43" s="923"/>
      <c r="N43" s="833">
        <f>N44</f>
        <v>0</v>
      </c>
      <c r="O43" s="834">
        <f>O44</f>
        <v>0</v>
      </c>
      <c r="P43" s="835">
        <f>O43/3.571428</f>
        <v>0</v>
      </c>
      <c r="Q43" s="1017"/>
      <c r="R43" s="255"/>
      <c r="S43" s="613"/>
    </row>
    <row r="44" spans="1:19" ht="37.799999999999997" customHeight="1" thickBot="1" x14ac:dyDescent="0.5">
      <c r="A44" s="1669">
        <v>12</v>
      </c>
      <c r="B44" s="1727" t="s">
        <v>33</v>
      </c>
      <c r="C44" s="1691">
        <f>M5</f>
        <v>3.5714285714285716</v>
      </c>
      <c r="D44" s="926" t="s">
        <v>123</v>
      </c>
      <c r="E44" s="1018">
        <f>C44/2</f>
        <v>1.7857142857142858</v>
      </c>
      <c r="F44" s="926" t="s">
        <v>34</v>
      </c>
      <c r="G44" s="853">
        <f>$E$44/1</f>
        <v>1.7857142857142858</v>
      </c>
      <c r="H44" s="83"/>
      <c r="I44" s="84"/>
      <c r="J44" s="1019">
        <f>IF(I44=H44,(H44-30),H44-I44)</f>
        <v>-30</v>
      </c>
      <c r="K44" s="909">
        <f>IF(I44&gt;=30,0,((30-I44)*(6/10)))</f>
        <v>18</v>
      </c>
      <c r="L44" s="1020">
        <f>I44+K44</f>
        <v>18</v>
      </c>
      <c r="M44" s="874" t="str">
        <f>IF(H44=0,"0%",J44/K44)</f>
        <v>0%</v>
      </c>
      <c r="N44" s="1715">
        <f>(((G44/C44)*M44)+((G45/C44)*M45))</f>
        <v>0</v>
      </c>
      <c r="O44" s="1699">
        <f>IF((((G44/C44)*M44)+((G45/C44)*M45))&gt;=1,3.57148,IF((((G44/C44)*M44)+((G45/C44)*M45))&lt;=0,0, (((G44/C44)*M44)+((G45/C44)*M45))*3.571428))</f>
        <v>0</v>
      </c>
      <c r="P44" s="1678">
        <f>O44/3.571428</f>
        <v>0</v>
      </c>
      <c r="Q44" s="910" t="s">
        <v>178</v>
      </c>
      <c r="R44" s="210" t="s">
        <v>526</v>
      </c>
      <c r="S44" s="196" t="s">
        <v>529</v>
      </c>
    </row>
    <row r="45" spans="1:19" ht="35.25" thickBot="1" x14ac:dyDescent="0.5">
      <c r="A45" s="1669"/>
      <c r="B45" s="1728"/>
      <c r="C45" s="1729"/>
      <c r="D45" s="953" t="s">
        <v>124</v>
      </c>
      <c r="E45" s="1021">
        <f>(C44/2)</f>
        <v>1.7857142857142858</v>
      </c>
      <c r="F45" s="953" t="s">
        <v>35</v>
      </c>
      <c r="G45" s="868">
        <f>$E$45/1</f>
        <v>1.7857142857142858</v>
      </c>
      <c r="H45" s="85"/>
      <c r="I45" s="86"/>
      <c r="J45" s="1022">
        <f>IF(I45=H45,(H45-17),H45-I45)</f>
        <v>-17</v>
      </c>
      <c r="K45" s="1023">
        <f>IF(I45&gt;=17,0,((17-I45)*(6/10)))</f>
        <v>10.199999999999999</v>
      </c>
      <c r="L45" s="1024">
        <f>I45+K45</f>
        <v>10.199999999999999</v>
      </c>
      <c r="M45" s="1238" t="str">
        <f>IF(K45&lt;&gt;0,"0%",J45/K45)</f>
        <v>0%</v>
      </c>
      <c r="N45" s="1717"/>
      <c r="O45" s="1800"/>
      <c r="P45" s="1679"/>
      <c r="Q45" s="922" t="s">
        <v>179</v>
      </c>
      <c r="R45" s="207" t="s">
        <v>526</v>
      </c>
      <c r="S45" s="196" t="s">
        <v>529</v>
      </c>
    </row>
    <row r="46" spans="1:19" ht="30.6" customHeight="1" thickBot="1" x14ac:dyDescent="0.5">
      <c r="B46" s="1743" t="s">
        <v>36</v>
      </c>
      <c r="C46" s="1744"/>
      <c r="D46" s="1744"/>
      <c r="E46" s="1744"/>
      <c r="F46" s="1745"/>
      <c r="G46" s="1025"/>
      <c r="H46" s="122"/>
      <c r="I46" s="123"/>
      <c r="J46" s="1026"/>
      <c r="K46" s="1027"/>
      <c r="L46" s="1027"/>
      <c r="M46" s="1028"/>
      <c r="N46" s="833">
        <f>(N47+N50+N52)/3</f>
        <v>0.28333333333333333</v>
      </c>
      <c r="O46" s="834">
        <f>(O47+O50+O52)</f>
        <v>3.0357138000000004</v>
      </c>
      <c r="P46" s="835">
        <f>O46/10.714284</f>
        <v>0.28333333333333338</v>
      </c>
      <c r="Q46" s="1029"/>
      <c r="R46" s="268"/>
      <c r="S46" s="616"/>
    </row>
    <row r="47" spans="1:19" ht="20.45" customHeight="1" thickBot="1" x14ac:dyDescent="0.5">
      <c r="B47" s="1684" t="s">
        <v>37</v>
      </c>
      <c r="C47" s="1685"/>
      <c r="D47" s="1685"/>
      <c r="E47" s="1685"/>
      <c r="F47" s="1686"/>
      <c r="G47" s="1030"/>
      <c r="H47" s="189"/>
      <c r="I47" s="189"/>
      <c r="J47" s="1031"/>
      <c r="K47" s="1032"/>
      <c r="L47" s="1032"/>
      <c r="M47" s="923"/>
      <c r="N47" s="833">
        <f>N48</f>
        <v>0</v>
      </c>
      <c r="O47" s="834">
        <f>O48</f>
        <v>0</v>
      </c>
      <c r="P47" s="835">
        <f>O47/3.571428</f>
        <v>0</v>
      </c>
      <c r="Q47" s="1017"/>
      <c r="R47" s="255"/>
      <c r="S47" s="613"/>
    </row>
    <row r="48" spans="1:19" ht="37.799999999999997" customHeight="1" x14ac:dyDescent="0.45">
      <c r="A48" s="1669">
        <v>13</v>
      </c>
      <c r="B48" s="1727" t="s">
        <v>38</v>
      </c>
      <c r="C48" s="1691">
        <f>M5</f>
        <v>3.5714285714285716</v>
      </c>
      <c r="D48" s="926" t="s">
        <v>125</v>
      </c>
      <c r="E48" s="853">
        <f>$C$48/2</f>
        <v>1.7857142857142858</v>
      </c>
      <c r="F48" s="1033" t="s">
        <v>289</v>
      </c>
      <c r="G48" s="853">
        <f>E48/1</f>
        <v>1.7857142857142858</v>
      </c>
      <c r="H48" s="83"/>
      <c r="I48" s="602"/>
      <c r="J48" s="1034">
        <f>H48-I48</f>
        <v>0</v>
      </c>
      <c r="K48" s="1035">
        <f>(0.5*I48)* (6/10)</f>
        <v>0</v>
      </c>
      <c r="L48" s="1036">
        <f>I48-K48</f>
        <v>0</v>
      </c>
      <c r="M48" s="887" t="str">
        <f>IF(K48&lt;&gt;0,J48/K48,"0%")</f>
        <v>0%</v>
      </c>
      <c r="N48" s="1746">
        <f>(((G48/C48)*M48)+((G49/C48)*M49))</f>
        <v>0</v>
      </c>
      <c r="O48" s="1699">
        <f>IF((((G48/C48)*M48)+((G49/C48)*M49))&gt;=1,3.57148,IF((((G48/C48)*M48)+((G49/C48)*M49))&lt;=0,0, (((G48/C48)*M48)+((G49/C48)*M49))*3.571428))</f>
        <v>0</v>
      </c>
      <c r="P48" s="1678">
        <f>O48/3.571428</f>
        <v>0</v>
      </c>
      <c r="Q48" s="950" t="s">
        <v>95</v>
      </c>
      <c r="R48" s="210" t="s">
        <v>530</v>
      </c>
      <c r="S48" s="196"/>
    </row>
    <row r="49" spans="1:19" ht="30.6" customHeight="1" thickBot="1" x14ac:dyDescent="0.5">
      <c r="A49" s="1669"/>
      <c r="B49" s="1728"/>
      <c r="C49" s="1729"/>
      <c r="D49" s="953" t="s">
        <v>126</v>
      </c>
      <c r="E49" s="868">
        <f>$C$48/2</f>
        <v>1.7857142857142858</v>
      </c>
      <c r="F49" s="953" t="s">
        <v>290</v>
      </c>
      <c r="G49" s="868">
        <f>E49/1</f>
        <v>1.7857142857142858</v>
      </c>
      <c r="H49" s="603"/>
      <c r="I49" s="604"/>
      <c r="J49" s="955">
        <f>H49-I49</f>
        <v>0</v>
      </c>
      <c r="K49" s="1037">
        <f>(2*I49)*(6/10)</f>
        <v>0</v>
      </c>
      <c r="L49" s="1038">
        <f>I49+K49</f>
        <v>0</v>
      </c>
      <c r="M49" s="874" t="str">
        <f>IF(K49&lt;&gt;0,J49/K49,"0%")</f>
        <v>0%</v>
      </c>
      <c r="N49" s="1747"/>
      <c r="O49" s="1800"/>
      <c r="P49" s="1679"/>
      <c r="Q49" s="956" t="s">
        <v>95</v>
      </c>
      <c r="R49" s="211" t="s">
        <v>531</v>
      </c>
      <c r="S49" s="198"/>
    </row>
    <row r="50" spans="1:19" ht="15" customHeight="1" thickBot="1" x14ac:dyDescent="0.5">
      <c r="B50" s="1704" t="s">
        <v>39</v>
      </c>
      <c r="C50" s="1705"/>
      <c r="D50" s="1705"/>
      <c r="E50" s="1705"/>
      <c r="F50" s="1706"/>
      <c r="G50" s="1039"/>
      <c r="H50" s="191"/>
      <c r="I50" s="191"/>
      <c r="J50" s="1040"/>
      <c r="K50" s="1040"/>
      <c r="L50" s="1040"/>
      <c r="M50" s="1041"/>
      <c r="N50" s="833">
        <f>N51</f>
        <v>0.83333333333333337</v>
      </c>
      <c r="O50" s="834">
        <f>O51</f>
        <v>2.9761900000000003</v>
      </c>
      <c r="P50" s="835">
        <f>O50/3.571428</f>
        <v>0.83333333333333337</v>
      </c>
      <c r="Q50" s="1042"/>
      <c r="R50" s="212"/>
      <c r="S50" s="212"/>
    </row>
    <row r="51" spans="1:19" ht="30.6" customHeight="1" thickBot="1" x14ac:dyDescent="0.5">
      <c r="A51" s="15">
        <v>14</v>
      </c>
      <c r="B51" s="1043" t="s">
        <v>226</v>
      </c>
      <c r="C51" s="1044">
        <f>M5</f>
        <v>3.5714285714285716</v>
      </c>
      <c r="D51" s="1045" t="s">
        <v>272</v>
      </c>
      <c r="E51" s="1046">
        <f>C51</f>
        <v>3.5714285714285716</v>
      </c>
      <c r="F51" s="1047" t="s">
        <v>266</v>
      </c>
      <c r="G51" s="1048">
        <f>E51/1</f>
        <v>3.5714285714285716</v>
      </c>
      <c r="H51" s="477">
        <v>50</v>
      </c>
      <c r="I51" s="478">
        <v>0</v>
      </c>
      <c r="J51" s="1049">
        <f>H51-I51</f>
        <v>50</v>
      </c>
      <c r="K51" s="1050">
        <f>(100-I51)*(6/10)</f>
        <v>60</v>
      </c>
      <c r="L51" s="1051">
        <f>I51+K51</f>
        <v>60</v>
      </c>
      <c r="M51" s="898">
        <f>IF(K51&lt;&gt;0,J51/K51,"100%")</f>
        <v>0.83333333333333337</v>
      </c>
      <c r="N51" s="969">
        <f>((G51/C51)*M51)</f>
        <v>0.83333333333333337</v>
      </c>
      <c r="O51" s="970">
        <f>IF(((G51/C51)*M51)&gt;=1,3.571428,IF(((G51/C51)*M51)&lt;=0,0,((G51/C51)*M51)*3.571428))</f>
        <v>2.9761900000000003</v>
      </c>
      <c r="P51" s="835">
        <f>O51/3.571428</f>
        <v>0.83333333333333337</v>
      </c>
      <c r="Q51" s="1052" t="s">
        <v>95</v>
      </c>
      <c r="R51" s="204"/>
      <c r="S51" s="204" t="s">
        <v>532</v>
      </c>
    </row>
    <row r="52" spans="1:19" ht="20.45" customHeight="1" thickBot="1" x14ac:dyDescent="0.5">
      <c r="B52" s="1704" t="s">
        <v>40</v>
      </c>
      <c r="C52" s="1705"/>
      <c r="D52" s="1705"/>
      <c r="E52" s="1705"/>
      <c r="F52" s="1706"/>
      <c r="G52" s="1030"/>
      <c r="H52" s="189"/>
      <c r="I52" s="189"/>
      <c r="J52" s="1031"/>
      <c r="K52" s="1032"/>
      <c r="L52" s="1032"/>
      <c r="M52" s="948"/>
      <c r="N52" s="833">
        <f>N53</f>
        <v>1.6666666666666656E-2</v>
      </c>
      <c r="O52" s="834">
        <f>O53</f>
        <v>5.952379999999996E-2</v>
      </c>
      <c r="P52" s="835">
        <f>O52/3.571428</f>
        <v>1.6666666666666656E-2</v>
      </c>
      <c r="Q52" s="1053"/>
      <c r="R52" s="212"/>
      <c r="S52" s="212"/>
    </row>
    <row r="53" spans="1:19" ht="43.8" customHeight="1" x14ac:dyDescent="0.45">
      <c r="A53" s="1669">
        <v>15</v>
      </c>
      <c r="B53" s="1687" t="s">
        <v>108</v>
      </c>
      <c r="C53" s="1691">
        <f>M5</f>
        <v>3.5714285714285716</v>
      </c>
      <c r="D53" s="1054" t="s">
        <v>127</v>
      </c>
      <c r="E53" s="1055">
        <f>$C$53/5</f>
        <v>0.7142857142857143</v>
      </c>
      <c r="F53" s="1056" t="s">
        <v>41</v>
      </c>
      <c r="G53" s="905">
        <f>E53/1</f>
        <v>0.7142857142857143</v>
      </c>
      <c r="H53" s="618"/>
      <c r="I53" s="619"/>
      <c r="J53" s="930">
        <f>H53-I53</f>
        <v>0</v>
      </c>
      <c r="K53" s="1035">
        <f>(100-I53)*(6/10)</f>
        <v>60</v>
      </c>
      <c r="L53" s="993">
        <f t="shared" ref="L53:L58" si="15">I53+K53</f>
        <v>60</v>
      </c>
      <c r="M53" s="859">
        <f t="shared" ref="M53:M55" si="16">IF(K53&lt;&gt;0,J53/K53,"0%")</f>
        <v>0</v>
      </c>
      <c r="N53" s="1740">
        <f>(((G53/C53)*M53)+((G54/C53)*M54)+((G55/C53)*M55)+((G56/C53)*M56)+((G57/C53)*M57)+((G58/C53)*M58))</f>
        <v>1.6666666666666656E-2</v>
      </c>
      <c r="O53" s="1751">
        <f>IF((((G53/C53)*M53)+((G54/C53)*M54)+((G55/C53)*M55)+((G56/C53)*M56)+((G57/C53)*M57)+((G58/C53)*M58))&gt;=1,3.571428,IF((((G53/C53)*M53)+((G54/C53)*M54)+((G55/C53)*M55)+((G56/C53)*M56)+((G57/C53)*M57)+((G58/C53)*M58))&lt;=0,0,((((G53/C53)*M53)+((G54/C53)*M54)+((G55/C53)*M55)+((G56/C53)*M56)+((G57/C53)*M57)+((G58/C53)*M58))*3.571428)))</f>
        <v>5.952379999999996E-2</v>
      </c>
      <c r="P53" s="1678">
        <f>O53/3.571428</f>
        <v>1.6666666666666656E-2</v>
      </c>
      <c r="Q53" s="1057" t="s">
        <v>95</v>
      </c>
      <c r="R53" s="213" t="s">
        <v>533</v>
      </c>
      <c r="S53" s="213" t="s">
        <v>534</v>
      </c>
    </row>
    <row r="54" spans="1:19" ht="35.450000000000003" customHeight="1" x14ac:dyDescent="0.45">
      <c r="A54" s="1669"/>
      <c r="B54" s="1688"/>
      <c r="C54" s="1692"/>
      <c r="D54" s="1058" t="s">
        <v>128</v>
      </c>
      <c r="E54" s="1059">
        <f t="shared" ref="E54:E57" si="17">$C$53/5</f>
        <v>0.7142857142857143</v>
      </c>
      <c r="F54" s="1060" t="s">
        <v>42</v>
      </c>
      <c r="G54" s="912">
        <f>E54/1</f>
        <v>0.7142857142857143</v>
      </c>
      <c r="H54" s="1336"/>
      <c r="I54" s="1337"/>
      <c r="J54" s="936">
        <f>H54-I54</f>
        <v>0</v>
      </c>
      <c r="K54" s="997">
        <f>(100-I54)*(6/6)</f>
        <v>100</v>
      </c>
      <c r="L54" s="998">
        <f>I54+K54</f>
        <v>100</v>
      </c>
      <c r="M54" s="916">
        <f t="shared" si="16"/>
        <v>0</v>
      </c>
      <c r="N54" s="1741"/>
      <c r="O54" s="1806"/>
      <c r="P54" s="1703"/>
      <c r="Q54" s="1061" t="s">
        <v>95</v>
      </c>
      <c r="R54" s="204" t="s">
        <v>535</v>
      </c>
      <c r="S54" s="204" t="s">
        <v>524</v>
      </c>
    </row>
    <row r="55" spans="1:19" ht="34.25" customHeight="1" x14ac:dyDescent="0.45">
      <c r="A55" s="1669"/>
      <c r="B55" s="1688"/>
      <c r="C55" s="1692"/>
      <c r="D55" s="1058" t="s">
        <v>129</v>
      </c>
      <c r="E55" s="1059">
        <f t="shared" si="17"/>
        <v>0.7142857142857143</v>
      </c>
      <c r="F55" s="1060" t="s">
        <v>43</v>
      </c>
      <c r="G55" s="912">
        <f>E55/1</f>
        <v>0.7142857142857143</v>
      </c>
      <c r="H55" s="1338"/>
      <c r="I55" s="1337"/>
      <c r="J55" s="936">
        <f>H55-I55</f>
        <v>0</v>
      </c>
      <c r="K55" s="997">
        <f>(100-I55)*(6/10)</f>
        <v>60</v>
      </c>
      <c r="L55" s="998">
        <f t="shared" si="15"/>
        <v>60</v>
      </c>
      <c r="M55" s="916">
        <f t="shared" si="16"/>
        <v>0</v>
      </c>
      <c r="N55" s="1741"/>
      <c r="O55" s="1806"/>
      <c r="P55" s="1703"/>
      <c r="Q55" s="1061" t="s">
        <v>95</v>
      </c>
      <c r="R55" s="204" t="s">
        <v>533</v>
      </c>
      <c r="S55" s="204" t="s">
        <v>534</v>
      </c>
    </row>
    <row r="56" spans="1:19" ht="37.25" customHeight="1" x14ac:dyDescent="0.45">
      <c r="A56" s="1669"/>
      <c r="B56" s="1688"/>
      <c r="C56" s="1692"/>
      <c r="D56" s="1058" t="s">
        <v>130</v>
      </c>
      <c r="E56" s="1059">
        <f t="shared" si="17"/>
        <v>0.7142857142857143</v>
      </c>
      <c r="F56" s="1060" t="s">
        <v>44</v>
      </c>
      <c r="G56" s="912">
        <f>E56/1</f>
        <v>0.7142857142857143</v>
      </c>
      <c r="H56" s="1339"/>
      <c r="I56" s="1340"/>
      <c r="J56" s="936">
        <f>H56-I56</f>
        <v>0</v>
      </c>
      <c r="K56" s="1062">
        <f>(0.5*I56)*(6/7)</f>
        <v>0</v>
      </c>
      <c r="L56" s="998">
        <f t="shared" si="15"/>
        <v>0</v>
      </c>
      <c r="M56" s="916" t="str">
        <f>IF(K56&lt;&gt;0,J56/K56,"0%")</f>
        <v>0%</v>
      </c>
      <c r="N56" s="1741"/>
      <c r="O56" s="1806"/>
      <c r="P56" s="1703"/>
      <c r="Q56" s="1061" t="s">
        <v>101</v>
      </c>
      <c r="R56" s="204" t="s">
        <v>533</v>
      </c>
      <c r="S56" s="204" t="s">
        <v>534</v>
      </c>
    </row>
    <row r="57" spans="1:19" ht="22.8" customHeight="1" x14ac:dyDescent="0.45">
      <c r="A57" s="1669"/>
      <c r="B57" s="1688"/>
      <c r="C57" s="1692"/>
      <c r="D57" s="1753" t="s">
        <v>131</v>
      </c>
      <c r="E57" s="1755">
        <f t="shared" si="17"/>
        <v>0.7142857142857143</v>
      </c>
      <c r="F57" s="1060" t="s">
        <v>45</v>
      </c>
      <c r="G57" s="912">
        <f>$E$57/2</f>
        <v>0.35714285714285715</v>
      </c>
      <c r="H57" s="1336">
        <v>26.4</v>
      </c>
      <c r="I57" s="1341">
        <v>24</v>
      </c>
      <c r="J57" s="936">
        <f t="shared" ref="J57:J58" si="18">H57-I57</f>
        <v>2.3999999999999986</v>
      </c>
      <c r="K57" s="1064">
        <f>(1*I57)*(6/10)</f>
        <v>14.399999999999999</v>
      </c>
      <c r="L57" s="998">
        <f t="shared" si="15"/>
        <v>38.4</v>
      </c>
      <c r="M57" s="916">
        <f>IF(K57&lt;&gt;0,J57/K57,"0%")</f>
        <v>0.16666666666666657</v>
      </c>
      <c r="N57" s="1741"/>
      <c r="O57" s="1806"/>
      <c r="P57" s="1703"/>
      <c r="Q57" s="1061" t="s">
        <v>180</v>
      </c>
      <c r="R57" s="204" t="s">
        <v>508</v>
      </c>
      <c r="S57" s="204"/>
    </row>
    <row r="58" spans="1:19" ht="15" customHeight="1" thickBot="1" x14ac:dyDescent="0.5">
      <c r="A58" s="1669"/>
      <c r="B58" s="1739"/>
      <c r="C58" s="1729"/>
      <c r="D58" s="1754"/>
      <c r="E58" s="1756"/>
      <c r="F58" s="867" t="s">
        <v>46</v>
      </c>
      <c r="G58" s="919">
        <f>$E$57/2</f>
        <v>0.35714285714285715</v>
      </c>
      <c r="H58" s="1342"/>
      <c r="I58" s="1343"/>
      <c r="J58" s="943">
        <f t="shared" si="18"/>
        <v>0</v>
      </c>
      <c r="K58" s="1037">
        <f>(1*I58)*(6/10)</f>
        <v>0</v>
      </c>
      <c r="L58" s="1065">
        <f t="shared" si="15"/>
        <v>0</v>
      </c>
      <c r="M58" s="874" t="str">
        <f>IF(K58&lt;&gt;0,J58/K58,"0%")</f>
        <v>0%</v>
      </c>
      <c r="N58" s="1742"/>
      <c r="O58" s="1807"/>
      <c r="P58" s="1679"/>
      <c r="Q58" s="1066" t="s">
        <v>95</v>
      </c>
      <c r="R58" s="198"/>
      <c r="S58" s="198" t="s">
        <v>536</v>
      </c>
    </row>
    <row r="59" spans="1:19" ht="23.45" customHeight="1" thickBot="1" x14ac:dyDescent="0.5">
      <c r="B59" s="1743" t="s">
        <v>47</v>
      </c>
      <c r="C59" s="1744"/>
      <c r="D59" s="1744"/>
      <c r="E59" s="1744"/>
      <c r="F59" s="1745"/>
      <c r="G59" s="1067"/>
      <c r="H59" s="192"/>
      <c r="I59" s="192"/>
      <c r="J59" s="1068"/>
      <c r="K59" s="1068"/>
      <c r="L59" s="1068"/>
      <c r="M59" s="1028"/>
      <c r="N59" s="833">
        <f>(N60+N67)/2</f>
        <v>0.1111111111111111</v>
      </c>
      <c r="O59" s="834">
        <f>(O60+O67)</f>
        <v>0.79365066666666662</v>
      </c>
      <c r="P59" s="835">
        <f>O59/7.142856</f>
        <v>0.1111111111111111</v>
      </c>
      <c r="Q59" s="1069"/>
      <c r="R59" s="272"/>
      <c r="S59" s="273"/>
    </row>
    <row r="60" spans="1:19" ht="22.25" customHeight="1" thickBot="1" x14ac:dyDescent="0.5">
      <c r="B60" s="1704" t="s">
        <v>48</v>
      </c>
      <c r="C60" s="1705"/>
      <c r="D60" s="1705"/>
      <c r="E60" s="1705"/>
      <c r="F60" s="1706"/>
      <c r="G60" s="923"/>
      <c r="H60" s="396"/>
      <c r="I60" s="396"/>
      <c r="J60" s="946"/>
      <c r="K60" s="947"/>
      <c r="L60" s="947"/>
      <c r="M60" s="923"/>
      <c r="N60" s="833">
        <f>N61</f>
        <v>0.22222222222222221</v>
      </c>
      <c r="O60" s="834">
        <f>O61</f>
        <v>0.79365066666666662</v>
      </c>
      <c r="P60" s="835">
        <f>O60/3.571428</f>
        <v>0.22222222222222221</v>
      </c>
      <c r="Q60" s="924"/>
      <c r="R60" s="255"/>
      <c r="S60" s="613"/>
    </row>
    <row r="61" spans="1:19" ht="39" customHeight="1" thickBot="1" x14ac:dyDescent="0.5">
      <c r="A61" s="1669">
        <v>16</v>
      </c>
      <c r="B61" s="1687" t="s">
        <v>49</v>
      </c>
      <c r="C61" s="1691">
        <f>M5</f>
        <v>3.5714285714285716</v>
      </c>
      <c r="D61" s="926" t="s">
        <v>133</v>
      </c>
      <c r="E61" s="853">
        <f>$C$61/4</f>
        <v>0.8928571428571429</v>
      </c>
      <c r="F61" s="926" t="s">
        <v>50</v>
      </c>
      <c r="G61" s="905">
        <f>E61/1</f>
        <v>0.8928571428571429</v>
      </c>
      <c r="H61" s="638"/>
      <c r="I61" s="639"/>
      <c r="J61" s="1019">
        <f>IF(I61=H61,(H61-70),H61-I61)</f>
        <v>-70</v>
      </c>
      <c r="K61" s="909">
        <f>IF(I61&gt;=70,0,((70-I61)*(6/10)))</f>
        <v>42</v>
      </c>
      <c r="L61" s="1070">
        <f t="shared" ref="L61:L66" si="19">I61+K61</f>
        <v>42</v>
      </c>
      <c r="M61" s="874" t="str">
        <f>IF(H61=0,"0%",J61/K61)</f>
        <v>0%</v>
      </c>
      <c r="N61" s="1748">
        <f>(((G61/C61)*M61)+((G62/C61)*M62)+((G63/C61)*M63)+((G64/C61)*M64)+((G65/C61)*M65)+((G66/C61)*M66))</f>
        <v>0.22222222222222221</v>
      </c>
      <c r="O61" s="1751">
        <f>IF((((G61/C61)*M61)+((G62/C61)*M62)+((G63/C61)*M63)+((G64/C61)*M64)+((G65/C61)*M65)+((G66/C61)*M66))&gt;=1,3.571428,IF((((G61/C61)*M61)+((G62/C61)*M62)+((G63/C61)*M63)+((G64/C61)*M64)+((G65/C61)*M65)+((G66/C61)*M66))&lt;=0,0,((((G61/C61)*M61)+((G62/C61)*M62)+((G63/C61)*M63)+((G64/C61)*M64)+((G65/C61)*M65)+((G66/C61)*M66))*3.571428)))</f>
        <v>0.79365066666666662</v>
      </c>
      <c r="P61" s="1678">
        <f>O61/3.571428</f>
        <v>0.22222222222222221</v>
      </c>
      <c r="Q61" s="994" t="s">
        <v>181</v>
      </c>
      <c r="R61" s="490"/>
      <c r="S61" s="612" t="s">
        <v>463</v>
      </c>
    </row>
    <row r="62" spans="1:19" ht="58.25" customHeight="1" thickBot="1" x14ac:dyDescent="0.5">
      <c r="A62" s="1669"/>
      <c r="B62" s="1688"/>
      <c r="C62" s="1692"/>
      <c r="D62" s="933" t="s">
        <v>134</v>
      </c>
      <c r="E62" s="934">
        <f t="shared" ref="E62:E63" si="20">$C$61/4</f>
        <v>0.8928571428571429</v>
      </c>
      <c r="F62" s="1058" t="s">
        <v>276</v>
      </c>
      <c r="G62" s="912">
        <f>$E$62/1</f>
        <v>0.8928571428571429</v>
      </c>
      <c r="H62" s="507"/>
      <c r="I62" s="508"/>
      <c r="J62" s="1071">
        <f>IF(I62=H62,(H62-70),H62-I62)</f>
        <v>-70</v>
      </c>
      <c r="K62" s="914">
        <f t="shared" ref="K62:K63" si="21">IF(I62&gt;=70,0,((70-I62)*(6/10)))</f>
        <v>42</v>
      </c>
      <c r="L62" s="1072">
        <f t="shared" si="19"/>
        <v>42</v>
      </c>
      <c r="M62" s="874" t="str">
        <f>IF(H62=0,"0%",J62/K62)</f>
        <v>0%</v>
      </c>
      <c r="N62" s="1749"/>
      <c r="O62" s="1806"/>
      <c r="P62" s="1703"/>
      <c r="Q62" s="999" t="s">
        <v>182</v>
      </c>
      <c r="R62" s="640"/>
      <c r="S62" s="612" t="s">
        <v>463</v>
      </c>
    </row>
    <row r="63" spans="1:19" ht="26.45" customHeight="1" thickBot="1" x14ac:dyDescent="0.5">
      <c r="A63" s="1669"/>
      <c r="B63" s="1688"/>
      <c r="C63" s="1692"/>
      <c r="D63" s="933" t="s">
        <v>135</v>
      </c>
      <c r="E63" s="934">
        <f t="shared" si="20"/>
        <v>0.8928571428571429</v>
      </c>
      <c r="F63" s="933" t="s">
        <v>51</v>
      </c>
      <c r="G63" s="912">
        <f>E63/1</f>
        <v>0.8928571428571429</v>
      </c>
      <c r="H63" s="507"/>
      <c r="I63" s="508"/>
      <c r="J63" s="1071">
        <f>IF(I63=H63,(H63-70),H63-I63)</f>
        <v>-70</v>
      </c>
      <c r="K63" s="914">
        <f t="shared" si="21"/>
        <v>42</v>
      </c>
      <c r="L63" s="1072">
        <f t="shared" si="19"/>
        <v>42</v>
      </c>
      <c r="M63" s="874" t="str">
        <f>IF(H63=0,"0%",J63/K63)</f>
        <v>0%</v>
      </c>
      <c r="N63" s="1749"/>
      <c r="O63" s="1806"/>
      <c r="P63" s="1703"/>
      <c r="Q63" s="999" t="s">
        <v>95</v>
      </c>
      <c r="R63" s="500"/>
      <c r="S63" s="612" t="s">
        <v>463</v>
      </c>
    </row>
    <row r="64" spans="1:19" ht="15" customHeight="1" thickBot="1" x14ac:dyDescent="0.5">
      <c r="A64" s="1669"/>
      <c r="B64" s="1688"/>
      <c r="C64" s="1692"/>
      <c r="D64" s="1721" t="s">
        <v>136</v>
      </c>
      <c r="E64" s="1723">
        <f>$C$61/4</f>
        <v>0.8928571428571429</v>
      </c>
      <c r="F64" s="1073" t="s">
        <v>52</v>
      </c>
      <c r="G64" s="1074">
        <f>$E$64/3</f>
        <v>0.29761904761904762</v>
      </c>
      <c r="H64" s="559">
        <v>100</v>
      </c>
      <c r="I64" s="560">
        <v>100</v>
      </c>
      <c r="J64" s="1075">
        <f t="shared" ref="J64:J66" si="22">H64-I64</f>
        <v>0</v>
      </c>
      <c r="K64" s="1076">
        <f>(100-I64)*(6/10)</f>
        <v>0</v>
      </c>
      <c r="L64" s="1072">
        <f t="shared" si="19"/>
        <v>100</v>
      </c>
      <c r="M64" s="916" t="str">
        <f t="shared" ref="M64:M66" si="23">IF(K64&lt;&gt;0,J64/K64,"100%")</f>
        <v>100%</v>
      </c>
      <c r="N64" s="1749"/>
      <c r="O64" s="1806"/>
      <c r="P64" s="1703"/>
      <c r="Q64" s="999" t="s">
        <v>95</v>
      </c>
      <c r="R64" s="620"/>
      <c r="S64" s="641" t="s">
        <v>416</v>
      </c>
    </row>
    <row r="65" spans="1:19" ht="14.65" thickBot="1" x14ac:dyDescent="0.5">
      <c r="A65" s="1669"/>
      <c r="B65" s="1688"/>
      <c r="C65" s="1692"/>
      <c r="D65" s="1721"/>
      <c r="E65" s="1723"/>
      <c r="F65" s="1073" t="s">
        <v>53</v>
      </c>
      <c r="G65" s="1074">
        <f t="shared" ref="G65:G66" si="24">$E$64/3</f>
        <v>0.29761904761904762</v>
      </c>
      <c r="H65" s="559">
        <v>100</v>
      </c>
      <c r="I65" s="560">
        <v>0</v>
      </c>
      <c r="J65" s="1075">
        <f t="shared" si="22"/>
        <v>100</v>
      </c>
      <c r="K65" s="1076">
        <f>(100-I65)*(6/10)</f>
        <v>60</v>
      </c>
      <c r="L65" s="1072">
        <f t="shared" si="19"/>
        <v>60</v>
      </c>
      <c r="M65" s="916">
        <f t="shared" si="23"/>
        <v>1.6666666666666667</v>
      </c>
      <c r="N65" s="1749"/>
      <c r="O65" s="1806"/>
      <c r="P65" s="1703"/>
      <c r="Q65" s="999" t="s">
        <v>95</v>
      </c>
      <c r="R65" s="485"/>
      <c r="S65" s="641" t="s">
        <v>416</v>
      </c>
    </row>
    <row r="66" spans="1:19" ht="27.6" customHeight="1" thickBot="1" x14ac:dyDescent="0.5">
      <c r="A66" s="1669"/>
      <c r="B66" s="1739"/>
      <c r="C66" s="1729"/>
      <c r="D66" s="1728"/>
      <c r="E66" s="1752"/>
      <c r="F66" s="1077" t="s">
        <v>54</v>
      </c>
      <c r="G66" s="1078">
        <f t="shared" si="24"/>
        <v>0.29761904761904762</v>
      </c>
      <c r="H66" s="227"/>
      <c r="I66" s="228"/>
      <c r="J66" s="1079">
        <f t="shared" si="22"/>
        <v>0</v>
      </c>
      <c r="K66" s="1080">
        <f>(100-I66)*(6/10)</f>
        <v>60</v>
      </c>
      <c r="L66" s="1081">
        <f t="shared" si="19"/>
        <v>60</v>
      </c>
      <c r="M66" s="874">
        <f t="shared" si="23"/>
        <v>0</v>
      </c>
      <c r="N66" s="1750"/>
      <c r="O66" s="1807"/>
      <c r="P66" s="1679"/>
      <c r="Q66" s="1082" t="s">
        <v>95</v>
      </c>
      <c r="R66" s="484"/>
      <c r="S66" s="612"/>
    </row>
    <row r="67" spans="1:19" ht="27" customHeight="1" thickBot="1" x14ac:dyDescent="0.5">
      <c r="B67" s="1684" t="s">
        <v>55</v>
      </c>
      <c r="C67" s="1685"/>
      <c r="D67" s="1685"/>
      <c r="E67" s="1685"/>
      <c r="F67" s="1686"/>
      <c r="G67" s="1015"/>
      <c r="H67" s="397"/>
      <c r="I67" s="397"/>
      <c r="J67" s="1015"/>
      <c r="K67" s="1016"/>
      <c r="L67" s="1016"/>
      <c r="M67" s="923"/>
      <c r="N67" s="833">
        <f>N68</f>
        <v>0</v>
      </c>
      <c r="O67" s="834">
        <f>O68</f>
        <v>0</v>
      </c>
      <c r="P67" s="835">
        <f>O67/3.571428</f>
        <v>0</v>
      </c>
      <c r="Q67" s="1083"/>
      <c r="R67" s="250"/>
      <c r="S67" s="617"/>
    </row>
    <row r="68" spans="1:19" ht="58.5" thickBot="1" x14ac:dyDescent="0.5">
      <c r="A68" s="16">
        <v>17</v>
      </c>
      <c r="B68" s="1084" t="s">
        <v>56</v>
      </c>
      <c r="C68" s="1085">
        <f>M5</f>
        <v>3.5714285714285716</v>
      </c>
      <c r="D68" s="1084" t="s">
        <v>137</v>
      </c>
      <c r="E68" s="1085">
        <f>C68</f>
        <v>3.5714285714285716</v>
      </c>
      <c r="F68" s="1084" t="s">
        <v>57</v>
      </c>
      <c r="G68" s="1086">
        <f>E68/1</f>
        <v>3.5714285714285716</v>
      </c>
      <c r="H68" s="606"/>
      <c r="I68" s="188"/>
      <c r="J68" s="1089">
        <f>IF(I68=H68,(H68-70),I68-H68)</f>
        <v>-70</v>
      </c>
      <c r="K68" s="982">
        <f t="shared" ref="K68" si="25">IF(I68&gt;=70,0,((70-I68)*(6/10)))</f>
        <v>42</v>
      </c>
      <c r="L68" s="1090">
        <f>I68-K68</f>
        <v>-42</v>
      </c>
      <c r="M68" s="874" t="str">
        <f>IF(H68=0,"0%",J68/K68)</f>
        <v>0%</v>
      </c>
      <c r="N68" s="1091">
        <f>((G68/C68)*M68)</f>
        <v>0</v>
      </c>
      <c r="O68" s="970">
        <f>IF(((G68/C68)*M68)&gt;=1,3.571428,IF(((G68/C68)*M68)&lt;=0,0,((G68/C68)*M68)*3.571428))</f>
        <v>0</v>
      </c>
      <c r="P68" s="835">
        <f>O68/3.571428</f>
        <v>0</v>
      </c>
      <c r="Q68" s="1092" t="s">
        <v>132</v>
      </c>
      <c r="R68" s="214"/>
      <c r="S68" s="214" t="s">
        <v>534</v>
      </c>
    </row>
    <row r="69" spans="1:19" ht="22.25" customHeight="1" thickBot="1" x14ac:dyDescent="0.5">
      <c r="B69" s="1575" t="s">
        <v>58</v>
      </c>
      <c r="C69" s="1576"/>
      <c r="D69" s="1576"/>
      <c r="E69" s="1576"/>
      <c r="F69" s="1577"/>
      <c r="G69" s="173"/>
      <c r="H69" s="128"/>
      <c r="I69" s="193"/>
      <c r="J69" s="174"/>
      <c r="K69" s="79"/>
      <c r="L69" s="79"/>
      <c r="M69" s="1093"/>
      <c r="N69" s="833">
        <f>(N70+N72+N74)/3</f>
        <v>0</v>
      </c>
      <c r="O69" s="834">
        <f>(O70+O72+O74)</f>
        <v>0</v>
      </c>
      <c r="P69" s="835">
        <f>O69/10.714284</f>
        <v>0</v>
      </c>
      <c r="Q69" s="808"/>
      <c r="R69" s="276"/>
      <c r="S69" s="129"/>
    </row>
    <row r="70" spans="1:19" ht="20.45" customHeight="1" thickBot="1" x14ac:dyDescent="0.5">
      <c r="B70" s="1704" t="s">
        <v>59</v>
      </c>
      <c r="C70" s="1705"/>
      <c r="D70" s="1705"/>
      <c r="E70" s="1705"/>
      <c r="F70" s="1706"/>
      <c r="G70" s="923"/>
      <c r="H70" s="120"/>
      <c r="I70" s="121"/>
      <c r="J70" s="924"/>
      <c r="K70" s="924"/>
      <c r="L70" s="924"/>
      <c r="M70" s="1094"/>
      <c r="N70" s="833">
        <f>N71</f>
        <v>0</v>
      </c>
      <c r="O70" s="834">
        <f>O71</f>
        <v>0</v>
      </c>
      <c r="P70" s="835">
        <f t="shared" ref="P70:P78" si="26">O70/3.571428</f>
        <v>0</v>
      </c>
      <c r="Q70" s="1053"/>
      <c r="R70" s="269"/>
      <c r="S70" s="617"/>
    </row>
    <row r="71" spans="1:19" ht="52.25" customHeight="1" thickBot="1" x14ac:dyDescent="0.5">
      <c r="A71" s="16">
        <v>18</v>
      </c>
      <c r="B71" s="1095" t="s">
        <v>60</v>
      </c>
      <c r="C71" s="1096">
        <f>M5</f>
        <v>3.5714285714285716</v>
      </c>
      <c r="D71" s="1097" t="s">
        <v>138</v>
      </c>
      <c r="E71" s="1098">
        <f>C71</f>
        <v>3.5714285714285716</v>
      </c>
      <c r="F71" s="1099" t="s">
        <v>61</v>
      </c>
      <c r="G71" s="1100">
        <f>E71/1</f>
        <v>3.5714285714285716</v>
      </c>
      <c r="H71" s="82"/>
      <c r="I71" s="188"/>
      <c r="J71" s="1101">
        <f>I71-H71</f>
        <v>0</v>
      </c>
      <c r="K71" s="979">
        <f>(0.5*I71)*0.6</f>
        <v>0</v>
      </c>
      <c r="L71" s="1090">
        <f>I71-K71</f>
        <v>0</v>
      </c>
      <c r="M71" s="874" t="str">
        <f>IF(H71=0,"0%",J71/K71)</f>
        <v>0%</v>
      </c>
      <c r="N71" s="1091">
        <f>((G71/C71)*M71)</f>
        <v>0</v>
      </c>
      <c r="O71" s="970">
        <f>IF(((G71/C71)*M71)&gt;=1,3.571428,IF(((G71/C71)*M71)&lt;=0,0,((G71/C71)*M71)*3.571428))</f>
        <v>0</v>
      </c>
      <c r="P71" s="835">
        <f t="shared" si="26"/>
        <v>0</v>
      </c>
      <c r="Q71" s="1102" t="s">
        <v>183</v>
      </c>
      <c r="R71" s="214"/>
      <c r="S71" s="214" t="s">
        <v>534</v>
      </c>
    </row>
    <row r="72" spans="1:19" ht="20.45" customHeight="1" thickBot="1" x14ac:dyDescent="0.5">
      <c r="B72" s="1730" t="s">
        <v>277</v>
      </c>
      <c r="C72" s="1731"/>
      <c r="D72" s="1731"/>
      <c r="E72" s="1731"/>
      <c r="F72" s="1733"/>
      <c r="G72" s="985"/>
      <c r="H72" s="118"/>
      <c r="I72" s="189"/>
      <c r="J72" s="986"/>
      <c r="K72" s="987"/>
      <c r="L72" s="987"/>
      <c r="M72" s="988"/>
      <c r="N72" s="833">
        <f>N73</f>
        <v>0</v>
      </c>
      <c r="O72" s="834">
        <f>O73</f>
        <v>0</v>
      </c>
      <c r="P72" s="835">
        <f t="shared" si="26"/>
        <v>0</v>
      </c>
      <c r="Q72" s="1103"/>
      <c r="R72" s="269"/>
      <c r="S72" s="617"/>
    </row>
    <row r="73" spans="1:19" ht="45" customHeight="1" thickBot="1" x14ac:dyDescent="0.5">
      <c r="A73" s="16">
        <v>19</v>
      </c>
      <c r="B73" s="1104" t="s">
        <v>62</v>
      </c>
      <c r="C73" s="1105">
        <f>M5</f>
        <v>3.5714285714285716</v>
      </c>
      <c r="D73" s="1106" t="s">
        <v>139</v>
      </c>
      <c r="E73" s="1105">
        <f>C73</f>
        <v>3.5714285714285716</v>
      </c>
      <c r="F73" s="1107" t="s">
        <v>63</v>
      </c>
      <c r="G73" s="1108">
        <f>E73/1</f>
        <v>3.5714285714285716</v>
      </c>
      <c r="H73" s="82"/>
      <c r="I73" s="87"/>
      <c r="J73" s="1109">
        <f>I73-H73</f>
        <v>0</v>
      </c>
      <c r="K73" s="1110">
        <f>IF(H73&gt;0,(H73),I73)</f>
        <v>0</v>
      </c>
      <c r="L73" s="1111">
        <f>I73-K73</f>
        <v>0</v>
      </c>
      <c r="M73" s="874" t="str">
        <f>IF(H73=0,"0%",J73/K73)</f>
        <v>0%</v>
      </c>
      <c r="N73" s="1091">
        <f>((G73/C73)*M73)</f>
        <v>0</v>
      </c>
      <c r="O73" s="970">
        <f>IF(((G73/C73)*M73)&gt;=1,3.571428,IF(((G73/C73)*M73)&lt;=0,0,((G73/C73)*M73)*3.571428))</f>
        <v>0</v>
      </c>
      <c r="P73" s="835">
        <f t="shared" si="26"/>
        <v>0</v>
      </c>
      <c r="Q73" s="1112" t="s">
        <v>95</v>
      </c>
      <c r="R73" s="214"/>
      <c r="S73" s="214" t="s">
        <v>534</v>
      </c>
    </row>
    <row r="74" spans="1:19" ht="30.6" customHeight="1" thickBot="1" x14ac:dyDescent="0.5">
      <c r="B74" s="1704" t="s">
        <v>64</v>
      </c>
      <c r="C74" s="1705"/>
      <c r="D74" s="1705"/>
      <c r="E74" s="1705"/>
      <c r="F74" s="1706"/>
      <c r="G74" s="924"/>
      <c r="H74" s="120"/>
      <c r="I74" s="121"/>
      <c r="J74" s="924"/>
      <c r="K74" s="924"/>
      <c r="L74" s="924"/>
      <c r="M74" s="923"/>
      <c r="N74" s="833">
        <f>N75</f>
        <v>0</v>
      </c>
      <c r="O74" s="834">
        <f>O75</f>
        <v>0</v>
      </c>
      <c r="P74" s="835">
        <f t="shared" si="26"/>
        <v>0</v>
      </c>
      <c r="Q74" s="1053"/>
      <c r="R74" s="269"/>
      <c r="S74" s="617"/>
    </row>
    <row r="75" spans="1:19" ht="29.45" customHeight="1" thickBot="1" x14ac:dyDescent="0.5">
      <c r="A75" s="16">
        <v>20</v>
      </c>
      <c r="B75" s="1104" t="s">
        <v>65</v>
      </c>
      <c r="C75" s="964">
        <f>M5</f>
        <v>3.5714285714285716</v>
      </c>
      <c r="D75" s="1097" t="s">
        <v>140</v>
      </c>
      <c r="E75" s="1113">
        <f>C75</f>
        <v>3.5714285714285716</v>
      </c>
      <c r="F75" s="1106" t="s">
        <v>66</v>
      </c>
      <c r="G75" s="1100">
        <f>E75/1</f>
        <v>3.5714285714285716</v>
      </c>
      <c r="H75" s="1211"/>
      <c r="I75" s="1212"/>
      <c r="J75" s="1049">
        <f>H75-I75</f>
        <v>0</v>
      </c>
      <c r="K75" s="1050">
        <f>IF(AND(H75=0,I75=1)," 1",(H75-I75))</f>
        <v>0</v>
      </c>
      <c r="L75" s="1115">
        <f>I75+K75</f>
        <v>0</v>
      </c>
      <c r="M75" s="874" t="str">
        <f>IF(H75=0,"0%",J75/K75)</f>
        <v>0%</v>
      </c>
      <c r="N75" s="1091">
        <f>((G75/C75)*M75)</f>
        <v>0</v>
      </c>
      <c r="O75" s="970">
        <f>IF(((G75/C75)*M75)&gt;=1,3.571428,IF(((G75/C75)*M75)&lt;=0,0,((G75/C75)*M75)*3.571428))</f>
        <v>0</v>
      </c>
      <c r="P75" s="835">
        <f t="shared" si="26"/>
        <v>0</v>
      </c>
      <c r="Q75" s="1117" t="s">
        <v>95</v>
      </c>
      <c r="R75" s="214"/>
      <c r="S75" s="214" t="s">
        <v>534</v>
      </c>
    </row>
    <row r="76" spans="1:19" ht="20.45" customHeight="1" thickBot="1" x14ac:dyDescent="0.5">
      <c r="B76" s="1763" t="s">
        <v>67</v>
      </c>
      <c r="C76" s="1764"/>
      <c r="D76" s="1764"/>
      <c r="E76" s="1764"/>
      <c r="F76" s="1765"/>
      <c r="G76" s="1118"/>
      <c r="H76" s="130"/>
      <c r="I76" s="131"/>
      <c r="J76" s="1119"/>
      <c r="K76" s="807"/>
      <c r="L76" s="807"/>
      <c r="M76" s="1118"/>
      <c r="N76" s="833">
        <f t="shared" ref="N76:O77" si="27">N77</f>
        <v>0</v>
      </c>
      <c r="O76" s="834">
        <f t="shared" si="27"/>
        <v>0</v>
      </c>
      <c r="P76" s="835">
        <f t="shared" si="26"/>
        <v>0</v>
      </c>
      <c r="Q76" s="1120"/>
      <c r="R76" s="278"/>
      <c r="S76" s="622"/>
    </row>
    <row r="77" spans="1:19" ht="20.45" customHeight="1" thickBot="1" x14ac:dyDescent="0.5">
      <c r="B77" s="1704" t="s">
        <v>68</v>
      </c>
      <c r="C77" s="1705"/>
      <c r="D77" s="1705"/>
      <c r="E77" s="1705"/>
      <c r="F77" s="1706"/>
      <c r="G77" s="923"/>
      <c r="H77" s="120"/>
      <c r="I77" s="121"/>
      <c r="J77" s="946"/>
      <c r="K77" s="947"/>
      <c r="L77" s="947"/>
      <c r="M77" s="925"/>
      <c r="N77" s="833">
        <f t="shared" si="27"/>
        <v>0</v>
      </c>
      <c r="O77" s="834">
        <f t="shared" si="27"/>
        <v>0</v>
      </c>
      <c r="P77" s="835">
        <f t="shared" si="26"/>
        <v>0</v>
      </c>
      <c r="Q77" s="1053"/>
      <c r="R77" s="269"/>
      <c r="S77" s="617"/>
    </row>
    <row r="78" spans="1:19" ht="35.25" thickBot="1" x14ac:dyDescent="0.5">
      <c r="A78" s="16">
        <v>21</v>
      </c>
      <c r="B78" s="1104" t="s">
        <v>69</v>
      </c>
      <c r="C78" s="1113">
        <f>M5</f>
        <v>3.5714285714285716</v>
      </c>
      <c r="D78" s="1121" t="s">
        <v>141</v>
      </c>
      <c r="E78" s="1113">
        <f>C78</f>
        <v>3.5714285714285716</v>
      </c>
      <c r="F78" s="1121" t="s">
        <v>70</v>
      </c>
      <c r="G78" s="1085">
        <f>E78/1</f>
        <v>3.5714285714285716</v>
      </c>
      <c r="H78" s="82"/>
      <c r="I78" s="188"/>
      <c r="J78" s="1089">
        <f>IF(I78=H78,(H78-60),H78-I78)</f>
        <v>-60</v>
      </c>
      <c r="K78" s="982">
        <f>IF(I78&gt;=60,0,((60-I78)*(6/10)))</f>
        <v>36</v>
      </c>
      <c r="L78" s="1090">
        <f t="shared" ref="L78" si="28">K78+I78</f>
        <v>36</v>
      </c>
      <c r="M78" s="968">
        <f>IF(I78&gt;=60,(1+(H78-60)/60),(H78/L78))</f>
        <v>0</v>
      </c>
      <c r="N78" s="1091">
        <f>((G78/C78)*M78)</f>
        <v>0</v>
      </c>
      <c r="O78" s="970">
        <f>IF(((G78/C78)*M78)&gt;=1,3.571428,IF(((G78/C78)*M78)&lt;=0,0,((G78/C78)*M78)*3.571428))</f>
        <v>0</v>
      </c>
      <c r="P78" s="835">
        <f t="shared" si="26"/>
        <v>0</v>
      </c>
      <c r="Q78" s="1122" t="s">
        <v>95</v>
      </c>
      <c r="R78" s="214"/>
      <c r="S78" s="214" t="s">
        <v>537</v>
      </c>
    </row>
    <row r="79" spans="1:19" ht="21.6" customHeight="1" thickBot="1" x14ac:dyDescent="0.5">
      <c r="B79" s="1757" t="s">
        <v>71</v>
      </c>
      <c r="C79" s="1758"/>
      <c r="D79" s="1758"/>
      <c r="E79" s="1758"/>
      <c r="F79" s="1759"/>
      <c r="G79" s="1118"/>
      <c r="H79" s="130"/>
      <c r="I79" s="131"/>
      <c r="J79" s="1123"/>
      <c r="K79" s="1124"/>
      <c r="L79" s="1124"/>
      <c r="M79" s="1118"/>
      <c r="N79" s="833">
        <f>(N80+N86)/2</f>
        <v>0.45401756819232542</v>
      </c>
      <c r="O79" s="834">
        <f>(O80+O86)</f>
        <v>4.5018375554692556</v>
      </c>
      <c r="P79" s="835">
        <f>O79/10.714284</f>
        <v>0.42017157240458214</v>
      </c>
      <c r="Q79" s="1120"/>
      <c r="R79" s="278"/>
      <c r="S79" s="622"/>
    </row>
    <row r="80" spans="1:19" ht="20.45" customHeight="1" thickBot="1" x14ac:dyDescent="0.5">
      <c r="B80" s="1684" t="s">
        <v>72</v>
      </c>
      <c r="C80" s="1685"/>
      <c r="D80" s="1685"/>
      <c r="E80" s="1685"/>
      <c r="F80" s="1686"/>
      <c r="G80" s="948"/>
      <c r="H80" s="132"/>
      <c r="I80" s="133"/>
      <c r="J80" s="924"/>
      <c r="K80" s="924"/>
      <c r="L80" s="924"/>
      <c r="M80" s="948"/>
      <c r="N80" s="833">
        <f>(N81+N83)/2</f>
        <v>0.35247958082909542</v>
      </c>
      <c r="O80" s="834">
        <f>(O81+O83)</f>
        <v>2.517710888802589</v>
      </c>
      <c r="P80" s="835">
        <f>O80/7.142856</f>
        <v>0.35247958082909536</v>
      </c>
      <c r="Q80" s="1125"/>
      <c r="R80" s="255"/>
      <c r="S80" s="613"/>
    </row>
    <row r="81" spans="1:19" ht="46.9" thickBot="1" x14ac:dyDescent="0.5">
      <c r="A81" s="16"/>
      <c r="B81" s="1760" t="s">
        <v>73</v>
      </c>
      <c r="C81" s="1691">
        <f>M5</f>
        <v>3.5714285714285716</v>
      </c>
      <c r="D81" s="926" t="s">
        <v>267</v>
      </c>
      <c r="E81" s="853">
        <f>$C$81/2</f>
        <v>1.7857142857142858</v>
      </c>
      <c r="F81" s="1054" t="s">
        <v>278</v>
      </c>
      <c r="G81" s="905">
        <f>E81/1</f>
        <v>1.7857142857142858</v>
      </c>
      <c r="H81" s="906">
        <v>42.2</v>
      </c>
      <c r="I81" s="907"/>
      <c r="J81" s="1019">
        <f>IF(I81=H81,(H81-50),H81-I81)</f>
        <v>42.2</v>
      </c>
      <c r="K81" s="909">
        <f>IF(I81&gt;=50,0,((50-I81)*(6/10)))</f>
        <v>30</v>
      </c>
      <c r="L81" s="1126">
        <f>I81+K81</f>
        <v>30</v>
      </c>
      <c r="M81" s="874" t="str">
        <f>IF(I81=0,"0%",J81/K81)</f>
        <v>0%</v>
      </c>
      <c r="N81" s="1748">
        <f>(((G81/C81)*M81)+((G82/C81)*M82))</f>
        <v>0.65333333333333332</v>
      </c>
      <c r="O81" s="1699">
        <f>IF((((G81/C81)*M81)+((G82/C81)*M82))&gt;=1,3.57148,IF((((G81/C81)*M81)+((G82/C81)*M82))&lt;=0,0, (((G81/C81)*M81)+((G82/C81)*M82))*3.571428))</f>
        <v>2.3333329599999999</v>
      </c>
      <c r="P81" s="1678">
        <f>O81/3.571428</f>
        <v>0.65333333333333332</v>
      </c>
      <c r="Q81" s="1127" t="s">
        <v>279</v>
      </c>
      <c r="R81" s="215" t="s">
        <v>538</v>
      </c>
      <c r="S81" s="196"/>
    </row>
    <row r="82" spans="1:19" ht="39.6" customHeight="1" thickBot="1" x14ac:dyDescent="0.5">
      <c r="A82" s="16"/>
      <c r="B82" s="1761"/>
      <c r="C82" s="1762"/>
      <c r="D82" s="953" t="s">
        <v>268</v>
      </c>
      <c r="E82" s="868">
        <f>$C$81/2</f>
        <v>1.7857142857142858</v>
      </c>
      <c r="F82" s="954" t="s">
        <v>74</v>
      </c>
      <c r="G82" s="919">
        <f>E82/1</f>
        <v>1.7857142857142858</v>
      </c>
      <c r="H82" s="1334">
        <v>39.200000000000003</v>
      </c>
      <c r="I82" s="1344">
        <v>39.200000000000003</v>
      </c>
      <c r="J82" s="1128">
        <f>IF(I82=H82,(H82-30),H82-I82)</f>
        <v>9.2000000000000028</v>
      </c>
      <c r="K82" s="921">
        <f>IF(I82&gt;=30,0,((30-I82)*(6/10)))</f>
        <v>0</v>
      </c>
      <c r="L82" s="1129">
        <f t="shared" ref="L82" si="29">K82+I82</f>
        <v>39.200000000000003</v>
      </c>
      <c r="M82" s="874">
        <f>IF(I82&gt;=30,(1+(H82-30)/30),(H82/L82))</f>
        <v>1.3066666666666666</v>
      </c>
      <c r="N82" s="1750"/>
      <c r="O82" s="1800"/>
      <c r="P82" s="1679"/>
      <c r="Q82" s="1130" t="s">
        <v>282</v>
      </c>
      <c r="R82" s="216" t="s">
        <v>539</v>
      </c>
      <c r="S82" s="198"/>
    </row>
    <row r="83" spans="1:19" ht="60" customHeight="1" thickBot="1" x14ac:dyDescent="0.5">
      <c r="A83" s="16"/>
      <c r="B83" s="1774" t="s">
        <v>142</v>
      </c>
      <c r="C83" s="1776">
        <f>M5</f>
        <v>3.5714285714285716</v>
      </c>
      <c r="D83" s="1131" t="s">
        <v>145</v>
      </c>
      <c r="E83" s="853">
        <f>$C$81/3</f>
        <v>1.1904761904761905</v>
      </c>
      <c r="F83" s="926" t="s">
        <v>143</v>
      </c>
      <c r="G83" s="905">
        <f>E83/1</f>
        <v>1.1904761904761905</v>
      </c>
      <c r="H83" s="906"/>
      <c r="I83" s="907">
        <v>8.5</v>
      </c>
      <c r="J83" s="1132">
        <f>I83-H83</f>
        <v>8.5</v>
      </c>
      <c r="K83" s="1008">
        <f>(0.2*I83)*(6/10)</f>
        <v>1.02</v>
      </c>
      <c r="L83" s="1133">
        <f>I83-K83</f>
        <v>7.48</v>
      </c>
      <c r="M83" s="874" t="str">
        <f>IF(H83=0,"0%",J83/K83)</f>
        <v>0%</v>
      </c>
      <c r="N83" s="1779">
        <f>(((G83/C83)*M83)+((G84/C83)*M84)+((G85/C83)*M85))</f>
        <v>5.1625828324857473E-2</v>
      </c>
      <c r="O83" s="1702">
        <f>IF((((G83/C83)*M83)+((G84/C83)*M84)+((G85/C83)*M85))&gt;=1,3.571428,IF((((G83/C83)*M83)+((G84/C83)*M84)+((G85/C83)*M85))&lt;=0,0,(((G83/C83)*M83)+((G84/C83)*M84)+((G85/C83)*M85))*3.571428))</f>
        <v>0.18437792880258908</v>
      </c>
      <c r="P83" s="1678">
        <f>O83/3.571428</f>
        <v>5.1625828324857473E-2</v>
      </c>
      <c r="Q83" s="1134" t="s">
        <v>184</v>
      </c>
      <c r="R83" s="207" t="s">
        <v>514</v>
      </c>
      <c r="S83" s="213"/>
    </row>
    <row r="84" spans="1:19" ht="45" customHeight="1" thickBot="1" x14ac:dyDescent="0.5">
      <c r="A84" s="16"/>
      <c r="B84" s="1774"/>
      <c r="C84" s="1777"/>
      <c r="D84" s="1135" t="s">
        <v>146</v>
      </c>
      <c r="E84" s="934">
        <f t="shared" ref="E84:E85" si="30">$C$81/3</f>
        <v>1.1904761904761905</v>
      </c>
      <c r="F84" s="1058" t="s">
        <v>283</v>
      </c>
      <c r="G84" s="912">
        <f>E84/1</f>
        <v>1.1904761904761905</v>
      </c>
      <c r="H84" s="105"/>
      <c r="I84" s="106"/>
      <c r="J84" s="1136">
        <f>I84-H84</f>
        <v>0</v>
      </c>
      <c r="K84" s="1008">
        <f>(0.5*I84)*(6/10)</f>
        <v>0</v>
      </c>
      <c r="L84" s="1137">
        <f>I84-K84</f>
        <v>0</v>
      </c>
      <c r="M84" s="874" t="str">
        <f>IF(H84=0,"0%",J84/K84)</f>
        <v>0%</v>
      </c>
      <c r="N84" s="1780"/>
      <c r="O84" s="1802"/>
      <c r="P84" s="1703"/>
      <c r="Q84" s="1138" t="s">
        <v>185</v>
      </c>
      <c r="R84" s="651"/>
      <c r="S84" s="217" t="s">
        <v>534</v>
      </c>
    </row>
    <row r="85" spans="1:19" ht="38.450000000000003" customHeight="1" thickBot="1" x14ac:dyDescent="0.5">
      <c r="A85" s="16"/>
      <c r="B85" s="1775"/>
      <c r="C85" s="1778"/>
      <c r="D85" s="1139" t="s">
        <v>147</v>
      </c>
      <c r="E85" s="868">
        <f t="shared" si="30"/>
        <v>1.1904761904761905</v>
      </c>
      <c r="F85" s="954" t="s">
        <v>144</v>
      </c>
      <c r="G85" s="919">
        <f>E85/1</f>
        <v>1.1904761904761905</v>
      </c>
      <c r="H85" s="100">
        <v>34.6</v>
      </c>
      <c r="I85" s="107">
        <v>27.9</v>
      </c>
      <c r="J85" s="1140">
        <f>H85-I85</f>
        <v>6.7000000000000028</v>
      </c>
      <c r="K85" s="1141">
        <f>(100-I85)*(6/10)</f>
        <v>43.26</v>
      </c>
      <c r="L85" s="1142">
        <f>I85+K85</f>
        <v>71.16</v>
      </c>
      <c r="M85" s="898">
        <f>IF(H85&gt;=100,167%, IF(K85&lt;&gt;0,J85/K85,"0%"))</f>
        <v>0.15487748497457243</v>
      </c>
      <c r="N85" s="1781"/>
      <c r="O85" s="1803"/>
      <c r="P85" s="1679"/>
      <c r="Q85" s="1143" t="s">
        <v>284</v>
      </c>
      <c r="R85" s="204" t="s">
        <v>540</v>
      </c>
      <c r="S85" s="218"/>
    </row>
    <row r="86" spans="1:19" ht="20.45" customHeight="1" thickBot="1" x14ac:dyDescent="0.5">
      <c r="B86" s="1766" t="s">
        <v>75</v>
      </c>
      <c r="C86" s="1767"/>
      <c r="D86" s="1767"/>
      <c r="E86" s="1767"/>
      <c r="F86" s="1768"/>
      <c r="G86" s="1094"/>
      <c r="H86" s="134"/>
      <c r="I86" s="135"/>
      <c r="J86" s="1144"/>
      <c r="K86" s="1145"/>
      <c r="L86" s="1145"/>
      <c r="M86" s="948"/>
      <c r="N86" s="833">
        <f>N87</f>
        <v>0.55555555555555547</v>
      </c>
      <c r="O86" s="834">
        <f>O87</f>
        <v>1.9841266666666664</v>
      </c>
      <c r="P86" s="835">
        <f>O86/3.571428</f>
        <v>0.55555555555555547</v>
      </c>
      <c r="Q86" s="1016"/>
      <c r="R86" s="250"/>
      <c r="S86" s="611"/>
    </row>
    <row r="87" spans="1:19" ht="27.6" customHeight="1" x14ac:dyDescent="0.45">
      <c r="A87" s="1710">
        <v>24</v>
      </c>
      <c r="B87" s="1769" t="s">
        <v>76</v>
      </c>
      <c r="C87" s="1771">
        <f>M5</f>
        <v>3.5714285714285716</v>
      </c>
      <c r="D87" s="1004" t="s">
        <v>159</v>
      </c>
      <c r="E87" s="1005">
        <f>($C$87/3)</f>
        <v>1.1904761904761905</v>
      </c>
      <c r="F87" s="1146" t="s">
        <v>285</v>
      </c>
      <c r="G87" s="1147">
        <f>E87/1</f>
        <v>1.1904761904761905</v>
      </c>
      <c r="H87" s="1148">
        <v>20.7</v>
      </c>
      <c r="I87" s="1149"/>
      <c r="J87" s="1150">
        <f>I87-H87</f>
        <v>-20.7</v>
      </c>
      <c r="K87" s="1151">
        <f>(0.25*I87)*(6/10)</f>
        <v>0</v>
      </c>
      <c r="L87" s="1152">
        <f>I87-K87</f>
        <v>0</v>
      </c>
      <c r="M87" s="859" t="str">
        <f>IF(K87&lt;&gt;0,J87/K87,"0%")</f>
        <v>0%</v>
      </c>
      <c r="N87" s="1716">
        <f>(((G87/C87)*M87)+((G88/C87)*M88)+((G89/C87)*M89)+((G90/C87)*M90)+((G91/C87)*M91))</f>
        <v>0.55555555555555547</v>
      </c>
      <c r="O87" s="1702">
        <f>IF((((G87/C87)*M87)+((G88/C87)*M88)+((G89/C87)*M89)+((G90/C87)*M90)+((G91/C87)*M91))&gt;=1,3.571428,IF((((G87/C87)*M87)+((G88/C87)*M88)+((G89/C87)*M89)+((G90/C87)*M90)+((G91/C87)*M91))&lt;=0,0,((((G87/C87)*M87)+((G88/C87)*M88)+((G89/C87)*M89)+((G90/C87)*M90)+((G91/C87)*M91))*3.571428)))</f>
        <v>1.9841266666666664</v>
      </c>
      <c r="P87" s="1678">
        <f>O87/3.571428</f>
        <v>0.55555555555555547</v>
      </c>
      <c r="Q87" s="1153" t="s">
        <v>186</v>
      </c>
      <c r="R87" s="219" t="s">
        <v>541</v>
      </c>
      <c r="S87" s="220"/>
    </row>
    <row r="88" spans="1:19" ht="25.8" customHeight="1" x14ac:dyDescent="0.45">
      <c r="A88" s="1710"/>
      <c r="B88" s="1769"/>
      <c r="C88" s="1772"/>
      <c r="D88" s="1782" t="s">
        <v>160</v>
      </c>
      <c r="E88" s="1783">
        <f>C87/3</f>
        <v>1.1904761904761905</v>
      </c>
      <c r="F88" s="935" t="s">
        <v>77</v>
      </c>
      <c r="G88" s="1154">
        <f>$E$88/3</f>
        <v>0.3968253968253968</v>
      </c>
      <c r="H88" s="101"/>
      <c r="I88" s="104"/>
      <c r="J88" s="1155">
        <f>I88-H88</f>
        <v>0</v>
      </c>
      <c r="K88" s="1156">
        <f>I88*(6/10)</f>
        <v>0</v>
      </c>
      <c r="L88" s="1157">
        <f>I88-K88</f>
        <v>0</v>
      </c>
      <c r="M88" s="916" t="str">
        <f>IF(K88&lt;&gt;0,J88/K88,"0%")</f>
        <v>0%</v>
      </c>
      <c r="N88" s="1697"/>
      <c r="O88" s="1802"/>
      <c r="P88" s="1703"/>
      <c r="Q88" s="1158" t="s">
        <v>187</v>
      </c>
      <c r="R88" s="221"/>
      <c r="S88" s="204" t="s">
        <v>534</v>
      </c>
    </row>
    <row r="89" spans="1:19" ht="59.65" customHeight="1" x14ac:dyDescent="0.45">
      <c r="A89" s="1710"/>
      <c r="B89" s="1769"/>
      <c r="C89" s="1772"/>
      <c r="D89" s="1782"/>
      <c r="E89" s="1783"/>
      <c r="F89" s="935" t="s">
        <v>78</v>
      </c>
      <c r="G89" s="1154">
        <f>$E$88/3</f>
        <v>0.3968253968253968</v>
      </c>
      <c r="H89" s="101"/>
      <c r="I89" s="104"/>
      <c r="J89" s="1155">
        <f>I89-H89</f>
        <v>0</v>
      </c>
      <c r="K89" s="1156">
        <f>I89*(6/10)</f>
        <v>0</v>
      </c>
      <c r="L89" s="1157">
        <f>I89-K89</f>
        <v>0</v>
      </c>
      <c r="M89" s="916" t="str">
        <f>IF(K89&lt;&gt;0,J89/K89,"0%")</f>
        <v>0%</v>
      </c>
      <c r="N89" s="1697"/>
      <c r="O89" s="1802"/>
      <c r="P89" s="1703"/>
      <c r="Q89" s="1158" t="s">
        <v>188</v>
      </c>
      <c r="R89" s="221"/>
      <c r="S89" s="204" t="s">
        <v>534</v>
      </c>
    </row>
    <row r="90" spans="1:19" ht="26.45" customHeight="1" thickBot="1" x14ac:dyDescent="0.5">
      <c r="A90" s="1710"/>
      <c r="B90" s="1769"/>
      <c r="C90" s="1772"/>
      <c r="D90" s="1782"/>
      <c r="E90" s="1783"/>
      <c r="F90" s="935" t="s">
        <v>79</v>
      </c>
      <c r="G90" s="1154">
        <f>$E$88/3</f>
        <v>0.3968253968253968</v>
      </c>
      <c r="H90" s="105"/>
      <c r="I90" s="106"/>
      <c r="J90" s="1155">
        <f>I90-H90</f>
        <v>0</v>
      </c>
      <c r="K90" s="1159">
        <f>(I90)*(6/10)</f>
        <v>0</v>
      </c>
      <c r="L90" s="1160">
        <f>I90-K90</f>
        <v>0</v>
      </c>
      <c r="M90" s="874" t="str">
        <f>IF(H90=0,"0%",J90/K90)</f>
        <v>0%</v>
      </c>
      <c r="N90" s="1697"/>
      <c r="O90" s="1802"/>
      <c r="P90" s="1703"/>
      <c r="Q90" s="1161" t="s">
        <v>189</v>
      </c>
      <c r="R90" s="221"/>
      <c r="S90" s="204" t="s">
        <v>534</v>
      </c>
    </row>
    <row r="91" spans="1:19" ht="40.799999999999997" customHeight="1" thickBot="1" x14ac:dyDescent="0.5">
      <c r="A91" s="1710"/>
      <c r="B91" s="1770"/>
      <c r="C91" s="1773"/>
      <c r="D91" s="918" t="s">
        <v>161</v>
      </c>
      <c r="E91" s="868">
        <f>$C$87/3</f>
        <v>1.1904761904761905</v>
      </c>
      <c r="F91" s="1162" t="s">
        <v>80</v>
      </c>
      <c r="G91" s="1163">
        <f>E91/1</f>
        <v>1.1904761904761905</v>
      </c>
      <c r="H91" s="100">
        <v>100</v>
      </c>
      <c r="I91" s="107">
        <v>100</v>
      </c>
      <c r="J91" s="1164">
        <f>H91-I91</f>
        <v>0</v>
      </c>
      <c r="K91" s="1141">
        <f>(100-I91)*(6/10)</f>
        <v>0</v>
      </c>
      <c r="L91" s="1165">
        <f>I91+K91</f>
        <v>100</v>
      </c>
      <c r="M91" s="874">
        <f>IF(I91&gt;=60,(1+(H91-60)/60),(H91/L91))</f>
        <v>1.6666666666666665</v>
      </c>
      <c r="N91" s="1698"/>
      <c r="O91" s="1803"/>
      <c r="P91" s="1679"/>
      <c r="Q91" s="1166" t="s">
        <v>95</v>
      </c>
      <c r="R91" s="222"/>
      <c r="S91" s="204" t="s">
        <v>532</v>
      </c>
    </row>
    <row r="92" spans="1:19" ht="14.65" thickBot="1" x14ac:dyDescent="0.5">
      <c r="B92" s="1535" t="s">
        <v>81</v>
      </c>
      <c r="C92" s="1536"/>
      <c r="D92" s="1536"/>
      <c r="E92" s="1536"/>
      <c r="F92" s="1537"/>
      <c r="G92" s="11"/>
      <c r="H92" s="130"/>
      <c r="I92" s="131"/>
      <c r="J92" s="175"/>
      <c r="K92" s="11"/>
      <c r="L92" s="11"/>
      <c r="M92" s="173"/>
      <c r="N92" s="833">
        <f>(N93+N97)/2</f>
        <v>0.33879427923296329</v>
      </c>
      <c r="O92" s="834">
        <f>(O93+O97)</f>
        <v>6.432735833333334</v>
      </c>
      <c r="P92" s="835">
        <f>O92/14.285712</f>
        <v>0.45029158037998623</v>
      </c>
      <c r="Q92" s="1029"/>
      <c r="R92" s="268"/>
      <c r="S92" s="616"/>
    </row>
    <row r="93" spans="1:19" ht="20.45" customHeight="1" thickBot="1" x14ac:dyDescent="0.5">
      <c r="B93" s="1684" t="s">
        <v>82</v>
      </c>
      <c r="C93" s="1685"/>
      <c r="D93" s="1685"/>
      <c r="E93" s="1685"/>
      <c r="F93" s="1686"/>
      <c r="G93" s="923"/>
      <c r="H93" s="120"/>
      <c r="I93" s="121"/>
      <c r="J93" s="947"/>
      <c r="K93" s="947"/>
      <c r="L93" s="947"/>
      <c r="M93" s="948"/>
      <c r="N93" s="833">
        <f>N94</f>
        <v>6.944444444444442E-2</v>
      </c>
      <c r="O93" s="834">
        <f>O94</f>
        <v>0.24801583333333324</v>
      </c>
      <c r="P93" s="835">
        <f>O93/3.571428</f>
        <v>6.944444444444442E-2</v>
      </c>
      <c r="Q93" s="1017"/>
      <c r="R93" s="255"/>
      <c r="S93" s="617"/>
    </row>
    <row r="94" spans="1:19" ht="34.799999999999997" customHeight="1" x14ac:dyDescent="0.45">
      <c r="A94" s="1669">
        <v>25</v>
      </c>
      <c r="B94" s="1687" t="s">
        <v>83</v>
      </c>
      <c r="C94" s="1784">
        <f>M5</f>
        <v>3.5714285714285716</v>
      </c>
      <c r="D94" s="1727" t="s">
        <v>214</v>
      </c>
      <c r="E94" s="1018">
        <f>$C$94/3</f>
        <v>1.1904761904761905</v>
      </c>
      <c r="F94" s="926" t="s">
        <v>269</v>
      </c>
      <c r="G94" s="1167">
        <f>E94/1</f>
        <v>1.1904761904761905</v>
      </c>
      <c r="H94" s="906"/>
      <c r="I94" s="1213"/>
      <c r="J94" s="1168">
        <f>H94-I94</f>
        <v>0</v>
      </c>
      <c r="K94" s="1169">
        <f>(100-I94)*(6/10)</f>
        <v>60</v>
      </c>
      <c r="L94" s="1170">
        <f>I94+K94</f>
        <v>60</v>
      </c>
      <c r="M94" s="859">
        <f>IF(K94&lt;&gt;0,J94/K94,"100%")</f>
        <v>0</v>
      </c>
      <c r="N94" s="1748">
        <f>(((G94/C94)*M94)+((G95/C94)*M95)+((G96/C94)*M96))</f>
        <v>6.944444444444442E-2</v>
      </c>
      <c r="O94" s="1702">
        <f>IF((((G94/C94)*M94)+((G95/C94)*M95)+((G96/C94)*M96))&gt;=1,3.571428,IF((((G94/C94)*M94)+((G95/C94)*M95)+((G96/C94)*M96))&lt;=0,0,(((G94/C94)*M94)+((G95/C94)*M95)+((G96/C94)*M96))*3.571428))</f>
        <v>0.24801583333333324</v>
      </c>
      <c r="P94" s="1678">
        <f>O94/3.571428</f>
        <v>6.944444444444442E-2</v>
      </c>
      <c r="Q94" s="1171" t="s">
        <v>190</v>
      </c>
      <c r="R94" s="196"/>
      <c r="S94" s="196" t="s">
        <v>542</v>
      </c>
    </row>
    <row r="95" spans="1:19" ht="39.6" customHeight="1" x14ac:dyDescent="0.45">
      <c r="A95" s="1669"/>
      <c r="B95" s="1688"/>
      <c r="C95" s="1785"/>
      <c r="D95" s="1721"/>
      <c r="E95" s="1172">
        <f t="shared" ref="E95:E96" si="31">$C$94/3</f>
        <v>1.1904761904761905</v>
      </c>
      <c r="F95" s="1058" t="s">
        <v>270</v>
      </c>
      <c r="G95" s="1154">
        <f>E95/1</f>
        <v>1.1904761904761905</v>
      </c>
      <c r="H95" s="101">
        <v>0.3</v>
      </c>
      <c r="I95" s="1345">
        <v>0.2</v>
      </c>
      <c r="J95" s="1155">
        <f>IF(AND(I95&gt;1,(H95-I95=0)),(H95-1),(H95-I95))</f>
        <v>9.9999999999999978E-2</v>
      </c>
      <c r="K95" s="997">
        <f>IF(AND(I95&gt;=1,H95&gt;=1),"0",((1-I95)*(6/10)))</f>
        <v>0.48</v>
      </c>
      <c r="L95" s="1173">
        <f t="shared" ref="L95:L96" si="32">I95+K95</f>
        <v>0.67999999999999994</v>
      </c>
      <c r="M95" s="916">
        <f>IF(I95&gt;=1,(1+(H95-1)/1),(J95/K95))</f>
        <v>0.20833333333333329</v>
      </c>
      <c r="N95" s="1749"/>
      <c r="O95" s="1802"/>
      <c r="P95" s="1703"/>
      <c r="Q95" s="1174" t="s">
        <v>191</v>
      </c>
      <c r="R95" s="204" t="s">
        <v>543</v>
      </c>
      <c r="S95" s="204" t="s">
        <v>544</v>
      </c>
    </row>
    <row r="96" spans="1:19" ht="41.45" customHeight="1" thickBot="1" x14ac:dyDescent="0.5">
      <c r="A96" s="1669"/>
      <c r="B96" s="1739"/>
      <c r="C96" s="1786"/>
      <c r="D96" s="1728"/>
      <c r="E96" s="1021">
        <f t="shared" si="31"/>
        <v>1.1904761904761905</v>
      </c>
      <c r="F96" s="953" t="s">
        <v>84</v>
      </c>
      <c r="G96" s="1163">
        <f>E96/1</f>
        <v>1.1904761904761905</v>
      </c>
      <c r="H96" s="100"/>
      <c r="I96" s="1346"/>
      <c r="J96" s="1164">
        <f>H96-I96</f>
        <v>0</v>
      </c>
      <c r="K96" s="1141">
        <f>(100-I96)*(6/10)</f>
        <v>60</v>
      </c>
      <c r="L96" s="1165">
        <f t="shared" si="32"/>
        <v>60</v>
      </c>
      <c r="M96" s="874">
        <f>IF(K96&lt;&gt;0,J96/K96,"100%")</f>
        <v>0</v>
      </c>
      <c r="N96" s="1750"/>
      <c r="O96" s="1803"/>
      <c r="P96" s="1679"/>
      <c r="Q96" s="1175" t="s">
        <v>95</v>
      </c>
      <c r="R96" s="198" t="s">
        <v>545</v>
      </c>
      <c r="S96" s="198" t="s">
        <v>546</v>
      </c>
    </row>
    <row r="97" spans="1:19" ht="18" customHeight="1" thickBot="1" x14ac:dyDescent="0.5">
      <c r="B97" s="1787" t="s">
        <v>85</v>
      </c>
      <c r="C97" s="1788"/>
      <c r="D97" s="1788"/>
      <c r="E97" s="1788"/>
      <c r="F97" s="1789"/>
      <c r="G97" s="1176"/>
      <c r="H97" s="109"/>
      <c r="I97" s="110"/>
      <c r="J97" s="1176"/>
      <c r="K97" s="1177"/>
      <c r="L97" s="1177"/>
      <c r="M97" s="1178"/>
      <c r="N97" s="1179">
        <f>(N98+N99+N100)/3</f>
        <v>0.60814411402148216</v>
      </c>
      <c r="O97" s="1180">
        <f>(O98+O99+O100)</f>
        <v>6.1847200000000004</v>
      </c>
      <c r="P97" s="835">
        <f>O97/10.714284</f>
        <v>0.57724062569183354</v>
      </c>
      <c r="Q97" s="1181"/>
      <c r="R97" s="255"/>
      <c r="S97" s="613"/>
    </row>
    <row r="98" spans="1:19" ht="29.45" customHeight="1" thickBot="1" x14ac:dyDescent="0.5">
      <c r="A98" s="16">
        <v>26</v>
      </c>
      <c r="B98" s="961" t="s">
        <v>86</v>
      </c>
      <c r="C98" s="962">
        <f>$M$5</f>
        <v>3.5714285714285716</v>
      </c>
      <c r="D98" s="961" t="s">
        <v>215</v>
      </c>
      <c r="E98" s="962">
        <f>C98/1</f>
        <v>3.5714285714285716</v>
      </c>
      <c r="F98" s="1095" t="s">
        <v>291</v>
      </c>
      <c r="G98" s="962">
        <f>E98/1</f>
        <v>3.5714285714285716</v>
      </c>
      <c r="H98" s="973">
        <v>5.4</v>
      </c>
      <c r="I98" s="974">
        <v>1.8</v>
      </c>
      <c r="J98" s="1182">
        <f>IF(I98=H98,(H98-10),H98-I98)</f>
        <v>3.6000000000000005</v>
      </c>
      <c r="K98" s="982">
        <f>IF(I98&gt;=10,0,((10-I98)*(6/10)))</f>
        <v>4.919999999999999</v>
      </c>
      <c r="L98" s="1090">
        <f>I98+K98</f>
        <v>6.7199999999999989</v>
      </c>
      <c r="M98" s="1238">
        <f>IF(I98&gt;=10,(1+(H98-10)/10),(J98/K98))</f>
        <v>0.73170731707317094</v>
      </c>
      <c r="N98" s="1091">
        <f>((G98/C98)*M98)</f>
        <v>0.73170731707317094</v>
      </c>
      <c r="O98" s="970">
        <f>IF(((G98/C98)*M98)&gt;=1,3.571428,IF(((G98/C98)*M98)&lt;=0,0,((G98/C98)*M98)*3.571428))</f>
        <v>2.6132400000000007</v>
      </c>
      <c r="P98" s="835">
        <f>O98/3.571428</f>
        <v>0.73170731707317094</v>
      </c>
      <c r="Q98" s="1183" t="s">
        <v>95</v>
      </c>
      <c r="R98" s="223" t="s">
        <v>547</v>
      </c>
      <c r="S98" s="214" t="s">
        <v>548</v>
      </c>
    </row>
    <row r="99" spans="1:19" ht="58.5" customHeight="1" thickBot="1" x14ac:dyDescent="0.5">
      <c r="A99" s="16">
        <v>27</v>
      </c>
      <c r="B99" s="961" t="s">
        <v>87</v>
      </c>
      <c r="C99" s="962">
        <f>$M$5</f>
        <v>3.5714285714285716</v>
      </c>
      <c r="D99" s="961" t="s">
        <v>216</v>
      </c>
      <c r="E99" s="962">
        <f>C99/1</f>
        <v>3.5714285714285716</v>
      </c>
      <c r="F99" s="1095" t="s">
        <v>271</v>
      </c>
      <c r="G99" s="962">
        <f>E99/1</f>
        <v>3.5714285714285716</v>
      </c>
      <c r="H99" s="973">
        <v>20.2</v>
      </c>
      <c r="I99" s="974">
        <v>23.3</v>
      </c>
      <c r="J99" s="1182">
        <f>IF(I99=H99,(H99-75),H99-I99)</f>
        <v>-3.1000000000000014</v>
      </c>
      <c r="K99" s="982">
        <f>IF(I99&gt;=75,0,((75-I99)*(6/10)))</f>
        <v>31.02</v>
      </c>
      <c r="L99" s="1115">
        <f>I99+K99</f>
        <v>54.32</v>
      </c>
      <c r="M99" s="1184">
        <f>IF(I99&gt;=75,(1+(H99-75)/75),(J99/K99))</f>
        <v>-9.9935525467440403E-2</v>
      </c>
      <c r="N99" s="1091">
        <f>((G99/C99)*M99)</f>
        <v>-9.9935525467440403E-2</v>
      </c>
      <c r="O99" s="970">
        <f>IF(((G99/C99)*M99)&gt;=1,3.571428,IF(((G99/C99)*M99)&lt;=0,0,((G99/C99)*M99)*3.571428))</f>
        <v>0</v>
      </c>
      <c r="P99" s="835">
        <f>O99/3.571428</f>
        <v>0</v>
      </c>
      <c r="Q99" s="1183" t="s">
        <v>192</v>
      </c>
      <c r="R99" s="223" t="s">
        <v>549</v>
      </c>
      <c r="S99" s="214" t="s">
        <v>550</v>
      </c>
    </row>
    <row r="100" spans="1:19" ht="58.5" customHeight="1" thickBot="1" x14ac:dyDescent="0.5">
      <c r="A100" s="1669">
        <v>28</v>
      </c>
      <c r="B100" s="1790" t="s">
        <v>88</v>
      </c>
      <c r="C100" s="1792">
        <f>M5</f>
        <v>3.5714285714285716</v>
      </c>
      <c r="D100" s="1790" t="s">
        <v>217</v>
      </c>
      <c r="E100" s="1792">
        <f>C100/1</f>
        <v>3.5714285714285716</v>
      </c>
      <c r="F100" s="1054" t="s">
        <v>89</v>
      </c>
      <c r="G100" s="853">
        <f>$E$100/2</f>
        <v>1.7857142857142858</v>
      </c>
      <c r="H100" s="906">
        <v>21</v>
      </c>
      <c r="I100" s="907">
        <v>32.700000000000003</v>
      </c>
      <c r="J100" s="1185">
        <f>IF(I100=H100,(25-H100),I100-H100)</f>
        <v>11.700000000000003</v>
      </c>
      <c r="K100" s="1035">
        <f>IF(I100&lt;=25,0,((0.25*I100)*(6/10)))</f>
        <v>4.9050000000000002</v>
      </c>
      <c r="L100" s="1186">
        <f>I100-K100</f>
        <v>27.795000000000002</v>
      </c>
      <c r="M100" s="859">
        <f>IF(I100&lt;=25,(1+(25-H100)/25),(J100/K100))</f>
        <v>2.3853211009174315</v>
      </c>
      <c r="N100" s="1795">
        <f>((G100/$C$100)*M100)+((G101/$C$100)*M101)</f>
        <v>1.1926605504587158</v>
      </c>
      <c r="O100" s="1699">
        <f>IF((((G100/C100)*M100)+((G101/C100)*M101))&gt;=1,3.57148,IF((((G100/C100)*M100)+((G101/C100)*M101))&lt;=0,0, (((G100/C100)*M100)+((G101/C100)*M101))*3.571428))</f>
        <v>3.5714800000000002</v>
      </c>
      <c r="P100" s="1678">
        <f>O100/3.571428</f>
        <v>1.0000145600023296</v>
      </c>
      <c r="Q100" s="1187" t="s">
        <v>193</v>
      </c>
      <c r="R100" s="205" t="s">
        <v>549</v>
      </c>
      <c r="S100" s="196" t="s">
        <v>551</v>
      </c>
    </row>
    <row r="101" spans="1:19" ht="38.450000000000003" customHeight="1" thickBot="1" x14ac:dyDescent="0.5">
      <c r="A101" s="1669"/>
      <c r="B101" s="1791"/>
      <c r="C101" s="1793"/>
      <c r="D101" s="1791"/>
      <c r="E101" s="1794"/>
      <c r="F101" s="953" t="s">
        <v>90</v>
      </c>
      <c r="G101" s="868">
        <f>$E$100/2</f>
        <v>1.7857142857142858</v>
      </c>
      <c r="H101" s="1347"/>
      <c r="I101" s="1348"/>
      <c r="J101" s="1188">
        <f>IF(I101=H101,(H101-25),H101-I101)</f>
        <v>-25</v>
      </c>
      <c r="K101" s="921">
        <f>IF(I101&gt;=25,0,((25-I101)*(6/10)))</f>
        <v>15</v>
      </c>
      <c r="L101" s="1189">
        <f t="shared" ref="L101" si="33">K101+I101</f>
        <v>15</v>
      </c>
      <c r="M101" s="874" t="str">
        <f>IF(H101=0,"0%",J101/K101)</f>
        <v>0%</v>
      </c>
      <c r="N101" s="1796"/>
      <c r="O101" s="1800"/>
      <c r="P101" s="1679"/>
      <c r="Q101" s="1190" t="s">
        <v>95</v>
      </c>
      <c r="R101" s="223" t="s">
        <v>552</v>
      </c>
      <c r="S101" s="198" t="s">
        <v>552</v>
      </c>
    </row>
    <row r="102" spans="1:19" ht="34.25" customHeight="1" thickBot="1" x14ac:dyDescent="0.5">
      <c r="B102" s="1191" t="s">
        <v>194</v>
      </c>
      <c r="C102" s="1192">
        <f>C11+C13+C15+C19+C24+C33+C34+C35+C36+C38+C41+C44+C48+C51+C53+C61+C68+C71+C73+C75+C78+C81+C83+C87+C94+C98+C99+C100</f>
        <v>99.999999999999972</v>
      </c>
      <c r="D102" s="1193"/>
      <c r="E102" s="1192">
        <f>E11+E12+E13+E14+E15+E19+E20+E21+E22+E24+E25+E28+E31+E33+E34+E35+E36+E38+E39+E41+E42+E44+E45+E48+E49++E51+E53+E54+E55+E56+E57+E61+E62+E63+E64+E68+E71+E73+E75+E78+E81++E82+E83+E84+E85+E87+E88+E91+E94+E95+E96+E98+E99+E100</f>
        <v>100.00714285714285</v>
      </c>
      <c r="F102" s="1194"/>
      <c r="G102" s="1192">
        <f>G11+G12+G13+G14+G15+G16+G17+G19+G20+G21+G22+G24+G25+G26+G27+G28+G29+G30+G31+G33+G34+G35+G36+G38+G39+G41+G42+G44+G45+G48+G49+G51+G53+G54+G55+G56+G57+G58+G61+G62+G63+G64+G65+G66+G68+G71+G73+G75+G78+G81+G82+G83+G84+G85+G87+G88+G89+G90+G91+G94+G95+G96+G98+G99+G100+G101</f>
        <v>100.00714285714285</v>
      </c>
      <c r="H102" s="1195"/>
      <c r="I102" s="1196"/>
      <c r="J102" s="1195"/>
      <c r="K102" s="1197"/>
      <c r="L102" s="1194"/>
      <c r="M102" s="1198"/>
      <c r="N102" s="1199"/>
      <c r="O102" s="1200"/>
      <c r="P102" s="1200"/>
      <c r="Q102" s="1201"/>
      <c r="R102" s="17"/>
      <c r="S102" s="18"/>
    </row>
    <row r="104" spans="1:19" ht="15.75" x14ac:dyDescent="0.5">
      <c r="B104" s="19"/>
    </row>
    <row r="107" spans="1:19" ht="15.75" x14ac:dyDescent="0.5">
      <c r="B107" s="19"/>
    </row>
    <row r="108" spans="1:19" x14ac:dyDescent="0.45">
      <c r="B108" s="20"/>
    </row>
    <row r="109" spans="1:19" x14ac:dyDescent="0.45">
      <c r="B109" s="20"/>
    </row>
    <row r="111" spans="1:19" x14ac:dyDescent="0.45">
      <c r="E111"/>
      <c r="F111" s="1202" t="s">
        <v>196</v>
      </c>
    </row>
    <row r="112" spans="1:19" x14ac:dyDescent="0.45">
      <c r="E112" s="1203">
        <v>1</v>
      </c>
      <c r="F112" s="1203" t="s">
        <v>197</v>
      </c>
    </row>
    <row r="113" spans="5:6" x14ac:dyDescent="0.45">
      <c r="E113" s="1203">
        <v>2</v>
      </c>
      <c r="F113" s="1203" t="s">
        <v>227</v>
      </c>
    </row>
    <row r="114" spans="5:6" x14ac:dyDescent="0.45">
      <c r="E114" s="1203">
        <v>3</v>
      </c>
      <c r="F114" s="1203" t="s">
        <v>228</v>
      </c>
    </row>
    <row r="115" spans="5:6" x14ac:dyDescent="0.45">
      <c r="E115" s="1203">
        <v>4</v>
      </c>
      <c r="F115" s="1203" t="s">
        <v>229</v>
      </c>
    </row>
    <row r="116" spans="5:6" x14ac:dyDescent="0.45">
      <c r="E116" s="1203">
        <v>5</v>
      </c>
      <c r="F116" s="1203" t="s">
        <v>198</v>
      </c>
    </row>
    <row r="117" spans="5:6" x14ac:dyDescent="0.45">
      <c r="E117" s="1203">
        <v>6</v>
      </c>
      <c r="F117" s="1203" t="s">
        <v>230</v>
      </c>
    </row>
    <row r="118" spans="5:6" x14ac:dyDescent="0.45">
      <c r="E118" s="1203">
        <v>7</v>
      </c>
      <c r="F118" s="1203" t="s">
        <v>231</v>
      </c>
    </row>
    <row r="119" spans="5:6" x14ac:dyDescent="0.45">
      <c r="E119" s="1203">
        <v>8</v>
      </c>
      <c r="F119" s="1203" t="s">
        <v>199</v>
      </c>
    </row>
    <row r="120" spans="5:6" x14ac:dyDescent="0.45">
      <c r="E120" s="1203">
        <v>9</v>
      </c>
      <c r="F120" s="1203" t="s">
        <v>200</v>
      </c>
    </row>
    <row r="121" spans="5:6" x14ac:dyDescent="0.45">
      <c r="E121" s="1203">
        <v>10</v>
      </c>
      <c r="F121" s="1203" t="s">
        <v>201</v>
      </c>
    </row>
    <row r="122" spans="5:6" x14ac:dyDescent="0.45">
      <c r="E122" s="1203">
        <v>11</v>
      </c>
      <c r="F122" s="1203" t="s">
        <v>232</v>
      </c>
    </row>
    <row r="123" spans="5:6" x14ac:dyDescent="0.45">
      <c r="E123" s="1203">
        <v>12</v>
      </c>
      <c r="F123" s="1203" t="s">
        <v>202</v>
      </c>
    </row>
    <row r="124" spans="5:6" x14ac:dyDescent="0.45">
      <c r="E124" s="1203">
        <f t="shared" ref="E124:E145" si="34">E123+1</f>
        <v>13</v>
      </c>
      <c r="F124" s="1203" t="s">
        <v>203</v>
      </c>
    </row>
    <row r="125" spans="5:6" x14ac:dyDescent="0.45">
      <c r="E125" s="1203">
        <v>14</v>
      </c>
      <c r="F125" s="1203" t="s">
        <v>233</v>
      </c>
    </row>
    <row r="126" spans="5:6" x14ac:dyDescent="0.45">
      <c r="E126" s="1203">
        <v>15</v>
      </c>
      <c r="F126" s="1203" t="s">
        <v>234</v>
      </c>
    </row>
    <row r="127" spans="5:6" x14ac:dyDescent="0.45">
      <c r="E127" s="1203">
        <v>16</v>
      </c>
      <c r="F127" s="1203" t="s">
        <v>213</v>
      </c>
    </row>
    <row r="128" spans="5:6" x14ac:dyDescent="0.45">
      <c r="E128" s="1203">
        <v>17</v>
      </c>
      <c r="F128" s="1203" t="s">
        <v>235</v>
      </c>
    </row>
    <row r="129" spans="5:6" x14ac:dyDescent="0.45">
      <c r="E129" s="1203">
        <v>18</v>
      </c>
      <c r="F129" s="1203" t="s">
        <v>263</v>
      </c>
    </row>
    <row r="130" spans="5:6" x14ac:dyDescent="0.45">
      <c r="E130" s="1203">
        <v>19</v>
      </c>
      <c r="F130" s="1203" t="s">
        <v>204</v>
      </c>
    </row>
    <row r="131" spans="5:6" x14ac:dyDescent="0.45">
      <c r="E131" s="1203">
        <v>20</v>
      </c>
      <c r="F131" s="1203" t="s">
        <v>236</v>
      </c>
    </row>
    <row r="132" spans="5:6" x14ac:dyDescent="0.45">
      <c r="E132" s="1203">
        <v>21</v>
      </c>
      <c r="F132" s="1203" t="s">
        <v>237</v>
      </c>
    </row>
    <row r="133" spans="5:6" x14ac:dyDescent="0.45">
      <c r="E133" s="1203">
        <v>22</v>
      </c>
      <c r="F133" s="1203" t="s">
        <v>238</v>
      </c>
    </row>
    <row r="134" spans="5:6" x14ac:dyDescent="0.45">
      <c r="E134" s="1203">
        <v>23</v>
      </c>
      <c r="F134" s="1203" t="s">
        <v>205</v>
      </c>
    </row>
    <row r="135" spans="5:6" x14ac:dyDescent="0.45">
      <c r="E135" s="1203">
        <v>24</v>
      </c>
      <c r="F135" s="1203" t="s">
        <v>239</v>
      </c>
    </row>
    <row r="136" spans="5:6" x14ac:dyDescent="0.45">
      <c r="E136" s="1203">
        <v>25</v>
      </c>
      <c r="F136" s="1203" t="s">
        <v>240</v>
      </c>
    </row>
    <row r="137" spans="5:6" x14ac:dyDescent="0.45">
      <c r="E137" s="1203">
        <v>26</v>
      </c>
      <c r="F137" s="1203" t="s">
        <v>241</v>
      </c>
    </row>
    <row r="138" spans="5:6" x14ac:dyDescent="0.45">
      <c r="E138" s="1203">
        <v>27</v>
      </c>
      <c r="F138" s="1203" t="s">
        <v>206</v>
      </c>
    </row>
    <row r="139" spans="5:6" x14ac:dyDescent="0.45">
      <c r="E139" s="1203">
        <v>28</v>
      </c>
      <c r="F139" s="1203" t="s">
        <v>242</v>
      </c>
    </row>
    <row r="140" spans="5:6" x14ac:dyDescent="0.45">
      <c r="E140" s="1203">
        <v>29</v>
      </c>
      <c r="F140" s="1203" t="s">
        <v>243</v>
      </c>
    </row>
    <row r="141" spans="5:6" x14ac:dyDescent="0.45">
      <c r="E141" s="1203">
        <v>30</v>
      </c>
      <c r="F141" s="1203" t="s">
        <v>244</v>
      </c>
    </row>
    <row r="142" spans="5:6" x14ac:dyDescent="0.45">
      <c r="E142" s="1203">
        <v>31</v>
      </c>
      <c r="F142" s="1203" t="s">
        <v>245</v>
      </c>
    </row>
    <row r="143" spans="5:6" x14ac:dyDescent="0.45">
      <c r="E143" s="1203">
        <v>32</v>
      </c>
      <c r="F143" s="1203" t="s">
        <v>246</v>
      </c>
    </row>
    <row r="144" spans="5:6" x14ac:dyDescent="0.45">
      <c r="E144" s="1203">
        <v>33</v>
      </c>
      <c r="F144" s="1203" t="s">
        <v>207</v>
      </c>
    </row>
    <row r="145" spans="5:6" x14ac:dyDescent="0.45">
      <c r="E145" s="1203">
        <f t="shared" si="34"/>
        <v>34</v>
      </c>
      <c r="F145" s="1203" t="s">
        <v>208</v>
      </c>
    </row>
    <row r="146" spans="5:6" x14ac:dyDescent="0.45">
      <c r="E146" s="1203">
        <v>35</v>
      </c>
      <c r="F146" s="1203" t="s">
        <v>247</v>
      </c>
    </row>
    <row r="147" spans="5:6" x14ac:dyDescent="0.45">
      <c r="E147" s="1203">
        <v>36</v>
      </c>
      <c r="F147" s="1203" t="s">
        <v>248</v>
      </c>
    </row>
    <row r="148" spans="5:6" x14ac:dyDescent="0.45">
      <c r="E148" s="1203">
        <v>36</v>
      </c>
      <c r="F148" s="1203" t="s">
        <v>249</v>
      </c>
    </row>
    <row r="149" spans="5:6" x14ac:dyDescent="0.45">
      <c r="E149" s="1203">
        <v>38</v>
      </c>
      <c r="F149" s="1203" t="s">
        <v>250</v>
      </c>
    </row>
    <row r="150" spans="5:6" x14ac:dyDescent="0.45">
      <c r="E150" s="1203">
        <v>39</v>
      </c>
      <c r="F150" s="1203" t="s">
        <v>251</v>
      </c>
    </row>
    <row r="151" spans="5:6" x14ac:dyDescent="0.45">
      <c r="E151" s="1203">
        <v>40</v>
      </c>
      <c r="F151" s="1203" t="s">
        <v>209</v>
      </c>
    </row>
    <row r="152" spans="5:6" x14ac:dyDescent="0.45">
      <c r="E152" s="1203">
        <v>41</v>
      </c>
      <c r="F152" s="1203" t="s">
        <v>264</v>
      </c>
    </row>
    <row r="153" spans="5:6" x14ac:dyDescent="0.45">
      <c r="E153" s="1203">
        <v>42</v>
      </c>
      <c r="F153" s="1203" t="s">
        <v>252</v>
      </c>
    </row>
    <row r="154" spans="5:6" x14ac:dyDescent="0.45">
      <c r="E154" s="1203">
        <v>43</v>
      </c>
      <c r="F154" s="1203" t="s">
        <v>253</v>
      </c>
    </row>
    <row r="155" spans="5:6" x14ac:dyDescent="0.45">
      <c r="E155" s="1203">
        <v>44</v>
      </c>
      <c r="F155" s="1203" t="s">
        <v>254</v>
      </c>
    </row>
    <row r="156" spans="5:6" x14ac:dyDescent="0.45">
      <c r="E156" s="1203">
        <v>45</v>
      </c>
      <c r="F156" s="1203" t="s">
        <v>210</v>
      </c>
    </row>
    <row r="157" spans="5:6" x14ac:dyDescent="0.45">
      <c r="E157" s="1203">
        <v>46</v>
      </c>
      <c r="F157" s="1203" t="s">
        <v>255</v>
      </c>
    </row>
    <row r="158" spans="5:6" x14ac:dyDescent="0.45">
      <c r="E158" s="1203">
        <v>47</v>
      </c>
      <c r="F158" s="1203" t="s">
        <v>211</v>
      </c>
    </row>
    <row r="159" spans="5:6" x14ac:dyDescent="0.45">
      <c r="E159" s="1203">
        <v>48</v>
      </c>
      <c r="F159" s="1203" t="s">
        <v>256</v>
      </c>
    </row>
    <row r="160" spans="5:6" x14ac:dyDescent="0.45">
      <c r="E160" s="1203">
        <v>49</v>
      </c>
      <c r="F160" s="1203" t="s">
        <v>257</v>
      </c>
    </row>
    <row r="161" spans="5:6" x14ac:dyDescent="0.45">
      <c r="E161" s="1203">
        <v>50</v>
      </c>
      <c r="F161" s="1203" t="s">
        <v>260</v>
      </c>
    </row>
    <row r="162" spans="5:6" x14ac:dyDescent="0.45">
      <c r="E162" s="1203">
        <v>51</v>
      </c>
      <c r="F162" s="1203" t="s">
        <v>258</v>
      </c>
    </row>
    <row r="163" spans="5:6" x14ac:dyDescent="0.45">
      <c r="E163" s="1203">
        <v>52</v>
      </c>
      <c r="F163" s="1203" t="s">
        <v>212</v>
      </c>
    </row>
    <row r="164" spans="5:6" x14ac:dyDescent="0.45">
      <c r="E164" s="1203">
        <v>53</v>
      </c>
      <c r="F164" s="1203" t="s">
        <v>259</v>
      </c>
    </row>
    <row r="165" spans="5:6" x14ac:dyDescent="0.45">
      <c r="E165" s="1203">
        <v>54</v>
      </c>
      <c r="F165" s="1203" t="s">
        <v>261</v>
      </c>
    </row>
    <row r="166" spans="5:6" x14ac:dyDescent="0.45">
      <c r="E166" s="1203">
        <v>55</v>
      </c>
      <c r="F166" s="1203" t="s">
        <v>262</v>
      </c>
    </row>
    <row r="167" spans="5:6" x14ac:dyDescent="0.45">
      <c r="E167"/>
      <c r="F167"/>
    </row>
    <row r="168" spans="5:6" x14ac:dyDescent="0.45">
      <c r="E168"/>
      <c r="F168"/>
    </row>
  </sheetData>
  <sheetProtection algorithmName="SHA-512" hashValue="142KNjaMGzkTJIRcJZCrVYTDXx8EMA76yvnqpmjkDB6cEwYNQ156nbG/7KPNXgeZF7/vc9wnLaMqp9SheuE+bg==" saltValue="sP897QdTl8ITY2CBllY/iA=="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69744340-2F6A-43D5-A740-318B88B0A7C7}">
      <formula1>$F$112:$F$166</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808AC2-100E-4AC4-931A-55E688221E0C}">
  <dimension ref="A1:AA168"/>
  <sheetViews>
    <sheetView topLeftCell="B1" zoomScale="50" zoomScaleNormal="50" workbookViewId="0">
      <selection activeCell="I11" sqref="I11"/>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793"/>
      <c r="R1" s="3"/>
      <c r="S1" s="4"/>
      <c r="U1" s="794"/>
      <c r="V1" s="794"/>
      <c r="W1" s="794"/>
      <c r="X1" s="794"/>
      <c r="Y1" s="794"/>
      <c r="Z1" s="794"/>
      <c r="AA1" s="794"/>
    </row>
    <row r="2" spans="1:27" ht="30" x14ac:dyDescent="1.1000000000000001">
      <c r="B2" s="795"/>
      <c r="C2" s="796"/>
      <c r="D2" s="797" t="s">
        <v>286</v>
      </c>
      <c r="E2" s="796"/>
      <c r="F2" s="798"/>
      <c r="G2" s="798"/>
      <c r="H2" s="798"/>
      <c r="I2" s="798"/>
      <c r="J2" s="798"/>
      <c r="K2" s="798"/>
      <c r="L2" s="798"/>
      <c r="M2" s="798"/>
      <c r="N2" s="798"/>
      <c r="O2" s="798"/>
      <c r="P2" s="798"/>
      <c r="Q2" s="796"/>
      <c r="R2" s="798"/>
      <c r="S2" s="6"/>
    </row>
    <row r="3" spans="1:27" ht="14.65" thickBot="1" x14ac:dyDescent="0.5">
      <c r="B3" s="799"/>
      <c r="C3" s="800"/>
      <c r="D3" s="800"/>
      <c r="E3" s="800"/>
      <c r="F3" s="801"/>
      <c r="G3" s="801"/>
      <c r="H3" s="801"/>
      <c r="I3" s="801"/>
      <c r="J3" s="801"/>
      <c r="K3" s="801"/>
      <c r="L3" s="801"/>
      <c r="M3" s="801"/>
      <c r="N3" s="801"/>
      <c r="O3" s="801"/>
      <c r="P3" s="801"/>
      <c r="Q3" s="800"/>
      <c r="R3" s="801"/>
      <c r="S3" s="7"/>
    </row>
    <row r="4" spans="1:27" ht="26.45" customHeight="1" thickBot="1" x14ac:dyDescent="0.5">
      <c r="B4" s="799"/>
      <c r="C4" s="800"/>
      <c r="D4" s="802" t="s">
        <v>195</v>
      </c>
      <c r="E4" s="800"/>
      <c r="F4" s="8" t="s">
        <v>261</v>
      </c>
      <c r="G4" s="801"/>
      <c r="H4" s="801"/>
      <c r="I4" s="801"/>
      <c r="J4" s="801"/>
      <c r="K4" s="1652" t="s">
        <v>556</v>
      </c>
      <c r="L4" s="1653"/>
      <c r="M4" s="1654"/>
      <c r="N4" s="803">
        <f>(N9+N46+N59+N69+N76+N79+N92)/7</f>
        <v>0.10980057836397425</v>
      </c>
      <c r="O4" s="804">
        <f>(O9+O46+O59+O69+O76+O79+O92)</f>
        <v>13.921277480938571</v>
      </c>
      <c r="P4" s="803">
        <f>O4/100</f>
        <v>0.13921277480938571</v>
      </c>
      <c r="Q4" s="800"/>
      <c r="R4" s="801"/>
      <c r="S4" s="7"/>
    </row>
    <row r="5" spans="1:27" ht="18.399999999999999" thickBot="1" x14ac:dyDescent="0.6">
      <c r="B5" s="1655"/>
      <c r="C5" s="1656"/>
      <c r="D5" s="1656"/>
      <c r="E5" s="1656"/>
      <c r="F5" s="1656"/>
      <c r="G5" s="1656"/>
      <c r="H5" s="1656"/>
      <c r="I5" s="1656"/>
      <c r="J5" s="1656"/>
      <c r="K5" s="1656"/>
      <c r="L5" s="58"/>
      <c r="M5" s="805">
        <f>100/28</f>
        <v>3.5714285714285716</v>
      </c>
      <c r="N5" s="9"/>
      <c r="O5" s="561"/>
      <c r="P5" s="561"/>
      <c r="Q5" s="806"/>
      <c r="R5" s="9"/>
      <c r="S5" s="10"/>
    </row>
    <row r="6" spans="1:27" ht="33.6" customHeight="1" thickBot="1" x14ac:dyDescent="0.5">
      <c r="B6" s="1657"/>
      <c r="C6" s="1658"/>
      <c r="D6" s="1658"/>
      <c r="E6" s="1658"/>
      <c r="F6" s="1659"/>
      <c r="G6" s="807"/>
      <c r="H6" s="807"/>
      <c r="I6" s="807"/>
      <c r="J6" s="807"/>
      <c r="K6" s="807"/>
      <c r="L6" s="807"/>
      <c r="M6" s="807"/>
      <c r="N6" s="808"/>
      <c r="O6" s="809"/>
      <c r="P6" s="809"/>
      <c r="Q6" s="808"/>
      <c r="R6" s="12"/>
      <c r="S6" s="13"/>
    </row>
    <row r="7" spans="1:27" ht="55.8" customHeight="1" thickBot="1" x14ac:dyDescent="0.5">
      <c r="B7" s="1660"/>
      <c r="C7" s="1661"/>
      <c r="D7" s="1661"/>
      <c r="E7" s="1661"/>
      <c r="F7" s="1662"/>
      <c r="G7" s="810"/>
      <c r="H7" s="811" t="s">
        <v>218</v>
      </c>
      <c r="I7" s="812" t="s">
        <v>219</v>
      </c>
      <c r="J7" s="813" t="s">
        <v>91</v>
      </c>
      <c r="K7" s="814" t="s">
        <v>107</v>
      </c>
      <c r="L7" s="814" t="s">
        <v>104</v>
      </c>
      <c r="M7" s="814" t="s">
        <v>105</v>
      </c>
      <c r="N7" s="812" t="s">
        <v>106</v>
      </c>
      <c r="O7" s="812" t="s">
        <v>464</v>
      </c>
      <c r="P7" s="815" t="s">
        <v>465</v>
      </c>
      <c r="Q7" s="816" t="s">
        <v>93</v>
      </c>
      <c r="R7" s="817" t="s">
        <v>110</v>
      </c>
      <c r="S7" s="818" t="s">
        <v>103</v>
      </c>
    </row>
    <row r="8" spans="1:27" ht="25.25" customHeight="1" thickBot="1" x14ac:dyDescent="0.5">
      <c r="B8" s="819" t="s">
        <v>2</v>
      </c>
      <c r="C8" s="819" t="s">
        <v>92</v>
      </c>
      <c r="D8" s="819" t="s">
        <v>3</v>
      </c>
      <c r="E8" s="819" t="s">
        <v>94</v>
      </c>
      <c r="F8" s="819" t="s">
        <v>102</v>
      </c>
      <c r="G8" s="819" t="s">
        <v>96</v>
      </c>
      <c r="H8" s="820"/>
      <c r="I8" s="821"/>
      <c r="J8" s="820"/>
      <c r="K8" s="822"/>
      <c r="L8" s="822"/>
      <c r="M8" s="819"/>
      <c r="N8" s="823"/>
      <c r="O8" s="824"/>
      <c r="P8" s="825"/>
      <c r="Q8" s="821"/>
      <c r="R8" s="823"/>
      <c r="S8" s="823"/>
      <c r="V8" s="826" t="s">
        <v>151</v>
      </c>
      <c r="W8" s="827"/>
      <c r="X8" s="827"/>
      <c r="Y8" s="827"/>
      <c r="Z8" s="828"/>
    </row>
    <row r="9" spans="1:27" s="168" customFormat="1" ht="25.25" customHeight="1" thickBot="1" x14ac:dyDescent="0.5">
      <c r="B9" s="1663" t="s">
        <v>0</v>
      </c>
      <c r="C9" s="1664"/>
      <c r="D9" s="1664"/>
      <c r="E9" s="1664"/>
      <c r="F9" s="1665"/>
      <c r="G9" s="829"/>
      <c r="H9" s="830"/>
      <c r="I9" s="831"/>
      <c r="J9" s="832"/>
      <c r="K9" s="832"/>
      <c r="L9" s="832"/>
      <c r="M9" s="829"/>
      <c r="N9" s="833">
        <f>(N10+N18+N23+N32+N37+N40+N43)/7</f>
        <v>-3.0007062563291359E-2</v>
      </c>
      <c r="O9" s="834">
        <f>(O10+O18+O23+O32+O37+O40+O43)</f>
        <v>6.0343739809385699</v>
      </c>
      <c r="P9" s="835">
        <f>O9/42.857136</f>
        <v>0.14080208208356645</v>
      </c>
      <c r="Q9" s="832"/>
      <c r="R9" s="836"/>
      <c r="S9" s="836"/>
      <c r="U9" s="837"/>
      <c r="V9" s="838"/>
      <c r="W9" s="839"/>
      <c r="X9" s="839"/>
      <c r="Y9" s="839"/>
      <c r="Z9" s="840"/>
      <c r="AA9" s="837"/>
    </row>
    <row r="10" spans="1:27" s="92" customFormat="1" ht="25.25" customHeight="1" thickBot="1" x14ac:dyDescent="0.5">
      <c r="B10" s="1666" t="s">
        <v>1</v>
      </c>
      <c r="C10" s="1667"/>
      <c r="D10" s="1667"/>
      <c r="E10" s="1667"/>
      <c r="F10" s="1668"/>
      <c r="G10" s="841"/>
      <c r="H10" s="842"/>
      <c r="I10" s="843"/>
      <c r="J10" s="844"/>
      <c r="K10" s="844"/>
      <c r="L10" s="844"/>
      <c r="M10" s="841"/>
      <c r="N10" s="833">
        <f>(N11+N13+N15)/3</f>
        <v>-1.2773547348366749</v>
      </c>
      <c r="O10" s="834">
        <f>(O11+O13+O15)</f>
        <v>1.5848149590643281</v>
      </c>
      <c r="P10" s="835">
        <f>O10/10.714284</f>
        <v>0.14791608651257782</v>
      </c>
      <c r="Q10" s="844"/>
      <c r="R10" s="845"/>
      <c r="S10" s="845"/>
      <c r="U10" s="846"/>
      <c r="V10" s="847"/>
      <c r="W10" s="848"/>
      <c r="X10" s="848"/>
      <c r="Y10" s="848"/>
      <c r="Z10" s="849"/>
      <c r="AA10" s="846"/>
    </row>
    <row r="11" spans="1:27" ht="27.6" customHeight="1" x14ac:dyDescent="0.45">
      <c r="A11" s="1669">
        <v>1</v>
      </c>
      <c r="B11" s="1680" t="s">
        <v>4</v>
      </c>
      <c r="C11" s="1682">
        <f>M5</f>
        <v>3.5714285714285716</v>
      </c>
      <c r="D11" s="850" t="s">
        <v>111</v>
      </c>
      <c r="E11" s="851">
        <f>$C$11/2</f>
        <v>1.7857142857142858</v>
      </c>
      <c r="F11" s="852" t="s">
        <v>5</v>
      </c>
      <c r="G11" s="853">
        <f>E11/1</f>
        <v>1.7857142857142858</v>
      </c>
      <c r="H11" s="854">
        <v>2.5</v>
      </c>
      <c r="I11" s="855">
        <v>5.0999999999999996</v>
      </c>
      <c r="J11" s="856">
        <f>(H11-I11)</f>
        <v>-2.5999999999999996</v>
      </c>
      <c r="K11" s="857">
        <f>(0.3*I11)*6/10</f>
        <v>0.91799999999999993</v>
      </c>
      <c r="L11" s="858">
        <f>I11+K11</f>
        <v>6.0179999999999998</v>
      </c>
      <c r="M11" s="859">
        <f>IF(K11&lt;&gt;0,J11/K11,"0%")</f>
        <v>-2.8322440087145968</v>
      </c>
      <c r="N11" s="1674">
        <f>(((G11/C11)*M11)+((G12/C11)*M12))</f>
        <v>-3.7134193016545956</v>
      </c>
      <c r="O11" s="1676">
        <f>IF((((G11/C11)*M11)+((G12/C11)*M12))&gt;=1,3.57148,IF((((G11/C11)*M11)+((G12/C11)*M12))&lt;=0,0, (((G11/C11)*M11)+((G12/C11)*M12))*3.571428))</f>
        <v>0</v>
      </c>
      <c r="P11" s="1678">
        <f>O11/3.571428</f>
        <v>0</v>
      </c>
      <c r="Q11" s="860" t="s">
        <v>97</v>
      </c>
      <c r="R11" s="656" t="s">
        <v>557</v>
      </c>
      <c r="S11" s="1349"/>
      <c r="V11" s="861" t="s">
        <v>109</v>
      </c>
      <c r="W11" s="862" t="e">
        <f>#REF!</f>
        <v>#REF!</v>
      </c>
      <c r="X11" s="863"/>
      <c r="Y11" s="863"/>
      <c r="Z11" s="864"/>
    </row>
    <row r="12" spans="1:27" ht="27" customHeight="1" thickBot="1" x14ac:dyDescent="0.5">
      <c r="A12" s="1669"/>
      <c r="B12" s="1681"/>
      <c r="C12" s="1683"/>
      <c r="D12" s="865" t="s">
        <v>112</v>
      </c>
      <c r="E12" s="866">
        <f>$C$11/2</f>
        <v>1.7857142857142858</v>
      </c>
      <c r="F12" s="867" t="s">
        <v>281</v>
      </c>
      <c r="G12" s="868">
        <f>E12/1</f>
        <v>1.7857142857142858</v>
      </c>
      <c r="H12" s="869">
        <v>12.5</v>
      </c>
      <c r="I12" s="870">
        <v>7.4</v>
      </c>
      <c r="J12" s="871">
        <f>I12-H12</f>
        <v>-5.0999999999999996</v>
      </c>
      <c r="K12" s="872">
        <f>(0.25*I12)*(6/10)</f>
        <v>1.1100000000000001</v>
      </c>
      <c r="L12" s="873">
        <f>I12-K12</f>
        <v>6.29</v>
      </c>
      <c r="M12" s="874">
        <f>IF(K12&lt;&gt;0,J12/K12,"0%")</f>
        <v>-4.5945945945945939</v>
      </c>
      <c r="N12" s="1675"/>
      <c r="O12" s="1677"/>
      <c r="P12" s="1679"/>
      <c r="Q12" s="875" t="s">
        <v>98</v>
      </c>
      <c r="R12" s="657" t="s">
        <v>557</v>
      </c>
      <c r="S12" s="1350"/>
      <c r="V12" s="876">
        <v>0.02</v>
      </c>
      <c r="W12" s="877" t="e">
        <f>(W11-(W11*V12))</f>
        <v>#REF!</v>
      </c>
      <c r="X12" s="877" t="e">
        <f>W11-(V12*W11)</f>
        <v>#REF!</v>
      </c>
      <c r="Y12" s="863"/>
      <c r="Z12" s="864"/>
    </row>
    <row r="13" spans="1:27" ht="32.450000000000003" customHeight="1" x14ac:dyDescent="0.45">
      <c r="A13" s="1669">
        <v>2</v>
      </c>
      <c r="B13" s="1670" t="s">
        <v>6</v>
      </c>
      <c r="C13" s="1672">
        <f>M5</f>
        <v>3.5714285714285716</v>
      </c>
      <c r="D13" s="878" t="s">
        <v>273</v>
      </c>
      <c r="E13" s="879">
        <f>$C$13/2</f>
        <v>1.7857142857142858</v>
      </c>
      <c r="F13" s="880" t="s">
        <v>7</v>
      </c>
      <c r="G13" s="881">
        <f>E13/1</f>
        <v>1.7857142857142858</v>
      </c>
      <c r="H13" s="882">
        <v>75</v>
      </c>
      <c r="I13" s="883">
        <v>68</v>
      </c>
      <c r="J13" s="884">
        <f>IF(I13=H13,(5-H13),I13-H13)</f>
        <v>-7</v>
      </c>
      <c r="K13" s="885">
        <f>IF(I13&lt;=5,0,((I13-5)*(6/10)))</f>
        <v>37.799999999999997</v>
      </c>
      <c r="L13" s="886">
        <f>I13-K13</f>
        <v>30.200000000000003</v>
      </c>
      <c r="M13" s="887">
        <f>IF(I13&lt;=5,(1+(5-H13)/5),(J13/K13))</f>
        <v>-0.1851851851851852</v>
      </c>
      <c r="N13" s="1674">
        <f>(((G13/C13)*M13)+((G14/C13)*M14))</f>
        <v>0.44374825953773339</v>
      </c>
      <c r="O13" s="1676">
        <f>IF((((G13/C13)*M13)+((G14/C13)*M14))&gt;=1,3.57148,IF((((G13/C13)*M13)+((G14/C13)*M14))&lt;=0,0, (((G13/C13)*M13)+((G14/C13)*M14))*3.571428))</f>
        <v>1.5848149590643281</v>
      </c>
      <c r="P13" s="1678">
        <f>O13/3.571428</f>
        <v>0.44374825953773339</v>
      </c>
      <c r="Q13" s="1351" t="s">
        <v>99</v>
      </c>
      <c r="R13" s="658" t="s">
        <v>557</v>
      </c>
      <c r="S13" s="659"/>
      <c r="V13" s="876">
        <v>0.02</v>
      </c>
      <c r="W13" s="877" t="e">
        <f>(#REF!-(#REF!*V13))</f>
        <v>#REF!</v>
      </c>
      <c r="X13" s="877" t="e">
        <f>(W11-(V12*W11))-((W11-(V12*W11))*0.02)-(((W11-(V12*W11))-((W11-(V12*W11))*0.02))*0.02)-(((W11-(V12*W11))-((W11-(V12*W11))*0.02)-(((W11-(V12*W11))-((W11-(V12*W11))*0.02))*0.02))*0.02)</f>
        <v>#REF!</v>
      </c>
      <c r="Y13" s="889" t="e">
        <f>(W11-W14)/W11</f>
        <v>#REF!</v>
      </c>
      <c r="Z13" s="864"/>
    </row>
    <row r="14" spans="1:27" ht="33" customHeight="1" thickBot="1" x14ac:dyDescent="0.5">
      <c r="A14" s="1669"/>
      <c r="B14" s="1671"/>
      <c r="C14" s="1673"/>
      <c r="D14" s="865" t="s">
        <v>274</v>
      </c>
      <c r="E14" s="890">
        <f>$C$13/2</f>
        <v>1.7857142857142858</v>
      </c>
      <c r="F14" s="891" t="s">
        <v>8</v>
      </c>
      <c r="G14" s="892">
        <f>E14/1</f>
        <v>1.7857142857142858</v>
      </c>
      <c r="H14" s="893">
        <v>86.4</v>
      </c>
      <c r="I14" s="894">
        <v>65</v>
      </c>
      <c r="J14" s="895">
        <f>H14-I14</f>
        <v>21.400000000000006</v>
      </c>
      <c r="K14" s="896">
        <f>(0.95*(100-I14))*6/10</f>
        <v>19.95</v>
      </c>
      <c r="L14" s="897">
        <f>K14+I14</f>
        <v>84.95</v>
      </c>
      <c r="M14" s="898">
        <f>IF(K14&lt;&gt;0,J14/K14,"1%")</f>
        <v>1.072681704260652</v>
      </c>
      <c r="N14" s="1675"/>
      <c r="O14" s="1677"/>
      <c r="P14" s="1679"/>
      <c r="Q14" s="1352" t="s">
        <v>100</v>
      </c>
      <c r="R14" s="660" t="s">
        <v>558</v>
      </c>
      <c r="S14" s="661"/>
      <c r="V14" s="900">
        <v>0.02</v>
      </c>
      <c r="W14" s="901" t="e">
        <f>(#REF!-(#REF!*V14))</f>
        <v>#REF!</v>
      </c>
      <c r="X14" s="901"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02" t="e">
        <f>W11-X14</f>
        <v>#REF!</v>
      </c>
      <c r="Z14" s="903"/>
    </row>
    <row r="15" spans="1:27" ht="22.25" customHeight="1" thickBot="1" x14ac:dyDescent="0.5">
      <c r="A15" s="1710">
        <v>3</v>
      </c>
      <c r="B15" s="1711" t="s">
        <v>9</v>
      </c>
      <c r="C15" s="1713">
        <f>M5</f>
        <v>3.5714285714285716</v>
      </c>
      <c r="D15" s="1711" t="s">
        <v>113</v>
      </c>
      <c r="E15" s="1713">
        <f>$C$15/1</f>
        <v>3.5714285714285716</v>
      </c>
      <c r="F15" s="904" t="s">
        <v>221</v>
      </c>
      <c r="G15" s="905">
        <f>$E$15/3</f>
        <v>1.1904761904761905</v>
      </c>
      <c r="H15" s="373"/>
      <c r="I15" s="179"/>
      <c r="J15" s="908">
        <f>H15-I15</f>
        <v>0</v>
      </c>
      <c r="K15" s="909">
        <f>(0.5*I15)*6/10</f>
        <v>0</v>
      </c>
      <c r="L15" s="858">
        <f>I15+K15</f>
        <v>0</v>
      </c>
      <c r="M15" s="859" t="str">
        <f>IF(K15&lt;&gt;0,J15/K15,"0%")</f>
        <v>0%</v>
      </c>
      <c r="N15" s="1715">
        <f>(((G15/C15)*M15)+((G16/C15)*M16)+((G17/C15)*M17))</f>
        <v>-0.56239316239316239</v>
      </c>
      <c r="O15" s="1702">
        <f>IF((((G15/C15)*M15)+((G16/C15)*M16)+((G17/C15)*M17))&gt;=1,3.571428,IF((((G15/C15)*M15)+((G16/C15)*M16)+((G17/C15)*M17))&lt;=0,0,(((G15/C15)*M15)+((G16/C15)*M16)+((G17/C15)*M17))*3.571428))</f>
        <v>0</v>
      </c>
      <c r="P15" s="1678">
        <f>O15/3.571428</f>
        <v>0</v>
      </c>
      <c r="Q15" s="910" t="s">
        <v>101</v>
      </c>
      <c r="R15" s="662"/>
      <c r="S15" s="663" t="s">
        <v>463</v>
      </c>
    </row>
    <row r="16" spans="1:27" ht="14.65" thickBot="1" x14ac:dyDescent="0.5">
      <c r="A16" s="1710"/>
      <c r="B16" s="1711"/>
      <c r="C16" s="1713"/>
      <c r="D16" s="1711"/>
      <c r="E16" s="1713"/>
      <c r="F16" s="911" t="s">
        <v>220</v>
      </c>
      <c r="G16" s="912">
        <f t="shared" ref="G16:G17" si="0">$E$15/3</f>
        <v>1.1904761904761905</v>
      </c>
      <c r="H16" s="180">
        <v>32.1</v>
      </c>
      <c r="I16" s="181">
        <v>65</v>
      </c>
      <c r="J16" s="913">
        <f>H16-I16</f>
        <v>-32.9</v>
      </c>
      <c r="K16" s="914">
        <f>(0.5*I16)*6/10</f>
        <v>19.5</v>
      </c>
      <c r="L16" s="915">
        <f t="shared" ref="L16:L17" si="1">I16+K16</f>
        <v>84.5</v>
      </c>
      <c r="M16" s="916">
        <f>IF(K16&lt;&gt;0,J16/K16,"0%")</f>
        <v>-1.6871794871794872</v>
      </c>
      <c r="N16" s="1716"/>
      <c r="O16" s="1700"/>
      <c r="P16" s="1703"/>
      <c r="Q16" s="917" t="s">
        <v>95</v>
      </c>
      <c r="R16" s="203"/>
      <c r="S16" s="354"/>
    </row>
    <row r="17" spans="1:19" ht="25.25" customHeight="1" thickBot="1" x14ac:dyDescent="0.5">
      <c r="A17" s="1710"/>
      <c r="B17" s="1712"/>
      <c r="C17" s="1714"/>
      <c r="D17" s="1712"/>
      <c r="E17" s="1714"/>
      <c r="F17" s="918" t="s">
        <v>10</v>
      </c>
      <c r="G17" s="919">
        <f t="shared" si="0"/>
        <v>1.1904761904761905</v>
      </c>
      <c r="H17" s="369"/>
      <c r="I17" s="370"/>
      <c r="J17" s="920">
        <f>H17-I17</f>
        <v>0</v>
      </c>
      <c r="K17" s="921">
        <f>(0.5*I17)*6/10</f>
        <v>0</v>
      </c>
      <c r="L17" s="873">
        <f t="shared" si="1"/>
        <v>0</v>
      </c>
      <c r="M17" s="874" t="str">
        <f>IF(K17&lt;&gt;0,J17/K17,"0%")</f>
        <v>0%</v>
      </c>
      <c r="N17" s="1717"/>
      <c r="O17" s="1701"/>
      <c r="P17" s="1703"/>
      <c r="Q17" s="922" t="s">
        <v>162</v>
      </c>
      <c r="R17" s="664"/>
      <c r="S17" s="663" t="s">
        <v>463</v>
      </c>
    </row>
    <row r="18" spans="1:19" ht="21.4" thickBot="1" x14ac:dyDescent="0.7">
      <c r="A18" s="14"/>
      <c r="B18" s="1704" t="s">
        <v>11</v>
      </c>
      <c r="C18" s="1705"/>
      <c r="D18" s="1705"/>
      <c r="E18" s="1705"/>
      <c r="F18" s="1706"/>
      <c r="G18" s="923"/>
      <c r="H18" s="1353"/>
      <c r="I18" s="1353"/>
      <c r="J18" s="924"/>
      <c r="K18" s="924"/>
      <c r="L18" s="924"/>
      <c r="M18" s="925"/>
      <c r="N18" s="833">
        <f>N19</f>
        <v>0.30662111093855171</v>
      </c>
      <c r="O18" s="834">
        <f>O19</f>
        <v>1.0950752209970498</v>
      </c>
      <c r="P18" s="835">
        <f>O18/3.571428</f>
        <v>0.30662111093855171</v>
      </c>
      <c r="Q18" s="924"/>
      <c r="R18" s="665"/>
      <c r="S18" s="666"/>
    </row>
    <row r="19" spans="1:19" ht="34.25" customHeight="1" thickBot="1" x14ac:dyDescent="0.5">
      <c r="A19" s="1669">
        <v>4</v>
      </c>
      <c r="B19" s="1687" t="s">
        <v>12</v>
      </c>
      <c r="C19" s="1691">
        <f>M5</f>
        <v>3.5714285714285716</v>
      </c>
      <c r="D19" s="926" t="s">
        <v>114</v>
      </c>
      <c r="E19" s="853">
        <f>$C$19/4</f>
        <v>0.8928571428571429</v>
      </c>
      <c r="F19" s="927" t="s">
        <v>222</v>
      </c>
      <c r="G19" s="905">
        <f>E19/1</f>
        <v>0.8928571428571429</v>
      </c>
      <c r="H19" s="373"/>
      <c r="I19" s="179"/>
      <c r="J19" s="930">
        <f>H19-I19</f>
        <v>0</v>
      </c>
      <c r="K19" s="909">
        <f>(2*I19)*6/10</f>
        <v>0</v>
      </c>
      <c r="L19" s="931">
        <f t="shared" ref="L19:L22" si="2">K19+I19</f>
        <v>0</v>
      </c>
      <c r="M19" s="859" t="str">
        <f>IF(K19&lt;&gt;0,J19/K19,"0%")</f>
        <v>0%</v>
      </c>
      <c r="N19" s="1695">
        <f>(((G19/C19)*M19)+((G20/C19)*M20)+((G21/C19)*M21)+((G22/C19)*M22))</f>
        <v>0.30662111093855171</v>
      </c>
      <c r="O19" s="1699">
        <f>IF((((G19/C19)*M19)+((G20/C19)*M20)+((G21/C19)*M21)+((G22/C19)*M22))&gt;=1,3.571428,IF((((G19/C19)*M19)+((G20/C19)*M20)+((G21/C19)*M21)+((G22/C19)*M22))&lt;=0,0,((((G19/C19)*M19)+((G20/C19)*M20)+((G21/C19)*M21)+((G22/C19)*M22))*3.571428)))</f>
        <v>1.0950752209970498</v>
      </c>
      <c r="P19" s="1678">
        <f>O19/3.571428</f>
        <v>0.30662111093855171</v>
      </c>
      <c r="Q19" s="1354" t="s">
        <v>163</v>
      </c>
      <c r="R19" s="667"/>
      <c r="S19" s="668" t="s">
        <v>463</v>
      </c>
    </row>
    <row r="20" spans="1:19" ht="39" customHeight="1" x14ac:dyDescent="0.45">
      <c r="A20" s="1669"/>
      <c r="B20" s="1688"/>
      <c r="C20" s="1692"/>
      <c r="D20" s="933" t="s">
        <v>152</v>
      </c>
      <c r="E20" s="934">
        <f>($C$19/4)</f>
        <v>0.8928571428571429</v>
      </c>
      <c r="F20" s="935" t="s">
        <v>265</v>
      </c>
      <c r="G20" s="912">
        <f>E20/1</f>
        <v>0.8928571428571429</v>
      </c>
      <c r="H20" s="101">
        <v>106.3</v>
      </c>
      <c r="I20" s="104">
        <v>113.7</v>
      </c>
      <c r="J20" s="936">
        <f t="shared" ref="J20:J24" si="3">H20-I20</f>
        <v>-7.4000000000000057</v>
      </c>
      <c r="K20" s="914">
        <f>(100-I20)*(6/10)</f>
        <v>-8.2200000000000006</v>
      </c>
      <c r="L20" s="937">
        <f t="shared" si="2"/>
        <v>105.48</v>
      </c>
      <c r="M20" s="859">
        <f>IF(K20&lt;&gt;0,J20/K20,"0%")</f>
        <v>0.90024330900243377</v>
      </c>
      <c r="N20" s="1696"/>
      <c r="O20" s="1700"/>
      <c r="P20" s="1703"/>
      <c r="Q20" s="1355" t="s">
        <v>164</v>
      </c>
      <c r="R20" s="204" t="s">
        <v>559</v>
      </c>
      <c r="S20" s="1356"/>
    </row>
    <row r="21" spans="1:19" ht="56.45" customHeight="1" x14ac:dyDescent="0.45">
      <c r="A21" s="1669"/>
      <c r="B21" s="1688"/>
      <c r="C21" s="1692"/>
      <c r="D21" s="933" t="s">
        <v>153</v>
      </c>
      <c r="E21" s="934">
        <f t="shared" ref="E21:E22" si="4">($C$19/4)</f>
        <v>0.8928571428571429</v>
      </c>
      <c r="F21" s="935" t="s">
        <v>155</v>
      </c>
      <c r="G21" s="912">
        <f>E21/1</f>
        <v>0.8928571428571429</v>
      </c>
      <c r="H21" s="367"/>
      <c r="I21" s="368"/>
      <c r="J21" s="936">
        <f t="shared" si="3"/>
        <v>0</v>
      </c>
      <c r="K21" s="914">
        <f>(0.3*I21)*6/10</f>
        <v>0</v>
      </c>
      <c r="L21" s="937">
        <f t="shared" si="2"/>
        <v>0</v>
      </c>
      <c r="M21" s="916" t="str">
        <f>IF(K21&lt;&gt;0,J21/K21,"0%")</f>
        <v>0%</v>
      </c>
      <c r="N21" s="1696"/>
      <c r="O21" s="1700"/>
      <c r="P21" s="1703"/>
      <c r="Q21" s="1355" t="s">
        <v>165</v>
      </c>
      <c r="R21" s="204"/>
      <c r="S21" s="669" t="s">
        <v>463</v>
      </c>
    </row>
    <row r="22" spans="1:19" ht="36.6" customHeight="1" thickBot="1" x14ac:dyDescent="0.5">
      <c r="A22" s="1669"/>
      <c r="B22" s="1707"/>
      <c r="C22" s="1708"/>
      <c r="D22" s="891" t="s">
        <v>154</v>
      </c>
      <c r="E22" s="939">
        <f t="shared" si="4"/>
        <v>0.8928571428571429</v>
      </c>
      <c r="F22" s="940" t="s">
        <v>156</v>
      </c>
      <c r="G22" s="941">
        <f>E22/1</f>
        <v>0.8928571428571429</v>
      </c>
      <c r="H22" s="100">
        <v>43.3</v>
      </c>
      <c r="I22" s="107">
        <v>29.5</v>
      </c>
      <c r="J22" s="943">
        <f t="shared" si="3"/>
        <v>13.799999999999997</v>
      </c>
      <c r="K22" s="921">
        <f>(100-I22)*(6/10)</f>
        <v>42.3</v>
      </c>
      <c r="L22" s="944">
        <f t="shared" si="2"/>
        <v>71.8</v>
      </c>
      <c r="M22" s="874">
        <f>IF(K22&lt;&gt;0,J22/K22,"100%")</f>
        <v>0.32624113475177302</v>
      </c>
      <c r="N22" s="1709"/>
      <c r="O22" s="1701"/>
      <c r="P22" s="1679"/>
      <c r="Q22" s="1357" t="s">
        <v>95</v>
      </c>
      <c r="R22" s="198" t="s">
        <v>559</v>
      </c>
      <c r="S22" s="1358"/>
    </row>
    <row r="23" spans="1:19" ht="20.45" customHeight="1" thickBot="1" x14ac:dyDescent="0.5">
      <c r="B23" s="1684" t="s">
        <v>13</v>
      </c>
      <c r="C23" s="1685"/>
      <c r="D23" s="1685"/>
      <c r="E23" s="1685"/>
      <c r="F23" s="1686"/>
      <c r="G23" s="923"/>
      <c r="H23" s="1353"/>
      <c r="I23" s="1353"/>
      <c r="J23" s="946"/>
      <c r="K23" s="947"/>
      <c r="L23" s="947"/>
      <c r="M23" s="948"/>
      <c r="N23" s="833">
        <f>N24</f>
        <v>0.93925561452651229</v>
      </c>
      <c r="O23" s="834">
        <f>O24</f>
        <v>3.3544838008771927</v>
      </c>
      <c r="P23" s="835">
        <f>O23/3.571428</f>
        <v>0.93925561452651229</v>
      </c>
      <c r="Q23" s="924"/>
      <c r="R23" s="665"/>
      <c r="S23" s="666"/>
    </row>
    <row r="24" spans="1:19" ht="36" customHeight="1" x14ac:dyDescent="0.45">
      <c r="A24" s="1669">
        <v>5</v>
      </c>
      <c r="B24" s="1687" t="s">
        <v>14</v>
      </c>
      <c r="C24" s="1691">
        <f>M5</f>
        <v>3.5714285714285716</v>
      </c>
      <c r="D24" s="926" t="s">
        <v>115</v>
      </c>
      <c r="E24" s="853">
        <f>$C$24/4</f>
        <v>0.8928571428571429</v>
      </c>
      <c r="F24" s="926" t="s">
        <v>280</v>
      </c>
      <c r="G24" s="853">
        <f>E24/1</f>
        <v>0.8928571428571429</v>
      </c>
      <c r="H24" s="906">
        <v>58</v>
      </c>
      <c r="I24" s="907">
        <v>38</v>
      </c>
      <c r="J24" s="949">
        <f t="shared" si="3"/>
        <v>20</v>
      </c>
      <c r="K24" s="909">
        <f>(0.3*I24)*6/10</f>
        <v>6.8400000000000007</v>
      </c>
      <c r="L24" s="931">
        <f>K24+I24</f>
        <v>44.84</v>
      </c>
      <c r="M24" s="859">
        <f t="shared" ref="M24:M31" si="5">IF(K24&lt;&gt;0,J24/K24,"0%")</f>
        <v>2.9239766081871341</v>
      </c>
      <c r="N24" s="1695">
        <f>(((G24/C24)*M24)+((G25/C24)*M25)+ ((G26/C24)*M26)+((G27/C24)*M27)+((G28/C24)*M28)+((G29/C24)*M29)+((G30/C24)*M30)+((G31/C24)*M31))</f>
        <v>0.93925561452651229</v>
      </c>
      <c r="O24" s="1699">
        <f>IF((((G24/C24)*M24)+((G25/C24)*M25)+ ((G26/C24)*M26)+((G27/C24)*M27)+((G28/C24)*M28)+((G29/C24)*M29)+((G30/C24)*M30)+((G31/C24)*M31))&gt;=1,3.571428,IF((((G24/C24)*M24)+((G25/C24)*M25)+ ((G26/C24)*M26)+((G27/C24)*M27)+((G28/C24)*M28)+((G29/C24)*M29)+((G30/C24)*M30)+((G31/C24)*M31))&lt;=0,0,((((G24/C24)*M24)+((G25/C24)*M25)+ ((G26/C24)*M26)+((G27/C24)*M27)+((G28/C24)*M28)+((G29/C24)*M29)+((G30/C24)*M30)+((G31/C24)*M31))*3.571428)))</f>
        <v>3.3544838008771927</v>
      </c>
      <c r="P24" s="1678">
        <f>O24/3.571428</f>
        <v>0.93925561452651229</v>
      </c>
      <c r="Q24" s="950" t="s">
        <v>166</v>
      </c>
      <c r="R24" s="670" t="s">
        <v>560</v>
      </c>
      <c r="S24" s="194"/>
    </row>
    <row r="25" spans="1:19" ht="34.5" customHeight="1" x14ac:dyDescent="0.45">
      <c r="A25" s="1669"/>
      <c r="B25" s="1688"/>
      <c r="C25" s="1692"/>
      <c r="D25" s="1721" t="s">
        <v>158</v>
      </c>
      <c r="E25" s="1723">
        <v>0.9</v>
      </c>
      <c r="F25" s="933" t="s">
        <v>15</v>
      </c>
      <c r="G25" s="934">
        <f>$E$25/3</f>
        <v>0.3</v>
      </c>
      <c r="H25" s="365"/>
      <c r="I25" s="366"/>
      <c r="J25" s="951">
        <f t="shared" ref="J25:J30" si="6">I25-H25</f>
        <v>0</v>
      </c>
      <c r="K25" s="914">
        <f>(0.5*I25)*6/10</f>
        <v>0</v>
      </c>
      <c r="L25" s="937">
        <f t="shared" ref="L25:L30" si="7">I25-K25</f>
        <v>0</v>
      </c>
      <c r="M25" s="916" t="str">
        <f t="shared" si="5"/>
        <v>0%</v>
      </c>
      <c r="N25" s="1696"/>
      <c r="O25" s="1700"/>
      <c r="P25" s="1703"/>
      <c r="Q25" s="952" t="s">
        <v>167</v>
      </c>
      <c r="R25" s="671"/>
      <c r="S25" s="672" t="s">
        <v>463</v>
      </c>
    </row>
    <row r="26" spans="1:19" ht="19.8" customHeight="1" x14ac:dyDescent="0.45">
      <c r="A26" s="1669"/>
      <c r="B26" s="1688"/>
      <c r="C26" s="1692"/>
      <c r="D26" s="1722"/>
      <c r="E26" s="1693"/>
      <c r="F26" s="933" t="s">
        <v>16</v>
      </c>
      <c r="G26" s="934">
        <f t="shared" ref="G26:G27" si="8">$E$25/3</f>
        <v>0.3</v>
      </c>
      <c r="H26" s="101">
        <v>158</v>
      </c>
      <c r="I26" s="104">
        <v>171</v>
      </c>
      <c r="J26" s="951">
        <f t="shared" si="6"/>
        <v>13</v>
      </c>
      <c r="K26" s="914">
        <f>(0.8*I26)*6/10</f>
        <v>82.080000000000013</v>
      </c>
      <c r="L26" s="937">
        <f t="shared" si="7"/>
        <v>88.919999999999987</v>
      </c>
      <c r="M26" s="916">
        <f t="shared" si="5"/>
        <v>0.1583820662768031</v>
      </c>
      <c r="N26" s="1696"/>
      <c r="O26" s="1700"/>
      <c r="P26" s="1703"/>
      <c r="Q26" s="952" t="s">
        <v>168</v>
      </c>
      <c r="R26" s="207" t="s">
        <v>561</v>
      </c>
      <c r="S26" s="229"/>
    </row>
    <row r="27" spans="1:19" ht="26.25" customHeight="1" x14ac:dyDescent="0.45">
      <c r="A27" s="1669"/>
      <c r="B27" s="1688"/>
      <c r="C27" s="1692"/>
      <c r="D27" s="1722"/>
      <c r="E27" s="1693"/>
      <c r="F27" s="933" t="s">
        <v>17</v>
      </c>
      <c r="G27" s="934">
        <f t="shared" si="8"/>
        <v>0.3</v>
      </c>
      <c r="H27" s="365"/>
      <c r="I27" s="366"/>
      <c r="J27" s="951">
        <f t="shared" si="6"/>
        <v>0</v>
      </c>
      <c r="K27" s="914">
        <f>(0.5*I27)*(6/10)</f>
        <v>0</v>
      </c>
      <c r="L27" s="937">
        <f t="shared" si="7"/>
        <v>0</v>
      </c>
      <c r="M27" s="916" t="str">
        <f t="shared" si="5"/>
        <v>0%</v>
      </c>
      <c r="N27" s="1696"/>
      <c r="O27" s="1700"/>
      <c r="P27" s="1703"/>
      <c r="Q27" s="952" t="s">
        <v>169</v>
      </c>
      <c r="R27" s="207"/>
      <c r="S27" s="672" t="s">
        <v>463</v>
      </c>
    </row>
    <row r="28" spans="1:19" ht="30.6" customHeight="1" x14ac:dyDescent="0.45">
      <c r="A28" s="16"/>
      <c r="B28" s="1688"/>
      <c r="C28" s="1692"/>
      <c r="D28" s="1721" t="s">
        <v>116</v>
      </c>
      <c r="E28" s="1723">
        <f t="shared" ref="E28:E31" si="9">$C$24/4</f>
        <v>0.8928571428571429</v>
      </c>
      <c r="F28" s="933" t="s">
        <v>148</v>
      </c>
      <c r="G28" s="934">
        <f>$E$28/3</f>
        <v>0.29761904761904762</v>
      </c>
      <c r="H28" s="365"/>
      <c r="I28" s="366"/>
      <c r="J28" s="951">
        <f t="shared" si="6"/>
        <v>0</v>
      </c>
      <c r="K28" s="914">
        <f>(0.5*I28)*(6/10)</f>
        <v>0</v>
      </c>
      <c r="L28" s="937">
        <f t="shared" si="7"/>
        <v>0</v>
      </c>
      <c r="M28" s="916" t="str">
        <f t="shared" si="5"/>
        <v>0%</v>
      </c>
      <c r="N28" s="1697"/>
      <c r="O28" s="1700"/>
      <c r="P28" s="1703"/>
      <c r="Q28" s="952" t="s">
        <v>170</v>
      </c>
      <c r="R28" s="671"/>
      <c r="S28" s="672" t="s">
        <v>463</v>
      </c>
    </row>
    <row r="29" spans="1:19" ht="20.45" customHeight="1" x14ac:dyDescent="0.45">
      <c r="A29" s="16"/>
      <c r="B29" s="1688"/>
      <c r="C29" s="1692"/>
      <c r="D29" s="1722"/>
      <c r="E29" s="1693"/>
      <c r="F29" s="933" t="s">
        <v>149</v>
      </c>
      <c r="G29" s="934">
        <f t="shared" ref="G29:G30" si="10">$E$28/3</f>
        <v>0.29761904761904762</v>
      </c>
      <c r="H29" s="101">
        <v>11.3</v>
      </c>
      <c r="I29" s="104">
        <v>13.3</v>
      </c>
      <c r="J29" s="951">
        <f t="shared" si="6"/>
        <v>2</v>
      </c>
      <c r="K29" s="914">
        <f>(0.5*I29)*(6/10)</f>
        <v>3.99</v>
      </c>
      <c r="L29" s="937">
        <f t="shared" si="7"/>
        <v>9.31</v>
      </c>
      <c r="M29" s="916">
        <f t="shared" si="5"/>
        <v>0.50125313283208017</v>
      </c>
      <c r="N29" s="1697"/>
      <c r="O29" s="1700"/>
      <c r="P29" s="1703"/>
      <c r="Q29" s="952" t="s">
        <v>171</v>
      </c>
      <c r="R29" s="207" t="s">
        <v>562</v>
      </c>
      <c r="S29" s="229"/>
    </row>
    <row r="30" spans="1:19" ht="28.9" customHeight="1" x14ac:dyDescent="0.45">
      <c r="A30" s="16"/>
      <c r="B30" s="1689"/>
      <c r="C30" s="1693"/>
      <c r="D30" s="1722"/>
      <c r="E30" s="1693"/>
      <c r="F30" s="933" t="s">
        <v>150</v>
      </c>
      <c r="G30" s="934">
        <f t="shared" si="10"/>
        <v>0.29761904761904762</v>
      </c>
      <c r="H30" s="365"/>
      <c r="I30" s="366"/>
      <c r="J30" s="951">
        <f t="shared" si="6"/>
        <v>0</v>
      </c>
      <c r="K30" s="914">
        <f>(0.5*I30)*(6/10)</f>
        <v>0</v>
      </c>
      <c r="L30" s="937">
        <f t="shared" si="7"/>
        <v>0</v>
      </c>
      <c r="M30" s="916" t="str">
        <f t="shared" si="5"/>
        <v>0%</v>
      </c>
      <c r="N30" s="1697"/>
      <c r="O30" s="1700"/>
      <c r="P30" s="1703"/>
      <c r="Q30" s="952" t="s">
        <v>172</v>
      </c>
      <c r="R30" s="671"/>
      <c r="S30" s="672" t="s">
        <v>463</v>
      </c>
    </row>
    <row r="31" spans="1:19" ht="34.9" customHeight="1" thickBot="1" x14ac:dyDescent="0.5">
      <c r="A31" s="16"/>
      <c r="B31" s="1690"/>
      <c r="C31" s="1694"/>
      <c r="D31" s="953" t="s">
        <v>117</v>
      </c>
      <c r="E31" s="868">
        <f t="shared" si="9"/>
        <v>0.8928571428571429</v>
      </c>
      <c r="F31" s="954" t="s">
        <v>223</v>
      </c>
      <c r="G31" s="868">
        <f>E31/1</f>
        <v>0.8928571428571429</v>
      </c>
      <c r="H31" s="100">
        <v>78.5</v>
      </c>
      <c r="I31" s="107">
        <v>66</v>
      </c>
      <c r="J31" s="955">
        <f t="shared" ref="J31" si="11">H31-I31</f>
        <v>12.5</v>
      </c>
      <c r="K31" s="921">
        <f>(100-I31)*(6/10)</f>
        <v>20.399999999999999</v>
      </c>
      <c r="L31" s="944">
        <f>K31+I31</f>
        <v>86.4</v>
      </c>
      <c r="M31" s="898">
        <f t="shared" si="5"/>
        <v>0.61274509803921573</v>
      </c>
      <c r="N31" s="1698"/>
      <c r="O31" s="1701"/>
      <c r="P31" s="1679"/>
      <c r="Q31" s="956" t="s">
        <v>95</v>
      </c>
      <c r="R31" s="673"/>
      <c r="S31" s="674"/>
    </row>
    <row r="32" spans="1:19" ht="20.45" customHeight="1" thickBot="1" x14ac:dyDescent="0.5">
      <c r="B32" s="1724" t="s">
        <v>18</v>
      </c>
      <c r="C32" s="1725"/>
      <c r="D32" s="1725"/>
      <c r="E32" s="1725"/>
      <c r="F32" s="1726"/>
      <c r="G32" s="923"/>
      <c r="H32" s="675"/>
      <c r="I32" s="676"/>
      <c r="J32" s="957"/>
      <c r="K32" s="958"/>
      <c r="L32" s="959"/>
      <c r="M32" s="960"/>
      <c r="N32" s="833">
        <f>(N33+N34+N35+N36)/4</f>
        <v>-0.17857142857142858</v>
      </c>
      <c r="O32" s="834">
        <f>(O33+O34+O35+O36)</f>
        <v>0</v>
      </c>
      <c r="P32" s="835">
        <f>O32/14.285712</f>
        <v>0</v>
      </c>
      <c r="Q32" s="924"/>
      <c r="R32" s="665"/>
      <c r="S32" s="666"/>
    </row>
    <row r="33" spans="1:19" ht="33.6" customHeight="1" thickBot="1" x14ac:dyDescent="0.5">
      <c r="A33" s="16">
        <v>6</v>
      </c>
      <c r="B33" s="961" t="s">
        <v>19</v>
      </c>
      <c r="C33" s="962">
        <f>$M$5</f>
        <v>3.5714285714285716</v>
      </c>
      <c r="D33" s="963" t="s">
        <v>287</v>
      </c>
      <c r="E33" s="964">
        <f>C33/1</f>
        <v>3.5714285714285716</v>
      </c>
      <c r="F33" s="961" t="s">
        <v>288</v>
      </c>
      <c r="G33" s="962">
        <f>E33/1</f>
        <v>3.5714285714285716</v>
      </c>
      <c r="H33" s="99">
        <v>2</v>
      </c>
      <c r="I33" s="186">
        <v>5.0999999999999996</v>
      </c>
      <c r="J33" s="965">
        <f>IF(H33&lt;7,(H33-7),(H33-I33))</f>
        <v>-5</v>
      </c>
      <c r="K33" s="966">
        <f>IF((7-H33&gt;=0),(7-H33),0)</f>
        <v>5</v>
      </c>
      <c r="L33" s="967">
        <f>IF((I33&lt;7),7,I33)</f>
        <v>7</v>
      </c>
      <c r="M33" s="968">
        <f>IF(K33&lt;&gt;0,J33/7,(1+((H33-I33)/I33)))</f>
        <v>-0.7142857142857143</v>
      </c>
      <c r="N33" s="969">
        <f>((G33/C33)*M33)</f>
        <v>-0.7142857142857143</v>
      </c>
      <c r="O33" s="970">
        <f>IF(((G33/C33)*M33)&gt;=1,3.571428,IF(((G33/C33)*M33)&lt;=0,0,((G33/C33)*M33)*3.571428))</f>
        <v>0</v>
      </c>
      <c r="P33" s="835">
        <f>O33/3.571428</f>
        <v>0</v>
      </c>
      <c r="Q33" s="971" t="s">
        <v>97</v>
      </c>
      <c r="R33" s="677"/>
      <c r="S33" s="529"/>
    </row>
    <row r="34" spans="1:19" ht="51" customHeight="1" thickBot="1" x14ac:dyDescent="0.5">
      <c r="A34" s="16">
        <v>7</v>
      </c>
      <c r="B34" s="961" t="s">
        <v>20</v>
      </c>
      <c r="C34" s="962">
        <f t="shared" ref="C34:C36" si="12">$M$5</f>
        <v>3.5714285714285716</v>
      </c>
      <c r="D34" s="961" t="s">
        <v>118</v>
      </c>
      <c r="E34" s="964">
        <f t="shared" ref="E34:E36" si="13">C34/1</f>
        <v>3.5714285714285716</v>
      </c>
      <c r="F34" s="961" t="s">
        <v>21</v>
      </c>
      <c r="G34" s="962">
        <f>E34/1</f>
        <v>3.5714285714285716</v>
      </c>
      <c r="H34" s="678"/>
      <c r="I34" s="1207">
        <v>6.2</v>
      </c>
      <c r="J34" s="975">
        <f>H34-I34</f>
        <v>-6.2</v>
      </c>
      <c r="K34" s="976">
        <f>(0.5*I34)*(6/10)</f>
        <v>1.8599999999999999</v>
      </c>
      <c r="L34" s="977">
        <f>K34+I34</f>
        <v>8.06</v>
      </c>
      <c r="M34" s="968" t="str">
        <f>IF(H34=0,"0%",J34/K34)</f>
        <v>0%</v>
      </c>
      <c r="N34" s="969">
        <f>((G34/C34)*M34)</f>
        <v>0</v>
      </c>
      <c r="O34" s="970">
        <f>IF(((G34/C34)*M34)&gt;=1,3.571428,IF(((G34/C34)*M34)&lt;=0,0,((G34/C34)*M34)*3.571428))</f>
        <v>0</v>
      </c>
      <c r="P34" s="835">
        <f t="shared" ref="P34:P36" si="14">O34/3.571428</f>
        <v>0</v>
      </c>
      <c r="Q34" s="971" t="s">
        <v>173</v>
      </c>
      <c r="R34" s="679"/>
      <c r="S34" s="663" t="s">
        <v>563</v>
      </c>
    </row>
    <row r="35" spans="1:19" ht="40.799999999999997" customHeight="1" thickBot="1" x14ac:dyDescent="0.5">
      <c r="A35" s="16">
        <v>8</v>
      </c>
      <c r="B35" s="961" t="s">
        <v>22</v>
      </c>
      <c r="C35" s="962">
        <f t="shared" si="12"/>
        <v>3.5714285714285716</v>
      </c>
      <c r="D35" s="961" t="s">
        <v>119</v>
      </c>
      <c r="E35" s="964">
        <f t="shared" si="13"/>
        <v>3.5714285714285716</v>
      </c>
      <c r="F35" s="961" t="s">
        <v>23</v>
      </c>
      <c r="G35" s="962">
        <f>E35/1</f>
        <v>3.5714285714285716</v>
      </c>
      <c r="H35" s="678"/>
      <c r="I35" s="680"/>
      <c r="J35" s="978">
        <f>H35-I35</f>
        <v>0</v>
      </c>
      <c r="K35" s="979">
        <f>IF((I35&gt;=1),0,((1-I35)*0.6))</f>
        <v>0.6</v>
      </c>
      <c r="L35" s="967">
        <f>I35+K35</f>
        <v>0.6</v>
      </c>
      <c r="M35" s="968">
        <f>IF(K35&lt;&gt;0,J35/K35,"0%")</f>
        <v>0</v>
      </c>
      <c r="N35" s="969">
        <f>((G35/C35)*M35)</f>
        <v>0</v>
      </c>
      <c r="O35" s="970">
        <f>IF(((G35/C35)*M35)&gt;=1,3.571428,IF(((G35/C35)*M35)&lt;=0,0,((G35/C35)*M35)*3.571428))</f>
        <v>0</v>
      </c>
      <c r="P35" s="835">
        <f t="shared" si="14"/>
        <v>0</v>
      </c>
      <c r="Q35" s="971" t="s">
        <v>174</v>
      </c>
      <c r="R35" s="679"/>
      <c r="S35" s="663" t="s">
        <v>463</v>
      </c>
    </row>
    <row r="36" spans="1:19" ht="32.450000000000003" customHeight="1" thickBot="1" x14ac:dyDescent="0.5">
      <c r="A36" s="16">
        <v>9</v>
      </c>
      <c r="B36" s="961" t="s">
        <v>24</v>
      </c>
      <c r="C36" s="962">
        <f t="shared" si="12"/>
        <v>3.5714285714285716</v>
      </c>
      <c r="D36" s="961" t="s">
        <v>275</v>
      </c>
      <c r="E36" s="964">
        <f t="shared" si="13"/>
        <v>3.5714285714285716</v>
      </c>
      <c r="F36" s="980" t="s">
        <v>25</v>
      </c>
      <c r="G36" s="962">
        <f>E36/1</f>
        <v>3.5714285714285716</v>
      </c>
      <c r="H36" s="678"/>
      <c r="I36" s="680"/>
      <c r="J36" s="981">
        <f>H36-I36</f>
        <v>0</v>
      </c>
      <c r="K36" s="982">
        <f>(1*I36)*(6/10)</f>
        <v>0</v>
      </c>
      <c r="L36" s="983">
        <f>I36+K36</f>
        <v>0</v>
      </c>
      <c r="M36" s="968" t="str">
        <f>IF(K36&lt;&gt;0,J36/K36,"0%")</f>
        <v>0%</v>
      </c>
      <c r="N36" s="969">
        <f>((G36/C36)*M36)</f>
        <v>0</v>
      </c>
      <c r="O36" s="970">
        <f>IF(((G36/C36)*M36)&gt;=1,3.571428,IF(((G36/C36)*M36)&lt;=0,0,((G36/C36)*M36)*3.571428))</f>
        <v>0</v>
      </c>
      <c r="P36" s="835">
        <f t="shared" si="14"/>
        <v>0</v>
      </c>
      <c r="Q36" s="984" t="s">
        <v>175</v>
      </c>
      <c r="R36" s="223"/>
      <c r="S36" s="663" t="s">
        <v>463</v>
      </c>
    </row>
    <row r="37" spans="1:19" ht="30.6" customHeight="1" thickBot="1" x14ac:dyDescent="0.5">
      <c r="B37" s="1718" t="s">
        <v>26</v>
      </c>
      <c r="C37" s="1719"/>
      <c r="D37" s="1719"/>
      <c r="E37" s="1719"/>
      <c r="F37" s="1720"/>
      <c r="G37" s="985"/>
      <c r="H37" s="1359"/>
      <c r="I37" s="1359"/>
      <c r="J37" s="986"/>
      <c r="K37" s="987"/>
      <c r="L37" s="987"/>
      <c r="M37" s="988"/>
      <c r="N37" s="833">
        <f>N38</f>
        <v>0</v>
      </c>
      <c r="O37" s="834">
        <f>O38</f>
        <v>0</v>
      </c>
      <c r="P37" s="835">
        <f>O37/3.571428</f>
        <v>0</v>
      </c>
      <c r="Q37" s="989"/>
      <c r="R37" s="681"/>
      <c r="S37" s="666"/>
    </row>
    <row r="38" spans="1:19" ht="25.8" customHeight="1" thickBot="1" x14ac:dyDescent="0.5">
      <c r="A38" s="1669">
        <v>10</v>
      </c>
      <c r="B38" s="1687" t="s">
        <v>27</v>
      </c>
      <c r="C38" s="1691">
        <f>M5</f>
        <v>3.5714285714285716</v>
      </c>
      <c r="D38" s="904" t="s">
        <v>120</v>
      </c>
      <c r="E38" s="853">
        <f>$C$38/2</f>
        <v>1.7857142857142858</v>
      </c>
      <c r="F38" s="990" t="s">
        <v>224</v>
      </c>
      <c r="G38" s="853">
        <f>E38/1</f>
        <v>1.7857142857142858</v>
      </c>
      <c r="H38" s="373"/>
      <c r="I38" s="374"/>
      <c r="J38" s="991">
        <f>H38-I38</f>
        <v>0</v>
      </c>
      <c r="K38" s="992">
        <f>(1*I38)*(6/10)</f>
        <v>0</v>
      </c>
      <c r="L38" s="993">
        <f>I38+K38</f>
        <v>0</v>
      </c>
      <c r="M38" s="859" t="str">
        <f>IF(K38&lt;&gt;0,J38/K38,"0%")</f>
        <v>0%</v>
      </c>
      <c r="N38" s="1715">
        <f>(((G38/C38)*M38)+((G39/C38)*M39))</f>
        <v>0</v>
      </c>
      <c r="O38" s="1676">
        <f>IF((((G38/C38)*M38)+((G39/C38)*M39))&gt;=1,3.57148,IF((((G38/C38)*M38)+((G39/C38)*M39))&lt;=0,0, (((G38/C38)*M38)+((G39/C38)*M39))*3.571428))</f>
        <v>0</v>
      </c>
      <c r="P38" s="1678">
        <f>O38/3.571428</f>
        <v>0</v>
      </c>
      <c r="Q38" s="994" t="s">
        <v>176</v>
      </c>
      <c r="R38" s="210"/>
      <c r="S38" s="663" t="s">
        <v>463</v>
      </c>
    </row>
    <row r="39" spans="1:19" ht="35.25" thickBot="1" x14ac:dyDescent="0.5">
      <c r="A39" s="1669"/>
      <c r="B39" s="1688"/>
      <c r="C39" s="1692"/>
      <c r="D39" s="911" t="s">
        <v>157</v>
      </c>
      <c r="E39" s="868">
        <f>$C$38/2</f>
        <v>1.7857142857142858</v>
      </c>
      <c r="F39" s="995" t="s">
        <v>225</v>
      </c>
      <c r="G39" s="934">
        <f>E39/1</f>
        <v>1.7857142857142858</v>
      </c>
      <c r="H39" s="365"/>
      <c r="I39" s="682"/>
      <c r="J39" s="996">
        <f>H39-I39</f>
        <v>0</v>
      </c>
      <c r="K39" s="997">
        <f>IF(AND(I39&gt;=10,H39&gt;=I39),0,((10-H39)*(6/10)))</f>
        <v>6</v>
      </c>
      <c r="L39" s="998">
        <f>I39+K39</f>
        <v>6</v>
      </c>
      <c r="M39" s="874">
        <f>IF(K39&lt;&gt;0,J39/K39,"0%")</f>
        <v>0</v>
      </c>
      <c r="N39" s="1716"/>
      <c r="O39" s="1677"/>
      <c r="P39" s="1679"/>
      <c r="Q39" s="999" t="s">
        <v>95</v>
      </c>
      <c r="R39" s="207"/>
      <c r="S39" s="663" t="s">
        <v>463</v>
      </c>
    </row>
    <row r="40" spans="1:19" ht="20.45" customHeight="1" thickBot="1" x14ac:dyDescent="0.5">
      <c r="B40" s="1730" t="s">
        <v>28</v>
      </c>
      <c r="C40" s="1731"/>
      <c r="D40" s="1731"/>
      <c r="E40" s="1732"/>
      <c r="F40" s="1733"/>
      <c r="G40" s="985"/>
      <c r="H40" s="683"/>
      <c r="I40" s="683"/>
      <c r="J40" s="1000"/>
      <c r="K40" s="1001"/>
      <c r="L40" s="1001"/>
      <c r="M40" s="1002"/>
      <c r="N40" s="833">
        <f>N41</f>
        <v>0</v>
      </c>
      <c r="O40" s="834">
        <f>O41</f>
        <v>0</v>
      </c>
      <c r="P40" s="835">
        <f>O40/3.571428</f>
        <v>0</v>
      </c>
      <c r="Q40" s="1003"/>
      <c r="R40" s="684"/>
      <c r="S40" s="685"/>
    </row>
    <row r="41" spans="1:19" ht="35.25" thickBot="1" x14ac:dyDescent="0.5">
      <c r="A41" s="1669">
        <v>11</v>
      </c>
      <c r="B41" s="1734" t="s">
        <v>29</v>
      </c>
      <c r="C41" s="1736">
        <f>M5</f>
        <v>3.5714285714285716</v>
      </c>
      <c r="D41" s="1004" t="s">
        <v>121</v>
      </c>
      <c r="E41" s="1005">
        <f>$C$41/2</f>
        <v>1.7857142857142858</v>
      </c>
      <c r="F41" s="880" t="s">
        <v>30</v>
      </c>
      <c r="G41" s="1006">
        <f>E41/1</f>
        <v>1.7857142857142858</v>
      </c>
      <c r="H41" s="364"/>
      <c r="I41" s="581"/>
      <c r="J41" s="1007">
        <f>H41-I41</f>
        <v>0</v>
      </c>
      <c r="K41" s="1008">
        <f>(0.5*I41)*(6/10)</f>
        <v>0</v>
      </c>
      <c r="L41" s="1009">
        <f>I41+K41</f>
        <v>0</v>
      </c>
      <c r="M41" s="859" t="str">
        <f>IF(K41&lt;&gt;0,J41/K41,"0%")</f>
        <v>0%</v>
      </c>
      <c r="N41" s="1738">
        <f>(((G41/C41)*M41)+(G42/C41)*M42)</f>
        <v>0</v>
      </c>
      <c r="O41" s="1676">
        <f>IF((((G41/C41)*M41)+((G42/C41)*M42))&gt;=1,3.57148,IF((((G41/C41)*M41)+((G42/C41)*M42))&lt;=0,0, (((G41/C41)*M41)+((G42/C41)*M42))*3.571428))</f>
        <v>0</v>
      </c>
      <c r="P41" s="1678">
        <f>O41/3.571428</f>
        <v>0</v>
      </c>
      <c r="Q41" s="1010" t="s">
        <v>177</v>
      </c>
      <c r="R41" s="686"/>
      <c r="S41" s="663" t="s">
        <v>463</v>
      </c>
    </row>
    <row r="42" spans="1:19" ht="23.65" thickBot="1" x14ac:dyDescent="0.5">
      <c r="A42" s="1669"/>
      <c r="B42" s="1735"/>
      <c r="C42" s="1737"/>
      <c r="D42" s="1011" t="s">
        <v>122</v>
      </c>
      <c r="E42" s="939">
        <f>$C$41/2</f>
        <v>1.7857142857142858</v>
      </c>
      <c r="F42" s="891" t="s">
        <v>31</v>
      </c>
      <c r="G42" s="1012">
        <f>E42/1</f>
        <v>1.7857142857142858</v>
      </c>
      <c r="H42" s="582"/>
      <c r="I42" s="583"/>
      <c r="J42" s="1013">
        <f>H42-I42</f>
        <v>0</v>
      </c>
      <c r="K42" s="896">
        <f>(0.5*I42)*(6/10)</f>
        <v>0</v>
      </c>
      <c r="L42" s="1014">
        <f>I42+K42</f>
        <v>0</v>
      </c>
      <c r="M42" s="874" t="str">
        <f>IF(K42&lt;&gt;0,J42/K42,"0%")</f>
        <v>0%</v>
      </c>
      <c r="N42" s="1738"/>
      <c r="O42" s="1677"/>
      <c r="P42" s="1679"/>
      <c r="Q42" s="1010" t="s">
        <v>95</v>
      </c>
      <c r="R42" s="211"/>
      <c r="S42" s="663" t="s">
        <v>463</v>
      </c>
    </row>
    <row r="43" spans="1:19" ht="30.6" customHeight="1" thickBot="1" x14ac:dyDescent="0.5">
      <c r="B43" s="1704" t="s">
        <v>32</v>
      </c>
      <c r="C43" s="1705"/>
      <c r="D43" s="1705"/>
      <c r="E43" s="1705"/>
      <c r="F43" s="1706"/>
      <c r="G43" s="923"/>
      <c r="H43" s="687"/>
      <c r="I43" s="687"/>
      <c r="J43" s="1015"/>
      <c r="K43" s="1016"/>
      <c r="L43" s="1016"/>
      <c r="M43" s="923"/>
      <c r="N43" s="833">
        <f>N44</f>
        <v>0</v>
      </c>
      <c r="O43" s="834">
        <f>O44</f>
        <v>0</v>
      </c>
      <c r="P43" s="835">
        <f>O43/3.571428</f>
        <v>0</v>
      </c>
      <c r="Q43" s="1017"/>
      <c r="R43" s="688"/>
      <c r="S43" s="685"/>
    </row>
    <row r="44" spans="1:19" ht="37.799999999999997" customHeight="1" thickBot="1" x14ac:dyDescent="0.5">
      <c r="A44" s="1669">
        <v>12</v>
      </c>
      <c r="B44" s="1727" t="s">
        <v>33</v>
      </c>
      <c r="C44" s="1691">
        <f>M5</f>
        <v>3.5714285714285716</v>
      </c>
      <c r="D44" s="926" t="s">
        <v>123</v>
      </c>
      <c r="E44" s="1018">
        <f>C44/2</f>
        <v>1.7857142857142858</v>
      </c>
      <c r="F44" s="926" t="s">
        <v>34</v>
      </c>
      <c r="G44" s="853">
        <f>$E$44/1</f>
        <v>1.7857142857142858</v>
      </c>
      <c r="H44" s="373"/>
      <c r="I44" s="599">
        <v>32</v>
      </c>
      <c r="J44" s="1019">
        <f>IF(I44=H44,(H44-30),H44-I44)</f>
        <v>-32</v>
      </c>
      <c r="K44" s="909">
        <f>IF(I44&gt;=30,0,((30-I44)*(6/10)))</f>
        <v>0</v>
      </c>
      <c r="L44" s="1020">
        <f>I44+K44</f>
        <v>32</v>
      </c>
      <c r="M44" s="859">
        <f>IF(I44&gt;=30,(1+(H44-30)/30),(J44/K44))</f>
        <v>0</v>
      </c>
      <c r="N44" s="1715">
        <f>(((G44/C44)*M44)+((G45/C44)*M45))</f>
        <v>0</v>
      </c>
      <c r="O44" s="1676">
        <f>IF((((G44/C44)*M44)+((G45/C44)*M45))&gt;=1,3.57148,IF((((G44/C44)*M44)+((G45/C44)*M45))&lt;=0,0, (((G44/C44)*M44)+((G45/C44)*M45))*3.571428))</f>
        <v>0</v>
      </c>
      <c r="P44" s="1678">
        <f>O44/3.571428</f>
        <v>0</v>
      </c>
      <c r="Q44" s="910" t="s">
        <v>178</v>
      </c>
      <c r="R44" s="210" t="s">
        <v>564</v>
      </c>
      <c r="S44" s="230"/>
    </row>
    <row r="45" spans="1:19" ht="35.25" thickBot="1" x14ac:dyDescent="0.5">
      <c r="A45" s="1669"/>
      <c r="B45" s="1728"/>
      <c r="C45" s="1729"/>
      <c r="D45" s="953" t="s">
        <v>124</v>
      </c>
      <c r="E45" s="1021">
        <f>(C44/2)</f>
        <v>1.7857142857142858</v>
      </c>
      <c r="F45" s="953" t="s">
        <v>35</v>
      </c>
      <c r="G45" s="868">
        <f>$E$45/1</f>
        <v>1.7857142857142858</v>
      </c>
      <c r="H45" s="369"/>
      <c r="I45" s="370"/>
      <c r="J45" s="1022">
        <f>IF(I45=H45,(H45-17),H45-I45)</f>
        <v>-17</v>
      </c>
      <c r="K45" s="1023">
        <f>IF(I45&gt;=17,0,((17-I45)*(6/10)))</f>
        <v>10.199999999999999</v>
      </c>
      <c r="L45" s="1024">
        <f>I45+K45</f>
        <v>10.199999999999999</v>
      </c>
      <c r="M45" s="1238">
        <f>IF(I45&gt;=17,(1+(H45-17)/17),(H45/17))</f>
        <v>0</v>
      </c>
      <c r="N45" s="1717"/>
      <c r="O45" s="1677"/>
      <c r="P45" s="1679"/>
      <c r="Q45" s="922" t="s">
        <v>179</v>
      </c>
      <c r="R45" s="211"/>
      <c r="S45" s="663" t="s">
        <v>463</v>
      </c>
    </row>
    <row r="46" spans="1:19" ht="30.6" customHeight="1" thickBot="1" x14ac:dyDescent="0.5">
      <c r="B46" s="1743" t="s">
        <v>36</v>
      </c>
      <c r="C46" s="1744"/>
      <c r="D46" s="1744"/>
      <c r="E46" s="1744"/>
      <c r="F46" s="1745"/>
      <c r="G46" s="1025"/>
      <c r="H46" s="689"/>
      <c r="I46" s="690"/>
      <c r="J46" s="1026"/>
      <c r="K46" s="1027"/>
      <c r="L46" s="1027"/>
      <c r="M46" s="1028"/>
      <c r="N46" s="833">
        <f>(N47+N50+N52)/3</f>
        <v>0.27777777777777779</v>
      </c>
      <c r="O46" s="834">
        <f>(O47+O50+O52)</f>
        <v>2.9761900000000003</v>
      </c>
      <c r="P46" s="835">
        <f>O46/10.714284</f>
        <v>0.27777777777777785</v>
      </c>
      <c r="Q46" s="1029"/>
      <c r="R46" s="691"/>
      <c r="S46" s="692"/>
    </row>
    <row r="47" spans="1:19" ht="20.45" customHeight="1" thickBot="1" x14ac:dyDescent="0.5">
      <c r="B47" s="1684" t="s">
        <v>37</v>
      </c>
      <c r="C47" s="1685"/>
      <c r="D47" s="1685"/>
      <c r="E47" s="1685"/>
      <c r="F47" s="1686"/>
      <c r="G47" s="1030"/>
      <c r="H47" s="683"/>
      <c r="I47" s="683"/>
      <c r="J47" s="1031"/>
      <c r="K47" s="1032"/>
      <c r="L47" s="1032"/>
      <c r="M47" s="923"/>
      <c r="N47" s="833">
        <f>N48</f>
        <v>0</v>
      </c>
      <c r="O47" s="834">
        <f>O48</f>
        <v>0</v>
      </c>
      <c r="P47" s="835">
        <f>O47/3.571428</f>
        <v>0</v>
      </c>
      <c r="Q47" s="1017"/>
      <c r="R47" s="688"/>
      <c r="S47" s="685"/>
    </row>
    <row r="48" spans="1:19" ht="37.799999999999997" customHeight="1" thickBot="1" x14ac:dyDescent="0.5">
      <c r="A48" s="1669">
        <v>13</v>
      </c>
      <c r="B48" s="1727" t="s">
        <v>38</v>
      </c>
      <c r="C48" s="1691">
        <f>M5</f>
        <v>3.5714285714285716</v>
      </c>
      <c r="D48" s="926" t="s">
        <v>125</v>
      </c>
      <c r="E48" s="853">
        <f>$C$48/2</f>
        <v>1.7857142857142858</v>
      </c>
      <c r="F48" s="1033" t="s">
        <v>289</v>
      </c>
      <c r="G48" s="853">
        <f>E48/1</f>
        <v>1.7857142857142858</v>
      </c>
      <c r="H48" s="373"/>
      <c r="I48" s="374"/>
      <c r="J48" s="1034">
        <f>H48-I48</f>
        <v>0</v>
      </c>
      <c r="K48" s="1035">
        <f>(0.5*I48)* (6/10)</f>
        <v>0</v>
      </c>
      <c r="L48" s="1036">
        <f>I48-K48</f>
        <v>0</v>
      </c>
      <c r="M48" s="887" t="str">
        <f>IF(K48&lt;&gt;0,J48/K48,"0%")</f>
        <v>0%</v>
      </c>
      <c r="N48" s="1746">
        <f>(((G48/C48)*M48)+((G49/C48)*M49))</f>
        <v>0</v>
      </c>
      <c r="O48" s="1676">
        <f>IF((((G48/C48)*M48)+((G49/C48)*M49))&gt;=1,3.57148,IF((((G48/C48)*M48)+((G49/C48)*M49))&lt;=0,0, (((G48/C48)*M48)+((G49/C48)*M49))*3.571428))</f>
        <v>0</v>
      </c>
      <c r="P48" s="1678">
        <f>O48/3.571428</f>
        <v>0</v>
      </c>
      <c r="Q48" s="950" t="s">
        <v>95</v>
      </c>
      <c r="R48" s="210"/>
      <c r="S48" s="663" t="s">
        <v>463</v>
      </c>
    </row>
    <row r="49" spans="1:19" ht="30.6" customHeight="1" thickBot="1" x14ac:dyDescent="0.5">
      <c r="A49" s="1669"/>
      <c r="B49" s="1728"/>
      <c r="C49" s="1729"/>
      <c r="D49" s="953" t="s">
        <v>126</v>
      </c>
      <c r="E49" s="868">
        <f>$C$48/2</f>
        <v>1.7857142857142858</v>
      </c>
      <c r="F49" s="953" t="s">
        <v>290</v>
      </c>
      <c r="G49" s="868">
        <f>E49/1</f>
        <v>1.7857142857142858</v>
      </c>
      <c r="H49" s="693"/>
      <c r="I49" s="694"/>
      <c r="J49" s="955">
        <f>H49-I49</f>
        <v>0</v>
      </c>
      <c r="K49" s="1037">
        <f>(2*I49)*(6/10)</f>
        <v>0</v>
      </c>
      <c r="L49" s="1038">
        <f>I49+K49</f>
        <v>0</v>
      </c>
      <c r="M49" s="874" t="str">
        <f>IF(K49&lt;&gt;0,J49/K49,"0%")</f>
        <v>0%</v>
      </c>
      <c r="N49" s="1747"/>
      <c r="O49" s="1677"/>
      <c r="P49" s="1679"/>
      <c r="Q49" s="956" t="s">
        <v>95</v>
      </c>
      <c r="R49" s="211"/>
      <c r="S49" s="663" t="s">
        <v>463</v>
      </c>
    </row>
    <row r="50" spans="1:19" ht="15" customHeight="1" thickBot="1" x14ac:dyDescent="0.5">
      <c r="B50" s="1704" t="s">
        <v>39</v>
      </c>
      <c r="C50" s="1705"/>
      <c r="D50" s="1705"/>
      <c r="E50" s="1705"/>
      <c r="F50" s="1706"/>
      <c r="G50" s="1039"/>
      <c r="H50" s="695"/>
      <c r="I50" s="695"/>
      <c r="J50" s="1040"/>
      <c r="K50" s="1040"/>
      <c r="L50" s="1040"/>
      <c r="M50" s="1041"/>
      <c r="N50" s="833">
        <f>N51</f>
        <v>0.83333333333333337</v>
      </c>
      <c r="O50" s="834">
        <f>O51</f>
        <v>2.9761900000000003</v>
      </c>
      <c r="P50" s="835">
        <f>O50/3.571428</f>
        <v>0.83333333333333337</v>
      </c>
      <c r="Q50" s="1042"/>
      <c r="R50" s="212"/>
      <c r="S50" s="696"/>
    </row>
    <row r="51" spans="1:19" ht="39" customHeight="1" thickBot="1" x14ac:dyDescent="0.5">
      <c r="A51" s="15">
        <v>14</v>
      </c>
      <c r="B51" s="1043" t="s">
        <v>226</v>
      </c>
      <c r="C51" s="1044">
        <f>M5</f>
        <v>3.5714285714285716</v>
      </c>
      <c r="D51" s="1045" t="s">
        <v>272</v>
      </c>
      <c r="E51" s="1046">
        <f>C51</f>
        <v>3.5714285714285716</v>
      </c>
      <c r="F51" s="1047" t="s">
        <v>266</v>
      </c>
      <c r="G51" s="1048">
        <f>E51/1</f>
        <v>3.5714285714285716</v>
      </c>
      <c r="H51" s="697">
        <v>50</v>
      </c>
      <c r="I51" s="698">
        <v>0</v>
      </c>
      <c r="J51" s="1049">
        <f>H51-I51</f>
        <v>50</v>
      </c>
      <c r="K51" s="1050">
        <f>(100-I51)*(6/10)</f>
        <v>60</v>
      </c>
      <c r="L51" s="1051">
        <f>I51+K51</f>
        <v>60</v>
      </c>
      <c r="M51" s="898">
        <f>IF(K51&lt;&gt;0,J51/K51,"100%")</f>
        <v>0.83333333333333337</v>
      </c>
      <c r="N51" s="969">
        <f>((G51/C51)*M51)</f>
        <v>0.83333333333333337</v>
      </c>
      <c r="O51" s="970">
        <f>IF(((G51/C51)*M51)&gt;=1,3.571428,IF(((G51/C51)*M51)&lt;=0,0,((G51/C51)*M51)*3.571428))</f>
        <v>2.9761900000000003</v>
      </c>
      <c r="P51" s="835">
        <f>O51/3.571428</f>
        <v>0.83333333333333337</v>
      </c>
      <c r="Q51" s="1052" t="s">
        <v>95</v>
      </c>
      <c r="R51" s="699" t="s">
        <v>565</v>
      </c>
      <c r="S51" s="700" t="s">
        <v>566</v>
      </c>
    </row>
    <row r="52" spans="1:19" ht="20.45" customHeight="1" thickBot="1" x14ac:dyDescent="0.5">
      <c r="B52" s="1704" t="s">
        <v>40</v>
      </c>
      <c r="C52" s="1705"/>
      <c r="D52" s="1705"/>
      <c r="E52" s="1705"/>
      <c r="F52" s="1706"/>
      <c r="G52" s="1030"/>
      <c r="H52" s="683"/>
      <c r="I52" s="683"/>
      <c r="J52" s="1031"/>
      <c r="K52" s="1032"/>
      <c r="L52" s="1032"/>
      <c r="M52" s="948"/>
      <c r="N52" s="833">
        <f>N53</f>
        <v>0</v>
      </c>
      <c r="O52" s="834">
        <f>O53</f>
        <v>0</v>
      </c>
      <c r="P52" s="835">
        <f>O52/3.571428</f>
        <v>0</v>
      </c>
      <c r="Q52" s="1053"/>
      <c r="R52" s="212"/>
      <c r="S52" s="685"/>
    </row>
    <row r="53" spans="1:19" ht="43.8" customHeight="1" x14ac:dyDescent="0.45">
      <c r="A53" s="1669">
        <v>15</v>
      </c>
      <c r="B53" s="1687" t="s">
        <v>108</v>
      </c>
      <c r="C53" s="1691">
        <f>M5</f>
        <v>3.5714285714285716</v>
      </c>
      <c r="D53" s="1054" t="s">
        <v>127</v>
      </c>
      <c r="E53" s="1055">
        <f>$C$53/5</f>
        <v>0.7142857142857143</v>
      </c>
      <c r="F53" s="1056" t="s">
        <v>41</v>
      </c>
      <c r="G53" s="905">
        <f>E53/1</f>
        <v>0.7142857142857143</v>
      </c>
      <c r="H53" s="701"/>
      <c r="I53" s="702"/>
      <c r="J53" s="930">
        <f>H53-I53</f>
        <v>0</v>
      </c>
      <c r="K53" s="1035">
        <f>(100-I53)*(6/10)</f>
        <v>60</v>
      </c>
      <c r="L53" s="993">
        <f t="shared" ref="L53:L58" si="15">I53+K53</f>
        <v>60</v>
      </c>
      <c r="M53" s="859">
        <f t="shared" ref="M53:M55" si="16">IF(K53&lt;&gt;0,J53/K53,"0%")</f>
        <v>0</v>
      </c>
      <c r="N53" s="1740">
        <f>(((G53/C53)*M53)+((G54/C53)*M54)+((G55/C53)*M55)+((G56/C53)*M56)+((G57/C53)*M57)+((G58/C53)*M58))</f>
        <v>0</v>
      </c>
      <c r="O53" s="1751">
        <f>IF((((G53/C53)*M53)+((G54/C53)*M54)+((G55/C53)*M55)+((G56/C53)*M56)+((G57/C53)*M57)+((G58/C53)*M58))&gt;=1,3.571428,IF((((G53/C53)*M53)+((G54/C53)*M54)+((G55/C53)*M55)+((G56/C53)*M56)+((G57/C53)*M57)+((G58/C53)*M58))&lt;=0,0,((((G53/C53)*M53)+((G54/C53)*M54)+((G55/C53)*M55)+((G56/C53)*M56)+((G57/C53)*M57)+((G58/C53)*M58))*3.571428)))</f>
        <v>0</v>
      </c>
      <c r="P53" s="1678">
        <f>O53/3.571428</f>
        <v>0</v>
      </c>
      <c r="Q53" s="1057" t="s">
        <v>95</v>
      </c>
      <c r="R53" s="703"/>
      <c r="S53" s="704" t="s">
        <v>463</v>
      </c>
    </row>
    <row r="54" spans="1:19" ht="35.450000000000003" customHeight="1" x14ac:dyDescent="0.45">
      <c r="A54" s="1669"/>
      <c r="B54" s="1688"/>
      <c r="C54" s="1692"/>
      <c r="D54" s="1058" t="s">
        <v>128</v>
      </c>
      <c r="E54" s="1059">
        <f t="shared" ref="E54:E57" si="17">$C$53/5</f>
        <v>0.7142857142857143</v>
      </c>
      <c r="F54" s="1060" t="s">
        <v>42</v>
      </c>
      <c r="G54" s="912">
        <f>E54/1</f>
        <v>0.7142857142857143</v>
      </c>
      <c r="H54" s="365"/>
      <c r="I54" s="366"/>
      <c r="J54" s="936">
        <f>H54-I54</f>
        <v>0</v>
      </c>
      <c r="K54" s="997">
        <f>(100-I54)*(6/6)</f>
        <v>100</v>
      </c>
      <c r="L54" s="998">
        <f>I54+K54</f>
        <v>100</v>
      </c>
      <c r="M54" s="916">
        <f t="shared" si="16"/>
        <v>0</v>
      </c>
      <c r="N54" s="1741"/>
      <c r="O54" s="1700"/>
      <c r="P54" s="1703"/>
      <c r="Q54" s="1061" t="s">
        <v>95</v>
      </c>
      <c r="R54" s="207"/>
      <c r="S54" s="672" t="s">
        <v>463</v>
      </c>
    </row>
    <row r="55" spans="1:19" ht="34.25" customHeight="1" x14ac:dyDescent="0.45">
      <c r="A55" s="1669"/>
      <c r="B55" s="1688"/>
      <c r="C55" s="1692"/>
      <c r="D55" s="1058" t="s">
        <v>129</v>
      </c>
      <c r="E55" s="1059">
        <f t="shared" si="17"/>
        <v>0.7142857142857143</v>
      </c>
      <c r="F55" s="1060" t="s">
        <v>43</v>
      </c>
      <c r="G55" s="912">
        <f>E55/1</f>
        <v>0.7142857142857143</v>
      </c>
      <c r="H55" s="365"/>
      <c r="I55" s="366"/>
      <c r="J55" s="936">
        <f>H55-I55</f>
        <v>0</v>
      </c>
      <c r="K55" s="997">
        <f>(100-I55)*(6/10)</f>
        <v>60</v>
      </c>
      <c r="L55" s="998">
        <f t="shared" si="15"/>
        <v>60</v>
      </c>
      <c r="M55" s="916">
        <f t="shared" si="16"/>
        <v>0</v>
      </c>
      <c r="N55" s="1741"/>
      <c r="O55" s="1700"/>
      <c r="P55" s="1703"/>
      <c r="Q55" s="1061" t="s">
        <v>95</v>
      </c>
      <c r="R55" s="207"/>
      <c r="S55" s="672" t="s">
        <v>463</v>
      </c>
    </row>
    <row r="56" spans="1:19" ht="37.25" customHeight="1" x14ac:dyDescent="0.45">
      <c r="A56" s="1669"/>
      <c r="B56" s="1688"/>
      <c r="C56" s="1692"/>
      <c r="D56" s="1058" t="s">
        <v>130</v>
      </c>
      <c r="E56" s="1059">
        <f t="shared" si="17"/>
        <v>0.7142857142857143</v>
      </c>
      <c r="F56" s="1060" t="s">
        <v>44</v>
      </c>
      <c r="G56" s="912">
        <f>E56/1</f>
        <v>0.7142857142857143</v>
      </c>
      <c r="H56" s="365"/>
      <c r="I56" s="104">
        <v>43.3</v>
      </c>
      <c r="J56" s="936">
        <f>H56-I56</f>
        <v>-43.3</v>
      </c>
      <c r="K56" s="1062">
        <f>(0.5*I56)*(6/7)</f>
        <v>18.557142857142853</v>
      </c>
      <c r="L56" s="998">
        <f t="shared" si="15"/>
        <v>61.857142857142847</v>
      </c>
      <c r="M56" s="916" t="str">
        <f>IF(H56=0,"0%",J56/K56)</f>
        <v>0%</v>
      </c>
      <c r="N56" s="1741"/>
      <c r="O56" s="1700"/>
      <c r="P56" s="1703"/>
      <c r="Q56" s="1061" t="s">
        <v>101</v>
      </c>
      <c r="R56" s="207"/>
      <c r="S56" s="672" t="s">
        <v>563</v>
      </c>
    </row>
    <row r="57" spans="1:19" ht="28.9" customHeight="1" x14ac:dyDescent="0.45">
      <c r="A57" s="1669"/>
      <c r="B57" s="1688"/>
      <c r="C57" s="1692"/>
      <c r="D57" s="1753" t="s">
        <v>131</v>
      </c>
      <c r="E57" s="1755">
        <f t="shared" si="17"/>
        <v>0.7142857142857143</v>
      </c>
      <c r="F57" s="1060" t="s">
        <v>45</v>
      </c>
      <c r="G57" s="912">
        <f>$E$57/2</f>
        <v>0.35714285714285715</v>
      </c>
      <c r="H57" s="365"/>
      <c r="I57" s="366"/>
      <c r="J57" s="936">
        <f t="shared" ref="J57:J58" si="18">H57-I57</f>
        <v>0</v>
      </c>
      <c r="K57" s="1064">
        <f>(1*I57)*(6/10)</f>
        <v>0</v>
      </c>
      <c r="L57" s="998">
        <f t="shared" si="15"/>
        <v>0</v>
      </c>
      <c r="M57" s="916" t="str">
        <f>IF(H57&lt;&gt;0,J57/K57,"0%")</f>
        <v>0%</v>
      </c>
      <c r="N57" s="1741"/>
      <c r="O57" s="1700"/>
      <c r="P57" s="1703"/>
      <c r="Q57" s="1061" t="s">
        <v>180</v>
      </c>
      <c r="R57" s="207"/>
      <c r="S57" s="672" t="s">
        <v>463</v>
      </c>
    </row>
    <row r="58" spans="1:19" ht="25.15" customHeight="1" thickBot="1" x14ac:dyDescent="0.5">
      <c r="A58" s="1669"/>
      <c r="B58" s="1739"/>
      <c r="C58" s="1729"/>
      <c r="D58" s="1754"/>
      <c r="E58" s="1756"/>
      <c r="F58" s="867" t="s">
        <v>46</v>
      </c>
      <c r="G58" s="919">
        <f>$E$57/2</f>
        <v>0.35714285714285715</v>
      </c>
      <c r="H58" s="369"/>
      <c r="I58" s="370"/>
      <c r="J58" s="943">
        <f t="shared" si="18"/>
        <v>0</v>
      </c>
      <c r="K58" s="1037">
        <f>(1*I58)*(6/10)</f>
        <v>0</v>
      </c>
      <c r="L58" s="1065">
        <f t="shared" si="15"/>
        <v>0</v>
      </c>
      <c r="M58" s="874" t="str">
        <f>IF(K58&lt;&gt;0,J58/K58,"0%")</f>
        <v>0%</v>
      </c>
      <c r="N58" s="1742"/>
      <c r="O58" s="1701"/>
      <c r="P58" s="1679"/>
      <c r="Q58" s="1066" t="s">
        <v>95</v>
      </c>
      <c r="R58" s="211"/>
      <c r="S58" s="705" t="s">
        <v>463</v>
      </c>
    </row>
    <row r="59" spans="1:19" ht="23.45" customHeight="1" thickBot="1" x14ac:dyDescent="0.5">
      <c r="B59" s="1743" t="s">
        <v>47</v>
      </c>
      <c r="C59" s="1744"/>
      <c r="D59" s="1744"/>
      <c r="E59" s="1744"/>
      <c r="F59" s="1745"/>
      <c r="G59" s="1067"/>
      <c r="H59" s="706"/>
      <c r="I59" s="706"/>
      <c r="J59" s="1068"/>
      <c r="K59" s="1068"/>
      <c r="L59" s="1068"/>
      <c r="M59" s="1028"/>
      <c r="N59" s="833">
        <f>(N60+N67)/2</f>
        <v>8.3333333333333329E-2</v>
      </c>
      <c r="O59" s="834">
        <f>(O60+O67)</f>
        <v>0.59523799999999993</v>
      </c>
      <c r="P59" s="835">
        <f>O59/7.142856</f>
        <v>8.3333333333333329E-2</v>
      </c>
      <c r="Q59" s="1069"/>
      <c r="R59" s="707"/>
      <c r="S59" s="708"/>
    </row>
    <row r="60" spans="1:19" ht="22.25" customHeight="1" thickBot="1" x14ac:dyDescent="0.5">
      <c r="B60" s="1704" t="s">
        <v>48</v>
      </c>
      <c r="C60" s="1705"/>
      <c r="D60" s="1705"/>
      <c r="E60" s="1705"/>
      <c r="F60" s="1706"/>
      <c r="G60" s="923"/>
      <c r="H60" s="709"/>
      <c r="I60" s="709"/>
      <c r="J60" s="946"/>
      <c r="K60" s="947"/>
      <c r="L60" s="947"/>
      <c r="M60" s="948"/>
      <c r="N60" s="833">
        <f>N61</f>
        <v>0.16666666666666666</v>
      </c>
      <c r="O60" s="834">
        <f>O61</f>
        <v>0.59523799999999993</v>
      </c>
      <c r="P60" s="835">
        <f>O60/3.571428</f>
        <v>0.16666666666666666</v>
      </c>
      <c r="Q60" s="924"/>
      <c r="R60" s="688"/>
      <c r="S60" s="685"/>
    </row>
    <row r="61" spans="1:19" ht="39" customHeight="1" x14ac:dyDescent="0.45">
      <c r="A61" s="1669">
        <v>16</v>
      </c>
      <c r="B61" s="1687" t="s">
        <v>49</v>
      </c>
      <c r="C61" s="1691">
        <f>M5</f>
        <v>3.5714285714285716</v>
      </c>
      <c r="D61" s="926" t="s">
        <v>133</v>
      </c>
      <c r="E61" s="853">
        <f>$C$61/4</f>
        <v>0.8928571428571429</v>
      </c>
      <c r="F61" s="926" t="s">
        <v>50</v>
      </c>
      <c r="G61" s="905">
        <f>E61/1</f>
        <v>0.8928571428571429</v>
      </c>
      <c r="H61" s="373"/>
      <c r="I61" s="179"/>
      <c r="J61" s="1019">
        <f>IF(I61=H61,(H61-70),H61-I61)</f>
        <v>-70</v>
      </c>
      <c r="K61" s="909">
        <f>IF(I61&gt;=70,0,((70-I61)*(6/10)))</f>
        <v>42</v>
      </c>
      <c r="L61" s="1070">
        <f t="shared" ref="L61:L66" si="19">I61+K61</f>
        <v>42</v>
      </c>
      <c r="M61" s="859" t="str">
        <f>IF(H61=0,"0%",J61/K61)</f>
        <v>0%</v>
      </c>
      <c r="N61" s="1748">
        <f>(((G61/C61)*M61)+((G62/C61)*M62)+((G63/C61)*M63)+((G64/C61)*M64)+((G65/C61)*M65)+((G66/C61)*M66))</f>
        <v>0.16666666666666666</v>
      </c>
      <c r="O61" s="1751">
        <f>IF((((G61/C61)*M61)+((G62/C61)*M62)+((G63/C61)*M63)+((G64/C61)*M64)+((G65/C61)*M65)+((G66/C61)*M66))&gt;=1,3.571428,IF((((G61/C61)*M61)+((G62/C61)*M62)+((G63/C61)*M63)+((G64/C61)*M64)+((G65/C61)*M65)+((G66/C61)*M66))&lt;=0,0,((((G61/C61)*M61)+((G62/C61)*M62)+((G63/C61)*M63)+((G64/C61)*M64)+((G65/C61)*M65)+((G66/C61)*M66))*3.571428)))</f>
        <v>0.59523799999999993</v>
      </c>
      <c r="P61" s="1678">
        <f>O61/3.571428</f>
        <v>0.16666666666666666</v>
      </c>
      <c r="Q61" s="994" t="s">
        <v>181</v>
      </c>
      <c r="R61" s="210"/>
      <c r="S61" s="704" t="s">
        <v>463</v>
      </c>
    </row>
    <row r="62" spans="1:19" ht="58.25" customHeight="1" x14ac:dyDescent="0.45">
      <c r="A62" s="1669"/>
      <c r="B62" s="1688"/>
      <c r="C62" s="1692"/>
      <c r="D62" s="933" t="s">
        <v>134</v>
      </c>
      <c r="E62" s="934">
        <f t="shared" ref="E62:E63" si="20">$C$61/4</f>
        <v>0.8928571428571429</v>
      </c>
      <c r="F62" s="1058" t="s">
        <v>276</v>
      </c>
      <c r="G62" s="912">
        <f>$E$62/1</f>
        <v>0.8928571428571429</v>
      </c>
      <c r="H62" s="365"/>
      <c r="I62" s="366"/>
      <c r="J62" s="1071">
        <f>IF(I62=H62,(H62-70),H62-I62)</f>
        <v>-70</v>
      </c>
      <c r="K62" s="914">
        <f t="shared" ref="K62:K63" si="21">IF(I62&gt;=70,0,((70-I62)*(6/10)))</f>
        <v>42</v>
      </c>
      <c r="L62" s="1072">
        <f t="shared" si="19"/>
        <v>42</v>
      </c>
      <c r="M62" s="916" t="str">
        <f t="shared" ref="M62:M63" si="22">IF(H62=0,"0%",J62/K62)</f>
        <v>0%</v>
      </c>
      <c r="N62" s="1749"/>
      <c r="O62" s="1700"/>
      <c r="P62" s="1703"/>
      <c r="Q62" s="999" t="s">
        <v>182</v>
      </c>
      <c r="R62" s="207"/>
      <c r="S62" s="672" t="s">
        <v>463</v>
      </c>
    </row>
    <row r="63" spans="1:19" ht="26.45" customHeight="1" x14ac:dyDescent="0.45">
      <c r="A63" s="1669"/>
      <c r="B63" s="1688"/>
      <c r="C63" s="1692"/>
      <c r="D63" s="933" t="s">
        <v>135</v>
      </c>
      <c r="E63" s="934">
        <f t="shared" si="20"/>
        <v>0.8928571428571429</v>
      </c>
      <c r="F63" s="933" t="s">
        <v>51</v>
      </c>
      <c r="G63" s="912">
        <f>E63/1</f>
        <v>0.8928571428571429</v>
      </c>
      <c r="H63" s="365"/>
      <c r="I63" s="366"/>
      <c r="J63" s="1071">
        <f>IF(I63=H63,(H63-70),H63-I63)</f>
        <v>-70</v>
      </c>
      <c r="K63" s="914">
        <f t="shared" si="21"/>
        <v>42</v>
      </c>
      <c r="L63" s="1072">
        <f t="shared" si="19"/>
        <v>42</v>
      </c>
      <c r="M63" s="916" t="str">
        <f t="shared" si="22"/>
        <v>0%</v>
      </c>
      <c r="N63" s="1749"/>
      <c r="O63" s="1700"/>
      <c r="P63" s="1703"/>
      <c r="Q63" s="999" t="s">
        <v>95</v>
      </c>
      <c r="R63" s="207"/>
      <c r="S63" s="672" t="s">
        <v>463</v>
      </c>
    </row>
    <row r="64" spans="1:19" ht="15" customHeight="1" x14ac:dyDescent="0.45">
      <c r="A64" s="1669"/>
      <c r="B64" s="1688"/>
      <c r="C64" s="1692"/>
      <c r="D64" s="1721" t="s">
        <v>136</v>
      </c>
      <c r="E64" s="1723">
        <f>$C$61/4</f>
        <v>0.8928571428571429</v>
      </c>
      <c r="F64" s="1073" t="s">
        <v>52</v>
      </c>
      <c r="G64" s="1074">
        <f>$E$64/3</f>
        <v>0.29761904761904762</v>
      </c>
      <c r="H64" s="597">
        <v>100</v>
      </c>
      <c r="I64" s="598">
        <v>100</v>
      </c>
      <c r="J64" s="1075">
        <f t="shared" ref="J64:J66" si="23">H64-I64</f>
        <v>0</v>
      </c>
      <c r="K64" s="1076">
        <f>(100-I64)*(6/10)</f>
        <v>0</v>
      </c>
      <c r="L64" s="1072">
        <f t="shared" si="19"/>
        <v>100</v>
      </c>
      <c r="M64" s="916" t="str">
        <f t="shared" ref="M64:M66" si="24">IF(K64&lt;&gt;0,J64/K64,"100%")</f>
        <v>100%</v>
      </c>
      <c r="N64" s="1749"/>
      <c r="O64" s="1700"/>
      <c r="P64" s="1703"/>
      <c r="Q64" s="999" t="s">
        <v>95</v>
      </c>
      <c r="R64" s="671"/>
      <c r="S64" s="710" t="s">
        <v>567</v>
      </c>
    </row>
    <row r="65" spans="1:19" x14ac:dyDescent="0.45">
      <c r="A65" s="1669"/>
      <c r="B65" s="1688"/>
      <c r="C65" s="1692"/>
      <c r="D65" s="1721"/>
      <c r="E65" s="1723"/>
      <c r="F65" s="1073" t="s">
        <v>53</v>
      </c>
      <c r="G65" s="1074">
        <f t="shared" ref="G65:G66" si="25">$E$64/3</f>
        <v>0.29761904761904762</v>
      </c>
      <c r="H65" s="597">
        <v>100</v>
      </c>
      <c r="I65" s="598">
        <v>100</v>
      </c>
      <c r="J65" s="1075">
        <f t="shared" si="23"/>
        <v>0</v>
      </c>
      <c r="K65" s="1076">
        <f>(100-I65)*(6/10)</f>
        <v>0</v>
      </c>
      <c r="L65" s="1072">
        <f t="shared" si="19"/>
        <v>100</v>
      </c>
      <c r="M65" s="916" t="str">
        <f t="shared" si="24"/>
        <v>100%</v>
      </c>
      <c r="N65" s="1749"/>
      <c r="O65" s="1700"/>
      <c r="P65" s="1703"/>
      <c r="Q65" s="999" t="s">
        <v>95</v>
      </c>
      <c r="R65" s="207"/>
      <c r="S65" s="710" t="s">
        <v>567</v>
      </c>
    </row>
    <row r="66" spans="1:19" ht="27.6" customHeight="1" thickBot="1" x14ac:dyDescent="0.5">
      <c r="A66" s="1669"/>
      <c r="B66" s="1739"/>
      <c r="C66" s="1729"/>
      <c r="D66" s="1728"/>
      <c r="E66" s="1752"/>
      <c r="F66" s="1077" t="s">
        <v>54</v>
      </c>
      <c r="G66" s="1078">
        <f t="shared" si="25"/>
        <v>0.29761904761904762</v>
      </c>
      <c r="H66" s="369"/>
      <c r="I66" s="370"/>
      <c r="J66" s="1079">
        <f t="shared" si="23"/>
        <v>0</v>
      </c>
      <c r="K66" s="1080">
        <f>(100-I66)*(6/10)</f>
        <v>60</v>
      </c>
      <c r="L66" s="1081">
        <f t="shared" si="19"/>
        <v>60</v>
      </c>
      <c r="M66" s="874">
        <f t="shared" si="24"/>
        <v>0</v>
      </c>
      <c r="N66" s="1750"/>
      <c r="O66" s="1701"/>
      <c r="P66" s="1679"/>
      <c r="Q66" s="1082" t="s">
        <v>95</v>
      </c>
      <c r="R66" s="211"/>
      <c r="S66" s="230" t="s">
        <v>568</v>
      </c>
    </row>
    <row r="67" spans="1:19" ht="27" customHeight="1" thickBot="1" x14ac:dyDescent="0.5">
      <c r="B67" s="1684" t="s">
        <v>55</v>
      </c>
      <c r="C67" s="1685"/>
      <c r="D67" s="1685"/>
      <c r="E67" s="1685"/>
      <c r="F67" s="1686"/>
      <c r="G67" s="1015"/>
      <c r="H67" s="711"/>
      <c r="I67" s="711"/>
      <c r="J67" s="1015"/>
      <c r="K67" s="1016"/>
      <c r="L67" s="1016"/>
      <c r="M67" s="1094"/>
      <c r="N67" s="833">
        <f>N68</f>
        <v>0</v>
      </c>
      <c r="O67" s="834">
        <f>O68</f>
        <v>0</v>
      </c>
      <c r="P67" s="835">
        <f>O67/3.571428</f>
        <v>0</v>
      </c>
      <c r="Q67" s="1083"/>
      <c r="R67" s="712"/>
      <c r="S67" s="1360"/>
    </row>
    <row r="68" spans="1:19" ht="58.5" thickBot="1" x14ac:dyDescent="0.5">
      <c r="A68" s="16">
        <v>17</v>
      </c>
      <c r="B68" s="1084" t="s">
        <v>56</v>
      </c>
      <c r="C68" s="1085">
        <f>M5</f>
        <v>3.5714285714285716</v>
      </c>
      <c r="D68" s="1084" t="s">
        <v>137</v>
      </c>
      <c r="E68" s="1085">
        <f>C68</f>
        <v>3.5714285714285716</v>
      </c>
      <c r="F68" s="1084" t="s">
        <v>57</v>
      </c>
      <c r="G68" s="1086">
        <f>E68/1</f>
        <v>3.5714285714285716</v>
      </c>
      <c r="H68" s="678"/>
      <c r="I68" s="680"/>
      <c r="J68" s="1089">
        <f>IF(I68=H68,(H68-70),I68-H68)</f>
        <v>-70</v>
      </c>
      <c r="K68" s="982">
        <f t="shared" ref="K68" si="26">IF(I68&gt;=70,0,((70-I68)*(6/10)))</f>
        <v>42</v>
      </c>
      <c r="L68" s="1090">
        <f>I68-K68</f>
        <v>-42</v>
      </c>
      <c r="M68" s="859" t="str">
        <f>IF(H68=0,"0%",J68/K68)</f>
        <v>0%</v>
      </c>
      <c r="N68" s="1091">
        <f>((G68/C68)*M68)</f>
        <v>0</v>
      </c>
      <c r="O68" s="970">
        <f>IF(((G68/C68)*M68)&gt;=1,3.571428,IF(((G68/C68)*M68)&lt;=0,0,((G68/C68)*M68)*3.571428))</f>
        <v>0</v>
      </c>
      <c r="P68" s="835">
        <f>O68/3.571428</f>
        <v>0</v>
      </c>
      <c r="Q68" s="1092" t="s">
        <v>132</v>
      </c>
      <c r="R68" s="214"/>
      <c r="S68" s="672" t="s">
        <v>463</v>
      </c>
    </row>
    <row r="69" spans="1:19" ht="22.25" customHeight="1" thickBot="1" x14ac:dyDescent="0.5">
      <c r="B69" s="1575" t="s">
        <v>58</v>
      </c>
      <c r="C69" s="1576"/>
      <c r="D69" s="1576"/>
      <c r="E69" s="1576"/>
      <c r="F69" s="1577"/>
      <c r="G69" s="173"/>
      <c r="H69" s="713"/>
      <c r="I69" s="714"/>
      <c r="J69" s="174"/>
      <c r="K69" s="79"/>
      <c r="L69" s="79"/>
      <c r="M69" s="1093"/>
      <c r="N69" s="833">
        <f>(N70+N72+N74)/3</f>
        <v>0.33333333333333331</v>
      </c>
      <c r="O69" s="834">
        <f>(O70+O72+O74)</f>
        <v>3.571428</v>
      </c>
      <c r="P69" s="835">
        <f>O69/10.714284</f>
        <v>0.33333333333333337</v>
      </c>
      <c r="Q69" s="808"/>
      <c r="R69" s="715"/>
      <c r="S69" s="716"/>
    </row>
    <row r="70" spans="1:19" ht="20.45" customHeight="1" thickBot="1" x14ac:dyDescent="0.5">
      <c r="B70" s="1704" t="s">
        <v>59</v>
      </c>
      <c r="C70" s="1705"/>
      <c r="D70" s="1705"/>
      <c r="E70" s="1705"/>
      <c r="F70" s="1706"/>
      <c r="G70" s="923"/>
      <c r="H70" s="717"/>
      <c r="I70" s="718"/>
      <c r="J70" s="924"/>
      <c r="K70" s="924"/>
      <c r="L70" s="924"/>
      <c r="M70" s="1094"/>
      <c r="N70" s="833">
        <f>N71</f>
        <v>0</v>
      </c>
      <c r="O70" s="834">
        <f>O71</f>
        <v>0</v>
      </c>
      <c r="P70" s="835">
        <f t="shared" ref="P70:P78" si="27">O70/3.571428</f>
        <v>0</v>
      </c>
      <c r="Q70" s="1053"/>
      <c r="R70" s="212"/>
      <c r="S70" s="1361"/>
    </row>
    <row r="71" spans="1:19" ht="52.25" customHeight="1" thickBot="1" x14ac:dyDescent="0.5">
      <c r="A71" s="16">
        <v>18</v>
      </c>
      <c r="B71" s="1095" t="s">
        <v>60</v>
      </c>
      <c r="C71" s="1096">
        <f>M5</f>
        <v>3.5714285714285716</v>
      </c>
      <c r="D71" s="1097" t="s">
        <v>138</v>
      </c>
      <c r="E71" s="1098">
        <f>C71</f>
        <v>3.5714285714285716</v>
      </c>
      <c r="F71" s="1099" t="s">
        <v>61</v>
      </c>
      <c r="G71" s="1100">
        <f>E71/1</f>
        <v>3.5714285714285716</v>
      </c>
      <c r="H71" s="678"/>
      <c r="I71" s="680"/>
      <c r="J71" s="1101">
        <f>I71-H71</f>
        <v>0</v>
      </c>
      <c r="K71" s="979">
        <f>(0.5*I71)*0.6</f>
        <v>0</v>
      </c>
      <c r="L71" s="1090">
        <f>I71-K71</f>
        <v>0</v>
      </c>
      <c r="M71" s="859" t="str">
        <f>IF(H71=0,"0%",J71/K71)</f>
        <v>0%</v>
      </c>
      <c r="N71" s="1091">
        <f>((G71/C71)*M71)</f>
        <v>0</v>
      </c>
      <c r="O71" s="970">
        <f>IF(((G71/C71)*M71)&gt;=1,3.571428,IF(((G71/C71)*M71)&lt;=0,0,((G71/C71)*M71)*3.571428))</f>
        <v>0</v>
      </c>
      <c r="P71" s="835">
        <f t="shared" si="27"/>
        <v>0</v>
      </c>
      <c r="Q71" s="1102" t="s">
        <v>183</v>
      </c>
      <c r="R71" s="214"/>
      <c r="S71" s="672" t="s">
        <v>463</v>
      </c>
    </row>
    <row r="72" spans="1:19" ht="20.45" customHeight="1" thickBot="1" x14ac:dyDescent="0.5">
      <c r="B72" s="1730" t="s">
        <v>277</v>
      </c>
      <c r="C72" s="1731"/>
      <c r="D72" s="1731"/>
      <c r="E72" s="1731"/>
      <c r="F72" s="1733"/>
      <c r="G72" s="985"/>
      <c r="H72" s="719"/>
      <c r="I72" s="683"/>
      <c r="J72" s="986"/>
      <c r="K72" s="987"/>
      <c r="L72" s="987"/>
      <c r="M72" s="988"/>
      <c r="N72" s="833">
        <f>N73</f>
        <v>0</v>
      </c>
      <c r="O72" s="834">
        <f>O73</f>
        <v>0</v>
      </c>
      <c r="P72" s="835">
        <f t="shared" si="27"/>
        <v>0</v>
      </c>
      <c r="Q72" s="1103"/>
      <c r="R72" s="212"/>
      <c r="S72" s="1361"/>
    </row>
    <row r="73" spans="1:19" ht="45" customHeight="1" thickBot="1" x14ac:dyDescent="0.5">
      <c r="A73" s="16">
        <v>19</v>
      </c>
      <c r="B73" s="1104" t="s">
        <v>62</v>
      </c>
      <c r="C73" s="1105">
        <f>M5</f>
        <v>3.5714285714285716</v>
      </c>
      <c r="D73" s="1106" t="s">
        <v>139</v>
      </c>
      <c r="E73" s="1105">
        <f>C73</f>
        <v>3.5714285714285716</v>
      </c>
      <c r="F73" s="1107" t="s">
        <v>63</v>
      </c>
      <c r="G73" s="1108">
        <f>E73/1</f>
        <v>3.5714285714285716</v>
      </c>
      <c r="H73" s="678"/>
      <c r="I73" s="720"/>
      <c r="J73" s="1109">
        <f>I73-H73</f>
        <v>0</v>
      </c>
      <c r="K73" s="1110">
        <f>IF(H73&gt;0,(H73),I73)</f>
        <v>0</v>
      </c>
      <c r="L73" s="1111">
        <f>I73-K73</f>
        <v>0</v>
      </c>
      <c r="M73" s="859" t="str">
        <f>IF(H73=0,"0%",J73/K73)</f>
        <v>0%</v>
      </c>
      <c r="N73" s="1091">
        <f>((G73/C73)*M73)</f>
        <v>0</v>
      </c>
      <c r="O73" s="970">
        <f>IF(((G73/C73)*M73)&gt;=1,3.571428,IF(((G73/C73)*M73)&lt;=0,0,((G73/C73)*M73)*3.571428))</f>
        <v>0</v>
      </c>
      <c r="P73" s="835">
        <f t="shared" si="27"/>
        <v>0</v>
      </c>
      <c r="Q73" s="1112" t="s">
        <v>95</v>
      </c>
      <c r="R73" s="214"/>
      <c r="S73" s="672" t="s">
        <v>463</v>
      </c>
    </row>
    <row r="74" spans="1:19" ht="30.6" customHeight="1" thickBot="1" x14ac:dyDescent="0.5">
      <c r="B74" s="1704" t="s">
        <v>64</v>
      </c>
      <c r="C74" s="1705"/>
      <c r="D74" s="1705"/>
      <c r="E74" s="1705"/>
      <c r="F74" s="1706"/>
      <c r="G74" s="924"/>
      <c r="H74" s="717"/>
      <c r="I74" s="718"/>
      <c r="J74" s="924"/>
      <c r="K74" s="924"/>
      <c r="L74" s="924"/>
      <c r="M74" s="923"/>
      <c r="N74" s="833">
        <f>N75</f>
        <v>1</v>
      </c>
      <c r="O74" s="834">
        <f>O75</f>
        <v>3.571428</v>
      </c>
      <c r="P74" s="835">
        <f t="shared" si="27"/>
        <v>1</v>
      </c>
      <c r="Q74" s="1053"/>
      <c r="R74" s="212"/>
      <c r="S74" s="696"/>
    </row>
    <row r="75" spans="1:19" ht="29.45" customHeight="1" thickBot="1" x14ac:dyDescent="0.5">
      <c r="A75" s="16">
        <v>20</v>
      </c>
      <c r="B75" s="1104" t="s">
        <v>65</v>
      </c>
      <c r="C75" s="964">
        <f>M5</f>
        <v>3.5714285714285716</v>
      </c>
      <c r="D75" s="1097" t="s">
        <v>140</v>
      </c>
      <c r="E75" s="1113">
        <f>C75</f>
        <v>3.5714285714285716</v>
      </c>
      <c r="F75" s="1106" t="s">
        <v>66</v>
      </c>
      <c r="G75" s="1100">
        <f>E75/1</f>
        <v>3.5714285714285716</v>
      </c>
      <c r="H75" s="1362">
        <v>1</v>
      </c>
      <c r="I75" s="1207">
        <v>1</v>
      </c>
      <c r="J75" s="1049">
        <f>H75-I75</f>
        <v>0</v>
      </c>
      <c r="K75" s="1050">
        <f>IF(AND(H75=0,I75=1)," 1",(H75-I75))</f>
        <v>0</v>
      </c>
      <c r="L75" s="1115">
        <f>I75+K75</f>
        <v>1</v>
      </c>
      <c r="M75" s="1116">
        <f>(IF(I75=1,1,(J75/K75)))</f>
        <v>1</v>
      </c>
      <c r="N75" s="1091">
        <f>((G75/C75)*M75)</f>
        <v>1</v>
      </c>
      <c r="O75" s="970">
        <f>IF(((G75/C75)*M75)&gt;=1,3.571428,IF(((G75/C75)*M75)&lt;=0,0,((G75/C75)*M75)*3.571428))</f>
        <v>3.571428</v>
      </c>
      <c r="P75" s="835">
        <f t="shared" si="27"/>
        <v>1</v>
      </c>
      <c r="Q75" s="1117" t="s">
        <v>95</v>
      </c>
      <c r="R75" s="721"/>
      <c r="S75" s="93"/>
    </row>
    <row r="76" spans="1:19" ht="20.45" customHeight="1" thickBot="1" x14ac:dyDescent="0.5">
      <c r="B76" s="1763" t="s">
        <v>67</v>
      </c>
      <c r="C76" s="1764"/>
      <c r="D76" s="1764"/>
      <c r="E76" s="1764"/>
      <c r="F76" s="1765"/>
      <c r="G76" s="1118"/>
      <c r="H76" s="722"/>
      <c r="I76" s="723"/>
      <c r="J76" s="1119"/>
      <c r="K76" s="807"/>
      <c r="L76" s="807"/>
      <c r="M76" s="1118"/>
      <c r="N76" s="833">
        <f t="shared" ref="N76:O77" si="28">N77</f>
        <v>0</v>
      </c>
      <c r="O76" s="834">
        <f t="shared" si="28"/>
        <v>0</v>
      </c>
      <c r="P76" s="835">
        <f t="shared" si="27"/>
        <v>0</v>
      </c>
      <c r="Q76" s="1120"/>
      <c r="R76" s="214"/>
      <c r="S76" s="724"/>
    </row>
    <row r="77" spans="1:19" ht="20.45" customHeight="1" thickBot="1" x14ac:dyDescent="0.5">
      <c r="B77" s="1704" t="s">
        <v>68</v>
      </c>
      <c r="C77" s="1705"/>
      <c r="D77" s="1705"/>
      <c r="E77" s="1705"/>
      <c r="F77" s="1706"/>
      <c r="G77" s="923"/>
      <c r="H77" s="717"/>
      <c r="I77" s="718"/>
      <c r="J77" s="946"/>
      <c r="K77" s="947"/>
      <c r="L77" s="947"/>
      <c r="M77" s="925"/>
      <c r="N77" s="833">
        <f t="shared" si="28"/>
        <v>0</v>
      </c>
      <c r="O77" s="834">
        <f t="shared" si="28"/>
        <v>0</v>
      </c>
      <c r="P77" s="835">
        <f t="shared" si="27"/>
        <v>0</v>
      </c>
      <c r="Q77" s="1053"/>
      <c r="R77" s="212"/>
      <c r="S77" s="696"/>
    </row>
    <row r="78" spans="1:19" ht="35.25" thickBot="1" x14ac:dyDescent="0.5">
      <c r="A78" s="16">
        <v>21</v>
      </c>
      <c r="B78" s="1104" t="s">
        <v>69</v>
      </c>
      <c r="C78" s="1113">
        <f>M5</f>
        <v>3.5714285714285716</v>
      </c>
      <c r="D78" s="1121" t="s">
        <v>141</v>
      </c>
      <c r="E78" s="1113">
        <f>C78</f>
        <v>3.5714285714285716</v>
      </c>
      <c r="F78" s="1121" t="s">
        <v>70</v>
      </c>
      <c r="G78" s="1085">
        <f>E78/1</f>
        <v>3.5714285714285716</v>
      </c>
      <c r="H78" s="678"/>
      <c r="I78" s="680"/>
      <c r="J78" s="1089">
        <f>IF(I78=H78,(H78-60),H78-I78)</f>
        <v>-60</v>
      </c>
      <c r="K78" s="982">
        <f>IF(I78&gt;=60,0,((60-I78)*(6/10)))</f>
        <v>36</v>
      </c>
      <c r="L78" s="1090">
        <f t="shared" ref="L78" si="29">K78+I78</f>
        <v>36</v>
      </c>
      <c r="M78" s="968">
        <f>IF(I78&gt;=60,(1+(H78-60)/60),(H78/L78))</f>
        <v>0</v>
      </c>
      <c r="N78" s="1091">
        <f>((G78/C78)*M78)</f>
        <v>0</v>
      </c>
      <c r="O78" s="970">
        <f>IF(((G78/C78)*M78)&gt;=1,3.571428,IF(((G78/C78)*M78)&lt;=0,0,((G78/C78)*M78)*3.571428))</f>
        <v>0</v>
      </c>
      <c r="P78" s="835">
        <f t="shared" si="27"/>
        <v>0</v>
      </c>
      <c r="Q78" s="1122" t="s">
        <v>95</v>
      </c>
      <c r="R78" s="214"/>
      <c r="S78" s="672" t="s">
        <v>463</v>
      </c>
    </row>
    <row r="79" spans="1:19" ht="21.6" customHeight="1" thickBot="1" x14ac:dyDescent="0.5">
      <c r="B79" s="1757" t="s">
        <v>71</v>
      </c>
      <c r="C79" s="1758"/>
      <c r="D79" s="1758"/>
      <c r="E79" s="1758"/>
      <c r="F79" s="1759"/>
      <c r="G79" s="1118"/>
      <c r="H79" s="722"/>
      <c r="I79" s="723"/>
      <c r="J79" s="1123"/>
      <c r="K79" s="1124"/>
      <c r="L79" s="1124"/>
      <c r="M79" s="1118"/>
      <c r="N79" s="833">
        <f>(N80+N86)/2</f>
        <v>0.10416666666666666</v>
      </c>
      <c r="O79" s="834">
        <f>(O80+O86)</f>
        <v>0.74404749999999997</v>
      </c>
      <c r="P79" s="835">
        <f>O79/10.714284</f>
        <v>6.9444444444444448E-2</v>
      </c>
      <c r="Q79" s="1120"/>
      <c r="R79" s="214"/>
      <c r="S79" s="724"/>
    </row>
    <row r="80" spans="1:19" ht="20.45" customHeight="1" thickBot="1" x14ac:dyDescent="0.5">
      <c r="B80" s="1684" t="s">
        <v>72</v>
      </c>
      <c r="C80" s="1685"/>
      <c r="D80" s="1685"/>
      <c r="E80" s="1685"/>
      <c r="F80" s="1686"/>
      <c r="G80" s="948"/>
      <c r="H80" s="725"/>
      <c r="I80" s="726"/>
      <c r="J80" s="924"/>
      <c r="K80" s="924"/>
      <c r="L80" s="924"/>
      <c r="M80" s="948"/>
      <c r="N80" s="833">
        <f>(N81+N83)/2</f>
        <v>0</v>
      </c>
      <c r="O80" s="834">
        <f>(O81+O83)</f>
        <v>0</v>
      </c>
      <c r="P80" s="835">
        <f>O80/7.142856</f>
        <v>0</v>
      </c>
      <c r="Q80" s="1125"/>
      <c r="R80" s="688"/>
      <c r="S80" s="685"/>
    </row>
    <row r="81" spans="1:19" ht="46.5" x14ac:dyDescent="0.45">
      <c r="A81" s="16"/>
      <c r="B81" s="1760" t="s">
        <v>73</v>
      </c>
      <c r="C81" s="1691">
        <f>M5</f>
        <v>3.5714285714285716</v>
      </c>
      <c r="D81" s="926" t="s">
        <v>267</v>
      </c>
      <c r="E81" s="853">
        <f>$C$81/2</f>
        <v>1.7857142857142858</v>
      </c>
      <c r="F81" s="1054" t="s">
        <v>278</v>
      </c>
      <c r="G81" s="905">
        <f>E81/1</f>
        <v>1.7857142857142858</v>
      </c>
      <c r="H81" s="373"/>
      <c r="I81" s="179"/>
      <c r="J81" s="1019">
        <f>IF(I81=H81,(H81-50),H81-I81)</f>
        <v>-50</v>
      </c>
      <c r="K81" s="909">
        <f>IF(I81&gt;=50,0,((50-I81)*(6/10)))</f>
        <v>30</v>
      </c>
      <c r="L81" s="1126">
        <f>I81+K81</f>
        <v>30</v>
      </c>
      <c r="M81" s="859" t="str">
        <f>IF(H81=0,"0%",J81/K81)</f>
        <v>0%</v>
      </c>
      <c r="N81" s="1748">
        <f>(((G81/C81)*M81)+((G82/C81)*M82))</f>
        <v>0</v>
      </c>
      <c r="O81" s="1676">
        <f>IF((((G81/C81)*M81)+((G82/C81)*M82))&gt;=1,3.57148,IF((((G81/C81)*M81)+((G82/C81)*M82))&lt;=0,0, (((G81/C81)*M81)+((G82/C81)*M82))*3.571428))</f>
        <v>0</v>
      </c>
      <c r="P81" s="1678">
        <f>O81/3.571428</f>
        <v>0</v>
      </c>
      <c r="Q81" s="1310" t="s">
        <v>279</v>
      </c>
      <c r="R81" s="686"/>
      <c r="S81" s="704" t="s">
        <v>463</v>
      </c>
    </row>
    <row r="82" spans="1:19" ht="39.6" customHeight="1" thickBot="1" x14ac:dyDescent="0.5">
      <c r="A82" s="16"/>
      <c r="B82" s="1761"/>
      <c r="C82" s="1762"/>
      <c r="D82" s="953" t="s">
        <v>268</v>
      </c>
      <c r="E82" s="868">
        <f>$C$81/2</f>
        <v>1.7857142857142858</v>
      </c>
      <c r="F82" s="954" t="s">
        <v>74</v>
      </c>
      <c r="G82" s="919">
        <f>E82/1</f>
        <v>1.7857142857142858</v>
      </c>
      <c r="H82" s="369"/>
      <c r="I82" s="370"/>
      <c r="J82" s="1128">
        <f>IF(I82=H82,(H82-30),H82-I82)</f>
        <v>-30</v>
      </c>
      <c r="K82" s="921">
        <f>IF(I82&gt;=30,0,((30-I82)*(6/10)))</f>
        <v>18</v>
      </c>
      <c r="L82" s="1129">
        <f t="shared" ref="L82" si="30">K82+I82</f>
        <v>18</v>
      </c>
      <c r="M82" s="898">
        <f>IF(I82&gt;=30,(1+(H82-30)/30),(H82/L82))</f>
        <v>0</v>
      </c>
      <c r="N82" s="1750"/>
      <c r="O82" s="1677"/>
      <c r="P82" s="1679"/>
      <c r="Q82" s="1315" t="s">
        <v>282</v>
      </c>
      <c r="R82" s="673"/>
      <c r="S82" s="705" t="s">
        <v>463</v>
      </c>
    </row>
    <row r="83" spans="1:19" ht="60" customHeight="1" x14ac:dyDescent="0.45">
      <c r="A83" s="16"/>
      <c r="B83" s="1774" t="s">
        <v>142</v>
      </c>
      <c r="C83" s="1776">
        <f>M5</f>
        <v>3.5714285714285716</v>
      </c>
      <c r="D83" s="1131" t="s">
        <v>145</v>
      </c>
      <c r="E83" s="853">
        <f>$C$81/3</f>
        <v>1.1904761904761905</v>
      </c>
      <c r="F83" s="926" t="s">
        <v>143</v>
      </c>
      <c r="G83" s="853">
        <f>E83/1</f>
        <v>1.1904761904761905</v>
      </c>
      <c r="H83" s="373"/>
      <c r="I83" s="179"/>
      <c r="J83" s="1132">
        <f>I83-H83</f>
        <v>0</v>
      </c>
      <c r="K83" s="1008">
        <f>(0.2*I83)*(6/10)</f>
        <v>0</v>
      </c>
      <c r="L83" s="1133">
        <f>I83-K83</f>
        <v>0</v>
      </c>
      <c r="M83" s="859" t="str">
        <f>IF(K83&lt;&gt;0,J83/K83,"0%")</f>
        <v>0%</v>
      </c>
      <c r="N83" s="1779">
        <f>(((G83/C83)*M83)+((G84/C83)*M84)+((G85/C83)*M85))</f>
        <v>0</v>
      </c>
      <c r="O83" s="1702">
        <f>IF((((G83/C83)*M83)+((G84/C83)*M84)+((G85/C83)*M85))&gt;=1,3.571428,IF((((G83/C83)*M83)+((G84/C83)*M84)+((G85/C83)*M85))&lt;=0,0,(((G83/C83)*M83)+((G84/C83)*M84)+((G85/C83)*M85))*3.571428))</f>
        <v>0</v>
      </c>
      <c r="P83" s="1678">
        <f>O83/3.571428</f>
        <v>0</v>
      </c>
      <c r="Q83" s="1134" t="s">
        <v>184</v>
      </c>
      <c r="R83" s="498"/>
      <c r="S83" s="727" t="s">
        <v>463</v>
      </c>
    </row>
    <row r="84" spans="1:19" ht="45" customHeight="1" x14ac:dyDescent="0.45">
      <c r="A84" s="16"/>
      <c r="B84" s="1774"/>
      <c r="C84" s="1777"/>
      <c r="D84" s="1135" t="s">
        <v>146</v>
      </c>
      <c r="E84" s="934">
        <f t="shared" ref="E84:E85" si="31">$C$81/3</f>
        <v>1.1904761904761905</v>
      </c>
      <c r="F84" s="1058" t="s">
        <v>283</v>
      </c>
      <c r="G84" s="934">
        <f>E84/1</f>
        <v>1.1904761904761905</v>
      </c>
      <c r="H84" s="367"/>
      <c r="I84" s="368"/>
      <c r="J84" s="1136">
        <f>I84-H84</f>
        <v>0</v>
      </c>
      <c r="K84" s="1008">
        <f>(0.5*I84)*(6/10)</f>
        <v>0</v>
      </c>
      <c r="L84" s="1137">
        <f>I84-K84</f>
        <v>0</v>
      </c>
      <c r="M84" s="916" t="str">
        <f>IF(H84=0,"0%",J84/K84)</f>
        <v>0%</v>
      </c>
      <c r="N84" s="1780"/>
      <c r="O84" s="1700"/>
      <c r="P84" s="1703"/>
      <c r="Q84" s="1138" t="s">
        <v>185</v>
      </c>
      <c r="R84" s="651"/>
      <c r="S84" s="672" t="s">
        <v>463</v>
      </c>
    </row>
    <row r="85" spans="1:19" ht="38.450000000000003" customHeight="1" thickBot="1" x14ac:dyDescent="0.5">
      <c r="A85" s="16"/>
      <c r="B85" s="1775"/>
      <c r="C85" s="1778"/>
      <c r="D85" s="1139" t="s">
        <v>147</v>
      </c>
      <c r="E85" s="868">
        <f t="shared" si="31"/>
        <v>1.1904761904761905</v>
      </c>
      <c r="F85" s="954" t="s">
        <v>144</v>
      </c>
      <c r="G85" s="868">
        <f>E85/1</f>
        <v>1.1904761904761905</v>
      </c>
      <c r="H85" s="369"/>
      <c r="I85" s="370"/>
      <c r="J85" s="1140">
        <f>H85-I85</f>
        <v>0</v>
      </c>
      <c r="K85" s="1141">
        <f>(100-I85)*(6/10)</f>
        <v>60</v>
      </c>
      <c r="L85" s="1142">
        <f>I85+K85</f>
        <v>60</v>
      </c>
      <c r="M85" s="874">
        <f>IF(H85&gt;=100,167%, IF(K85&lt;&gt;0,J85/K85,"0%"))</f>
        <v>0</v>
      </c>
      <c r="N85" s="1781"/>
      <c r="O85" s="1701"/>
      <c r="P85" s="1679"/>
      <c r="Q85" s="1143" t="s">
        <v>284</v>
      </c>
      <c r="R85" s="728"/>
      <c r="S85" s="705" t="s">
        <v>463</v>
      </c>
    </row>
    <row r="86" spans="1:19" ht="20.45" customHeight="1" thickBot="1" x14ac:dyDescent="0.5">
      <c r="B86" s="1766" t="s">
        <v>75</v>
      </c>
      <c r="C86" s="1767"/>
      <c r="D86" s="1767"/>
      <c r="E86" s="1767"/>
      <c r="F86" s="1768"/>
      <c r="G86" s="1094"/>
      <c r="H86" s="729"/>
      <c r="I86" s="730"/>
      <c r="J86" s="1144"/>
      <c r="K86" s="1145"/>
      <c r="L86" s="1145"/>
      <c r="M86" s="925"/>
      <c r="N86" s="833">
        <f>N87</f>
        <v>0.20833333333333331</v>
      </c>
      <c r="O86" s="834">
        <f>O87</f>
        <v>0.74404749999999997</v>
      </c>
      <c r="P86" s="835">
        <f>O86/3.571428</f>
        <v>0.20833333333333331</v>
      </c>
      <c r="Q86" s="1016"/>
      <c r="R86" s="212"/>
      <c r="S86" s="666"/>
    </row>
    <row r="87" spans="1:19" ht="27.6" customHeight="1" x14ac:dyDescent="0.45">
      <c r="A87" s="1710">
        <v>24</v>
      </c>
      <c r="B87" s="1769" t="s">
        <v>76</v>
      </c>
      <c r="C87" s="1771">
        <f>M5</f>
        <v>3.5714285714285716</v>
      </c>
      <c r="D87" s="1004" t="s">
        <v>159</v>
      </c>
      <c r="E87" s="1005">
        <f>($C$87/3)</f>
        <v>1.1904761904761905</v>
      </c>
      <c r="F87" s="1146" t="s">
        <v>285</v>
      </c>
      <c r="G87" s="1147">
        <f>E87/1</f>
        <v>1.1904761904761905</v>
      </c>
      <c r="H87" s="364"/>
      <c r="I87" s="731"/>
      <c r="J87" s="1150">
        <f>I87-H87</f>
        <v>0</v>
      </c>
      <c r="K87" s="1151">
        <f>(0.25*I87)*(6/10)</f>
        <v>0</v>
      </c>
      <c r="L87" s="1152">
        <f>I87-K87</f>
        <v>0</v>
      </c>
      <c r="M87" s="859" t="str">
        <f>IF(K87&lt;&gt;0,J87/K87,"0%")</f>
        <v>0%</v>
      </c>
      <c r="N87" s="1716">
        <f>(((G87/C87)*M87)+((G88/C87)*M88)+((G89/C87)*M89)+((G90/C87)*M90)+((G91/C87)*M91))</f>
        <v>0.20833333333333331</v>
      </c>
      <c r="O87" s="1702">
        <f>IF((((G87/C87)*M87)+((G88/C87)*M88)+((G89/C87)*M89)+((G90/C87)*M90)+((G91/C87)*M91))&gt;=1,3.571428,IF((((G87/C87)*M87)+((G88/C87)*M88)+((G89/C87)*M89)+((G90/C87)*M90)+((G91/C87)*M91))&lt;=0,0,((((G87/C87)*M87)+((G88/C87)*M88)+((G89/C87)*M89)+((G90/C87)*M90)+((G91/C87)*M91))*3.571428)))</f>
        <v>0.74404749999999997</v>
      </c>
      <c r="P87" s="1678">
        <f>O87/3.571428</f>
        <v>0.20833333333333331</v>
      </c>
      <c r="Q87" s="1153" t="s">
        <v>186</v>
      </c>
      <c r="R87" s="219"/>
      <c r="S87" s="704" t="s">
        <v>463</v>
      </c>
    </row>
    <row r="88" spans="1:19" ht="25.8" customHeight="1" x14ac:dyDescent="0.45">
      <c r="A88" s="1710"/>
      <c r="B88" s="1769"/>
      <c r="C88" s="1772"/>
      <c r="D88" s="1782" t="s">
        <v>160</v>
      </c>
      <c r="E88" s="1783">
        <f>C87/3</f>
        <v>1.1904761904761905</v>
      </c>
      <c r="F88" s="935" t="s">
        <v>77</v>
      </c>
      <c r="G88" s="1154">
        <f>$E$88/3</f>
        <v>0.3968253968253968</v>
      </c>
      <c r="H88" s="365"/>
      <c r="I88" s="366"/>
      <c r="J88" s="1155">
        <f>I88-H88</f>
        <v>0</v>
      </c>
      <c r="K88" s="1156">
        <f>I88*(6/10)</f>
        <v>0</v>
      </c>
      <c r="L88" s="1157">
        <f>I88-K88</f>
        <v>0</v>
      </c>
      <c r="M88" s="916" t="str">
        <f>IF(K88&lt;&gt;0,J88/K88,"0%")</f>
        <v>0%</v>
      </c>
      <c r="N88" s="1697"/>
      <c r="O88" s="1700"/>
      <c r="P88" s="1703"/>
      <c r="Q88" s="1158" t="s">
        <v>187</v>
      </c>
      <c r="R88" s="732"/>
      <c r="S88" s="672" t="s">
        <v>463</v>
      </c>
    </row>
    <row r="89" spans="1:19" ht="59.65" customHeight="1" x14ac:dyDescent="0.45">
      <c r="A89" s="1710"/>
      <c r="B89" s="1769"/>
      <c r="C89" s="1772"/>
      <c r="D89" s="1782"/>
      <c r="E89" s="1783"/>
      <c r="F89" s="935" t="s">
        <v>78</v>
      </c>
      <c r="G89" s="1154">
        <f>$E$88/3</f>
        <v>0.3968253968253968</v>
      </c>
      <c r="H89" s="365"/>
      <c r="I89" s="366"/>
      <c r="J89" s="1155">
        <f>I89-H89</f>
        <v>0</v>
      </c>
      <c r="K89" s="1156">
        <f>I89*(6/10)</f>
        <v>0</v>
      </c>
      <c r="L89" s="1157">
        <f>I89-K89</f>
        <v>0</v>
      </c>
      <c r="M89" s="916" t="str">
        <f>IF(K89&lt;&gt;0,J89/K89,"0%")</f>
        <v>0%</v>
      </c>
      <c r="N89" s="1697"/>
      <c r="O89" s="1700"/>
      <c r="P89" s="1703"/>
      <c r="Q89" s="1158" t="s">
        <v>188</v>
      </c>
      <c r="R89" s="732"/>
      <c r="S89" s="672" t="s">
        <v>463</v>
      </c>
    </row>
    <row r="90" spans="1:19" ht="26.45" customHeight="1" x14ac:dyDescent="0.45">
      <c r="A90" s="1710"/>
      <c r="B90" s="1769"/>
      <c r="C90" s="1772"/>
      <c r="D90" s="1782"/>
      <c r="E90" s="1783"/>
      <c r="F90" s="935" t="s">
        <v>79</v>
      </c>
      <c r="G90" s="1154">
        <f>$E$88/3</f>
        <v>0.3968253968253968</v>
      </c>
      <c r="H90" s="367"/>
      <c r="I90" s="368"/>
      <c r="J90" s="1155">
        <f>I90-H90</f>
        <v>0</v>
      </c>
      <c r="K90" s="1159">
        <f>(I90)*(6/10)</f>
        <v>0</v>
      </c>
      <c r="L90" s="1160">
        <f>I90-K90</f>
        <v>0</v>
      </c>
      <c r="M90" s="916" t="str">
        <f>IF(H90=0,"0%",J90/K90)</f>
        <v>0%</v>
      </c>
      <c r="N90" s="1697"/>
      <c r="O90" s="1700"/>
      <c r="P90" s="1703"/>
      <c r="Q90" s="1161" t="s">
        <v>189</v>
      </c>
      <c r="R90" s="732"/>
      <c r="S90" s="672" t="s">
        <v>463</v>
      </c>
    </row>
    <row r="91" spans="1:19" ht="40.799999999999997" customHeight="1" thickBot="1" x14ac:dyDescent="0.5">
      <c r="A91" s="1710"/>
      <c r="B91" s="1770"/>
      <c r="C91" s="1773"/>
      <c r="D91" s="918" t="s">
        <v>161</v>
      </c>
      <c r="E91" s="868">
        <f>$C$87/3</f>
        <v>1.1904761904761905</v>
      </c>
      <c r="F91" s="1162" t="s">
        <v>80</v>
      </c>
      <c r="G91" s="1163">
        <f>E91/1</f>
        <v>1.1904761904761905</v>
      </c>
      <c r="H91" s="369">
        <v>50</v>
      </c>
      <c r="I91" s="370">
        <v>50</v>
      </c>
      <c r="J91" s="1164">
        <f>H91-I91</f>
        <v>0</v>
      </c>
      <c r="K91" s="1141">
        <f>(100-I91)*(6/10)</f>
        <v>30</v>
      </c>
      <c r="L91" s="1165">
        <f>I91+K91</f>
        <v>80</v>
      </c>
      <c r="M91" s="874">
        <f>IF(I91&gt;=60,(1+(H91-60)/60),(H91/L91))</f>
        <v>0.625</v>
      </c>
      <c r="N91" s="1698"/>
      <c r="O91" s="1701"/>
      <c r="P91" s="1679"/>
      <c r="Q91" s="1166" t="s">
        <v>95</v>
      </c>
      <c r="R91" s="733"/>
      <c r="S91" s="705" t="s">
        <v>569</v>
      </c>
    </row>
    <row r="92" spans="1:19" ht="14.65" thickBot="1" x14ac:dyDescent="0.5">
      <c r="B92" s="1535" t="s">
        <v>81</v>
      </c>
      <c r="C92" s="1536"/>
      <c r="D92" s="1536"/>
      <c r="E92" s="1536"/>
      <c r="F92" s="1537"/>
      <c r="G92" s="11"/>
      <c r="H92" s="722"/>
      <c r="I92" s="723"/>
      <c r="J92" s="175"/>
      <c r="K92" s="11"/>
      <c r="L92" s="11"/>
      <c r="M92" s="173"/>
      <c r="N92" s="833">
        <f>(N93+N97)/2</f>
        <v>0</v>
      </c>
      <c r="O92" s="834">
        <f>(O93+O97)</f>
        <v>0</v>
      </c>
      <c r="P92" s="835">
        <f>O92/14.285712</f>
        <v>0</v>
      </c>
      <c r="Q92" s="1029"/>
      <c r="R92" s="691"/>
      <c r="S92" s="692"/>
    </row>
    <row r="93" spans="1:19" ht="20.45" customHeight="1" thickBot="1" x14ac:dyDescent="0.5">
      <c r="B93" s="1684" t="s">
        <v>82</v>
      </c>
      <c r="C93" s="1685"/>
      <c r="D93" s="1685"/>
      <c r="E93" s="1685"/>
      <c r="F93" s="1686"/>
      <c r="G93" s="923"/>
      <c r="H93" s="717"/>
      <c r="I93" s="718"/>
      <c r="J93" s="947"/>
      <c r="K93" s="947"/>
      <c r="L93" s="947"/>
      <c r="M93" s="948"/>
      <c r="N93" s="833">
        <f>N94</f>
        <v>0</v>
      </c>
      <c r="O93" s="834">
        <f>O94</f>
        <v>0</v>
      </c>
      <c r="P93" s="835">
        <f>O93/3.571428</f>
        <v>0</v>
      </c>
      <c r="Q93" s="1017"/>
      <c r="R93" s="688"/>
      <c r="S93" s="696"/>
    </row>
    <row r="94" spans="1:19" ht="34.799999999999997" customHeight="1" x14ac:dyDescent="0.45">
      <c r="A94" s="1669">
        <v>25</v>
      </c>
      <c r="B94" s="1687" t="s">
        <v>83</v>
      </c>
      <c r="C94" s="1784">
        <f>M5</f>
        <v>3.5714285714285716</v>
      </c>
      <c r="D94" s="1727" t="s">
        <v>214</v>
      </c>
      <c r="E94" s="1018">
        <f>$C$94/3</f>
        <v>1.1904761904761905</v>
      </c>
      <c r="F94" s="926" t="s">
        <v>269</v>
      </c>
      <c r="G94" s="1167">
        <f>E94/1</f>
        <v>1.1904761904761905</v>
      </c>
      <c r="H94" s="373"/>
      <c r="I94" s="374"/>
      <c r="J94" s="1168">
        <f>H94-I94</f>
        <v>0</v>
      </c>
      <c r="K94" s="1169">
        <f>(100-I94)*(6/10)</f>
        <v>60</v>
      </c>
      <c r="L94" s="1170">
        <f>I94+K94</f>
        <v>60</v>
      </c>
      <c r="M94" s="859">
        <f>IF(K94&lt;&gt;0,J94/K94,"100%")</f>
        <v>0</v>
      </c>
      <c r="N94" s="1748">
        <f>(((G94/C94)*M94)+((G95/C94)*M95)+((G96/C94)*M96))</f>
        <v>0</v>
      </c>
      <c r="O94" s="1702">
        <f>IF((((G94/C94)*M94)+((G95/C94)*M95)+((G96/C94)*M96))&gt;=1,3.571428,IF((((G94/C94)*M94)+((G95/C94)*M95)+((G96/C94)*M96))&lt;=0,0,(((G94/C94)*M94)+((G95/C94)*M95)+((G96/C94)*M96))*3.571428))</f>
        <v>0</v>
      </c>
      <c r="P94" s="1678">
        <f>O94/3.571428</f>
        <v>0</v>
      </c>
      <c r="Q94" s="1171" t="s">
        <v>190</v>
      </c>
      <c r="R94" s="196"/>
      <c r="S94" s="672" t="s">
        <v>463</v>
      </c>
    </row>
    <row r="95" spans="1:19" ht="39.6" customHeight="1" x14ac:dyDescent="0.45">
      <c r="A95" s="1669"/>
      <c r="B95" s="1688"/>
      <c r="C95" s="1785"/>
      <c r="D95" s="1721"/>
      <c r="E95" s="1172">
        <f t="shared" ref="E95:E96" si="32">$C$94/3</f>
        <v>1.1904761904761905</v>
      </c>
      <c r="F95" s="1058" t="s">
        <v>270</v>
      </c>
      <c r="G95" s="1154">
        <f>E95/1</f>
        <v>1.1904761904761905</v>
      </c>
      <c r="H95" s="365"/>
      <c r="I95" s="682"/>
      <c r="J95" s="1155">
        <f>IF(AND(I95&gt;1,(H95-I95=0)),(H95-1),(H95-I95))</f>
        <v>0</v>
      </c>
      <c r="K95" s="997">
        <f>IF(AND(I95&gt;=1,H95&gt;=1),"0",((1-I95)*(6/10)))</f>
        <v>0.6</v>
      </c>
      <c r="L95" s="1173">
        <f t="shared" ref="L95:L96" si="33">I95+K95</f>
        <v>0.6</v>
      </c>
      <c r="M95" s="916">
        <f>IF(I95&gt;=1,(1+(H95-1)/1),(J95/K95))</f>
        <v>0</v>
      </c>
      <c r="N95" s="1749"/>
      <c r="O95" s="1700"/>
      <c r="P95" s="1703"/>
      <c r="Q95" s="1174" t="s">
        <v>191</v>
      </c>
      <c r="R95" s="204"/>
      <c r="S95" s="672" t="s">
        <v>463</v>
      </c>
    </row>
    <row r="96" spans="1:19" ht="41.45" customHeight="1" thickBot="1" x14ac:dyDescent="0.5">
      <c r="A96" s="1669"/>
      <c r="B96" s="1739"/>
      <c r="C96" s="1786"/>
      <c r="D96" s="1728"/>
      <c r="E96" s="1021">
        <f t="shared" si="32"/>
        <v>1.1904761904761905</v>
      </c>
      <c r="F96" s="953" t="s">
        <v>84</v>
      </c>
      <c r="G96" s="1163">
        <f>E96/1</f>
        <v>1.1904761904761905</v>
      </c>
      <c r="H96" s="369"/>
      <c r="I96" s="734"/>
      <c r="J96" s="1164">
        <f>H96-I96</f>
        <v>0</v>
      </c>
      <c r="K96" s="1141">
        <f>(100-I96)*(6/10)</f>
        <v>60</v>
      </c>
      <c r="L96" s="1165">
        <f t="shared" si="33"/>
        <v>60</v>
      </c>
      <c r="M96" s="874">
        <f>IF(K96&lt;&gt;0,J96/K96,"100%")</f>
        <v>0</v>
      </c>
      <c r="N96" s="1750"/>
      <c r="O96" s="1701"/>
      <c r="P96" s="1679"/>
      <c r="Q96" s="1175" t="s">
        <v>95</v>
      </c>
      <c r="R96" s="198"/>
      <c r="S96" s="672" t="s">
        <v>463</v>
      </c>
    </row>
    <row r="97" spans="1:19" ht="18" customHeight="1" thickBot="1" x14ac:dyDescent="0.5">
      <c r="B97" s="1787" t="s">
        <v>85</v>
      </c>
      <c r="C97" s="1788"/>
      <c r="D97" s="1788"/>
      <c r="E97" s="1788"/>
      <c r="F97" s="1789"/>
      <c r="G97" s="1176"/>
      <c r="H97" s="735"/>
      <c r="I97" s="736"/>
      <c r="J97" s="1176"/>
      <c r="K97" s="1177"/>
      <c r="L97" s="1177"/>
      <c r="M97" s="1178"/>
      <c r="N97" s="1179">
        <f>(N98+N99+N100)/3</f>
        <v>0</v>
      </c>
      <c r="O97" s="1180">
        <f>(O98+O99+O100)</f>
        <v>0</v>
      </c>
      <c r="P97" s="835">
        <f>O97/10.714284</f>
        <v>0</v>
      </c>
      <c r="Q97" s="1181"/>
      <c r="R97" s="688"/>
      <c r="S97" s="737"/>
    </row>
    <row r="98" spans="1:19" ht="29.45" customHeight="1" thickBot="1" x14ac:dyDescent="0.5">
      <c r="A98" s="16">
        <v>26</v>
      </c>
      <c r="B98" s="961" t="s">
        <v>86</v>
      </c>
      <c r="C98" s="962">
        <f>$M$5</f>
        <v>3.5714285714285716</v>
      </c>
      <c r="D98" s="961" t="s">
        <v>215</v>
      </c>
      <c r="E98" s="962">
        <f>C98/1</f>
        <v>3.5714285714285716</v>
      </c>
      <c r="F98" s="1095" t="s">
        <v>291</v>
      </c>
      <c r="G98" s="962">
        <f>E98/1</f>
        <v>3.5714285714285716</v>
      </c>
      <c r="H98" s="678"/>
      <c r="I98" s="720"/>
      <c r="J98" s="1182">
        <f>IF(I98=H98,(H98-10),H98-I98)</f>
        <v>-10</v>
      </c>
      <c r="K98" s="982">
        <f>IF(I98&gt;=10,0,((10-I98)*(6/10)))</f>
        <v>6</v>
      </c>
      <c r="L98" s="1090">
        <f>I98+K98</f>
        <v>6</v>
      </c>
      <c r="M98" s="859" t="str">
        <f>IF(H98=0,"0%",J98/K98)</f>
        <v>0%</v>
      </c>
      <c r="N98" s="1091">
        <f>((G98/C98)*M98)</f>
        <v>0</v>
      </c>
      <c r="O98" s="970">
        <f>IF(((G98/C98)*M98)&gt;=1,3.571428,IF(((G98/C98)*M98)&lt;=0,0,((G98/C98)*M98)*3.571428))</f>
        <v>0</v>
      </c>
      <c r="P98" s="835">
        <f>O98/3.571428</f>
        <v>0</v>
      </c>
      <c r="Q98" s="1183" t="s">
        <v>95</v>
      </c>
      <c r="R98" s="223"/>
      <c r="S98" s="672" t="s">
        <v>463</v>
      </c>
    </row>
    <row r="99" spans="1:19" ht="35.25" thickBot="1" x14ac:dyDescent="0.5">
      <c r="A99" s="16">
        <v>27</v>
      </c>
      <c r="B99" s="961" t="s">
        <v>87</v>
      </c>
      <c r="C99" s="962">
        <f>$M$5</f>
        <v>3.5714285714285716</v>
      </c>
      <c r="D99" s="961" t="s">
        <v>216</v>
      </c>
      <c r="E99" s="962">
        <f>C99/1</f>
        <v>3.5714285714285716</v>
      </c>
      <c r="F99" s="1095" t="s">
        <v>271</v>
      </c>
      <c r="G99" s="962">
        <f>E99/1</f>
        <v>3.5714285714285716</v>
      </c>
      <c r="H99" s="678"/>
      <c r="I99" s="720"/>
      <c r="J99" s="1182">
        <f>IF(I99=H99,(H99-75),H99-I99)</f>
        <v>-75</v>
      </c>
      <c r="K99" s="982">
        <f>IF(I99&gt;=75,0,((75-I99)*(6/10)))</f>
        <v>45</v>
      </c>
      <c r="L99" s="1115">
        <f>I99+K99</f>
        <v>45</v>
      </c>
      <c r="M99" s="1184" t="str">
        <f>IF(H99=0,"0%",J99/K99)</f>
        <v>0%</v>
      </c>
      <c r="N99" s="1091">
        <f>((G99/C99)*M99)</f>
        <v>0</v>
      </c>
      <c r="O99" s="970">
        <f>IF(((G99/C99)*M99)&gt;=1,3.571428,IF(((G99/C99)*M99)&lt;=0,0,((G99/C99)*M99)*3.571428))</f>
        <v>0</v>
      </c>
      <c r="P99" s="835">
        <f>O99/3.571428</f>
        <v>0</v>
      </c>
      <c r="Q99" s="1183" t="s">
        <v>192</v>
      </c>
      <c r="R99" s="223"/>
      <c r="S99" s="672" t="s">
        <v>463</v>
      </c>
    </row>
    <row r="100" spans="1:19" ht="30.4" x14ac:dyDescent="0.45">
      <c r="A100" s="1669">
        <v>28</v>
      </c>
      <c r="B100" s="1790" t="s">
        <v>88</v>
      </c>
      <c r="C100" s="1792">
        <f>M5</f>
        <v>3.5714285714285716</v>
      </c>
      <c r="D100" s="1790" t="s">
        <v>217</v>
      </c>
      <c r="E100" s="1792">
        <f>C100/1</f>
        <v>3.5714285714285716</v>
      </c>
      <c r="F100" s="1054" t="s">
        <v>89</v>
      </c>
      <c r="G100" s="853">
        <f>$E$100/2</f>
        <v>1.7857142857142858</v>
      </c>
      <c r="H100" s="373"/>
      <c r="I100" s="179"/>
      <c r="J100" s="1185">
        <f>IF(I100=H100,(25-H100),I100-H100)</f>
        <v>25</v>
      </c>
      <c r="K100" s="1035">
        <f>IF(I100&lt;=25,0,((0.25*I100)*(6/10)))</f>
        <v>0</v>
      </c>
      <c r="L100" s="1186">
        <f>I100-K100</f>
        <v>0</v>
      </c>
      <c r="M100" s="859" t="str">
        <f>IF(H100=0,"0%",J100/K100)</f>
        <v>0%</v>
      </c>
      <c r="N100" s="1795">
        <f>((G100/$C$100)*M100)+((G101/$C$100)*M101)</f>
        <v>0</v>
      </c>
      <c r="O100" s="1676">
        <f>IF((((G100/C100)*M100)+((G101/C100)*M101))&gt;=1,3.57148,IF((((G100/C100)*M100)+((G101/C100)*M101))&lt;=0,0, (((G100/C100)*M100)+((G101/C100)*M101))*3.571428))</f>
        <v>0</v>
      </c>
      <c r="P100" s="1678">
        <f>O100/3.571428</f>
        <v>0</v>
      </c>
      <c r="Q100" s="1187" t="s">
        <v>193</v>
      </c>
      <c r="R100" s="686"/>
      <c r="S100" s="672" t="s">
        <v>463</v>
      </c>
    </row>
    <row r="101" spans="1:19" ht="38.450000000000003" customHeight="1" thickBot="1" x14ac:dyDescent="0.5">
      <c r="A101" s="1669"/>
      <c r="B101" s="1791"/>
      <c r="C101" s="1793"/>
      <c r="D101" s="1791"/>
      <c r="E101" s="1794"/>
      <c r="F101" s="953" t="s">
        <v>90</v>
      </c>
      <c r="G101" s="868">
        <f>$E$100/2</f>
        <v>1.7857142857142858</v>
      </c>
      <c r="H101" s="369"/>
      <c r="I101" s="370"/>
      <c r="J101" s="1188">
        <f>IF(I101=H101,(H101-25),H101-I101)</f>
        <v>-25</v>
      </c>
      <c r="K101" s="921">
        <f>IF(I101&gt;=25,0,((25-I101)*(6/10)))</f>
        <v>15</v>
      </c>
      <c r="L101" s="1189">
        <f t="shared" ref="L101" si="34">K101+I101</f>
        <v>15</v>
      </c>
      <c r="M101" s="874" t="str">
        <f>IF(H101=0,"0%",J101/K101)</f>
        <v>0%</v>
      </c>
      <c r="N101" s="1796"/>
      <c r="O101" s="1677"/>
      <c r="P101" s="1679"/>
      <c r="Q101" s="1190" t="s">
        <v>95</v>
      </c>
      <c r="R101" s="673"/>
      <c r="S101" s="672" t="s">
        <v>463</v>
      </c>
    </row>
    <row r="102" spans="1:19" ht="34.25" customHeight="1" thickBot="1" x14ac:dyDescent="0.5">
      <c r="B102" s="1191" t="s">
        <v>194</v>
      </c>
      <c r="C102" s="1192">
        <f>C11+C13+C15+C19+C24+C33+C34+C35+C36+C38+C41+C44+C48+C51+C53+C61+C68+C71+C73+C75+C78+C81+C83+C87+C94+C98+C99+C100</f>
        <v>99.999999999999972</v>
      </c>
      <c r="D102" s="1193"/>
      <c r="E102" s="1192">
        <f>E11+E12+E13+E14+E15+E19+E20+E21+E22+E24+E25+E28+E31+E33+E34+E35+E36+E38+E39+E41+E42+E44+E45+E48+E49++E51+E53+E54+E55+E56+E57+E61+E62+E63+E64+E68+E71+E73+E75+E78+E81++E82+E83+E84+E85+E87+E88+E91+E94+E95+E96+E98+E99+E100</f>
        <v>100.00714285714285</v>
      </c>
      <c r="F102" s="1194"/>
      <c r="G102" s="1192">
        <f>G11+G12+G13+G14+G15+G16+G17+G19+G20+G21+G22+G24+G25+G26+G27+G28+G29+G30+G31+G33+G34+G35+G36+G38+G39+G41+G42+G44+G45+G48+G49+G51+G53+G54+G55+G56+G57+G58+G61+G62+G63+G64+G65+G66+G68+G71+G73+G75+G78+G81+G82+G83+G84+G85+G87+G88+G89+G90+G91+G94+G95+G96+G98+G99+G100+G101</f>
        <v>100.00714285714285</v>
      </c>
      <c r="H102" s="1195"/>
      <c r="I102" s="1196"/>
      <c r="J102" s="1195"/>
      <c r="K102" s="1197"/>
      <c r="L102" s="1194"/>
      <c r="M102" s="1198"/>
      <c r="N102" s="1199"/>
      <c r="O102" s="1200"/>
      <c r="P102" s="1200"/>
      <c r="Q102" s="1201"/>
      <c r="R102" s="17"/>
      <c r="S102" s="18"/>
    </row>
    <row r="104" spans="1:19" ht="15.75" x14ac:dyDescent="0.5">
      <c r="B104" s="19"/>
    </row>
    <row r="107" spans="1:19" ht="15.75" x14ac:dyDescent="0.5">
      <c r="B107" s="19"/>
    </row>
    <row r="108" spans="1:19" x14ac:dyDescent="0.45">
      <c r="B108" s="20"/>
    </row>
    <row r="109" spans="1:19" x14ac:dyDescent="0.45">
      <c r="B109" s="20"/>
    </row>
    <row r="111" spans="1:19" x14ac:dyDescent="0.45">
      <c r="E111"/>
      <c r="F111" s="1202" t="s">
        <v>196</v>
      </c>
    </row>
    <row r="112" spans="1:19" x14ac:dyDescent="0.45">
      <c r="E112" s="1203">
        <v>1</v>
      </c>
      <c r="F112" s="1203" t="s">
        <v>197</v>
      </c>
    </row>
    <row r="113" spans="5:6" x14ac:dyDescent="0.45">
      <c r="E113" s="1203">
        <v>2</v>
      </c>
      <c r="F113" s="1203" t="s">
        <v>227</v>
      </c>
    </row>
    <row r="114" spans="5:6" x14ac:dyDescent="0.45">
      <c r="E114" s="1203">
        <v>3</v>
      </c>
      <c r="F114" s="1203" t="s">
        <v>228</v>
      </c>
    </row>
    <row r="115" spans="5:6" x14ac:dyDescent="0.45">
      <c r="E115" s="1203">
        <v>4</v>
      </c>
      <c r="F115" s="1203" t="s">
        <v>229</v>
      </c>
    </row>
    <row r="116" spans="5:6" x14ac:dyDescent="0.45">
      <c r="E116" s="1203">
        <v>5</v>
      </c>
      <c r="F116" s="1203" t="s">
        <v>198</v>
      </c>
    </row>
    <row r="117" spans="5:6" x14ac:dyDescent="0.45">
      <c r="E117" s="1203">
        <v>6</v>
      </c>
      <c r="F117" s="1203" t="s">
        <v>230</v>
      </c>
    </row>
    <row r="118" spans="5:6" x14ac:dyDescent="0.45">
      <c r="E118" s="1203">
        <v>7</v>
      </c>
      <c r="F118" s="1203" t="s">
        <v>231</v>
      </c>
    </row>
    <row r="119" spans="5:6" x14ac:dyDescent="0.45">
      <c r="E119" s="1203">
        <v>8</v>
      </c>
      <c r="F119" s="1203" t="s">
        <v>199</v>
      </c>
    </row>
    <row r="120" spans="5:6" x14ac:dyDescent="0.45">
      <c r="E120" s="1203">
        <v>9</v>
      </c>
      <c r="F120" s="1203" t="s">
        <v>200</v>
      </c>
    </row>
    <row r="121" spans="5:6" x14ac:dyDescent="0.45">
      <c r="E121" s="1203">
        <v>10</v>
      </c>
      <c r="F121" s="1203" t="s">
        <v>201</v>
      </c>
    </row>
    <row r="122" spans="5:6" x14ac:dyDescent="0.45">
      <c r="E122" s="1203">
        <v>11</v>
      </c>
      <c r="F122" s="1203" t="s">
        <v>232</v>
      </c>
    </row>
    <row r="123" spans="5:6" x14ac:dyDescent="0.45">
      <c r="E123" s="1203">
        <v>12</v>
      </c>
      <c r="F123" s="1203" t="s">
        <v>202</v>
      </c>
    </row>
    <row r="124" spans="5:6" x14ac:dyDescent="0.45">
      <c r="E124" s="1203">
        <f t="shared" ref="E124:E145" si="35">E123+1</f>
        <v>13</v>
      </c>
      <c r="F124" s="1203" t="s">
        <v>203</v>
      </c>
    </row>
    <row r="125" spans="5:6" x14ac:dyDescent="0.45">
      <c r="E125" s="1203">
        <v>14</v>
      </c>
      <c r="F125" s="1203" t="s">
        <v>233</v>
      </c>
    </row>
    <row r="126" spans="5:6" x14ac:dyDescent="0.45">
      <c r="E126" s="1203">
        <v>15</v>
      </c>
      <c r="F126" s="1203" t="s">
        <v>234</v>
      </c>
    </row>
    <row r="127" spans="5:6" x14ac:dyDescent="0.45">
      <c r="E127" s="1203">
        <v>16</v>
      </c>
      <c r="F127" s="1203" t="s">
        <v>213</v>
      </c>
    </row>
    <row r="128" spans="5:6" x14ac:dyDescent="0.45">
      <c r="E128" s="1203">
        <v>17</v>
      </c>
      <c r="F128" s="1203" t="s">
        <v>235</v>
      </c>
    </row>
    <row r="129" spans="5:6" x14ac:dyDescent="0.45">
      <c r="E129" s="1203">
        <v>18</v>
      </c>
      <c r="F129" s="1203" t="s">
        <v>263</v>
      </c>
    </row>
    <row r="130" spans="5:6" x14ac:dyDescent="0.45">
      <c r="E130" s="1203">
        <v>19</v>
      </c>
      <c r="F130" s="1203" t="s">
        <v>204</v>
      </c>
    </row>
    <row r="131" spans="5:6" x14ac:dyDescent="0.45">
      <c r="E131" s="1203">
        <v>20</v>
      </c>
      <c r="F131" s="1203" t="s">
        <v>236</v>
      </c>
    </row>
    <row r="132" spans="5:6" x14ac:dyDescent="0.45">
      <c r="E132" s="1203">
        <v>21</v>
      </c>
      <c r="F132" s="1203" t="s">
        <v>237</v>
      </c>
    </row>
    <row r="133" spans="5:6" x14ac:dyDescent="0.45">
      <c r="E133" s="1203">
        <v>22</v>
      </c>
      <c r="F133" s="1203" t="s">
        <v>238</v>
      </c>
    </row>
    <row r="134" spans="5:6" x14ac:dyDescent="0.45">
      <c r="E134" s="1203">
        <v>23</v>
      </c>
      <c r="F134" s="1203" t="s">
        <v>205</v>
      </c>
    </row>
    <row r="135" spans="5:6" x14ac:dyDescent="0.45">
      <c r="E135" s="1203">
        <v>24</v>
      </c>
      <c r="F135" s="1203" t="s">
        <v>239</v>
      </c>
    </row>
    <row r="136" spans="5:6" x14ac:dyDescent="0.45">
      <c r="E136" s="1203">
        <v>25</v>
      </c>
      <c r="F136" s="1203" t="s">
        <v>240</v>
      </c>
    </row>
    <row r="137" spans="5:6" x14ac:dyDescent="0.45">
      <c r="E137" s="1203">
        <v>26</v>
      </c>
      <c r="F137" s="1203" t="s">
        <v>241</v>
      </c>
    </row>
    <row r="138" spans="5:6" x14ac:dyDescent="0.45">
      <c r="E138" s="1203">
        <v>27</v>
      </c>
      <c r="F138" s="1203" t="s">
        <v>206</v>
      </c>
    </row>
    <row r="139" spans="5:6" x14ac:dyDescent="0.45">
      <c r="E139" s="1203">
        <v>28</v>
      </c>
      <c r="F139" s="1203" t="s">
        <v>242</v>
      </c>
    </row>
    <row r="140" spans="5:6" x14ac:dyDescent="0.45">
      <c r="E140" s="1203">
        <v>29</v>
      </c>
      <c r="F140" s="1203" t="s">
        <v>243</v>
      </c>
    </row>
    <row r="141" spans="5:6" x14ac:dyDescent="0.45">
      <c r="E141" s="1203">
        <v>30</v>
      </c>
      <c r="F141" s="1203" t="s">
        <v>244</v>
      </c>
    </row>
    <row r="142" spans="5:6" x14ac:dyDescent="0.45">
      <c r="E142" s="1203">
        <v>31</v>
      </c>
      <c r="F142" s="1203" t="s">
        <v>245</v>
      </c>
    </row>
    <row r="143" spans="5:6" x14ac:dyDescent="0.45">
      <c r="E143" s="1203">
        <v>32</v>
      </c>
      <c r="F143" s="1203" t="s">
        <v>246</v>
      </c>
    </row>
    <row r="144" spans="5:6" x14ac:dyDescent="0.45">
      <c r="E144" s="1203">
        <v>33</v>
      </c>
      <c r="F144" s="1203" t="s">
        <v>207</v>
      </c>
    </row>
    <row r="145" spans="5:6" x14ac:dyDescent="0.45">
      <c r="E145" s="1203">
        <f t="shared" si="35"/>
        <v>34</v>
      </c>
      <c r="F145" s="1203" t="s">
        <v>208</v>
      </c>
    </row>
    <row r="146" spans="5:6" x14ac:dyDescent="0.45">
      <c r="E146" s="1203">
        <v>35</v>
      </c>
      <c r="F146" s="1203" t="s">
        <v>247</v>
      </c>
    </row>
    <row r="147" spans="5:6" x14ac:dyDescent="0.45">
      <c r="E147" s="1203">
        <v>36</v>
      </c>
      <c r="F147" s="1203" t="s">
        <v>248</v>
      </c>
    </row>
    <row r="148" spans="5:6" x14ac:dyDescent="0.45">
      <c r="E148" s="1203">
        <v>36</v>
      </c>
      <c r="F148" s="1203" t="s">
        <v>249</v>
      </c>
    </row>
    <row r="149" spans="5:6" x14ac:dyDescent="0.45">
      <c r="E149" s="1203">
        <v>38</v>
      </c>
      <c r="F149" s="1203" t="s">
        <v>250</v>
      </c>
    </row>
    <row r="150" spans="5:6" x14ac:dyDescent="0.45">
      <c r="E150" s="1203">
        <v>39</v>
      </c>
      <c r="F150" s="1203" t="s">
        <v>251</v>
      </c>
    </row>
    <row r="151" spans="5:6" x14ac:dyDescent="0.45">
      <c r="E151" s="1203">
        <v>40</v>
      </c>
      <c r="F151" s="1203" t="s">
        <v>209</v>
      </c>
    </row>
    <row r="152" spans="5:6" x14ac:dyDescent="0.45">
      <c r="E152" s="1203">
        <v>41</v>
      </c>
      <c r="F152" s="1203" t="s">
        <v>264</v>
      </c>
    </row>
    <row r="153" spans="5:6" x14ac:dyDescent="0.45">
      <c r="E153" s="1203">
        <v>42</v>
      </c>
      <c r="F153" s="1203" t="s">
        <v>252</v>
      </c>
    </row>
    <row r="154" spans="5:6" x14ac:dyDescent="0.45">
      <c r="E154" s="1203">
        <v>43</v>
      </c>
      <c r="F154" s="1203" t="s">
        <v>253</v>
      </c>
    </row>
    <row r="155" spans="5:6" x14ac:dyDescent="0.45">
      <c r="E155" s="1203">
        <v>44</v>
      </c>
      <c r="F155" s="1203" t="s">
        <v>254</v>
      </c>
    </row>
    <row r="156" spans="5:6" x14ac:dyDescent="0.45">
      <c r="E156" s="1203">
        <v>45</v>
      </c>
      <c r="F156" s="1203" t="s">
        <v>210</v>
      </c>
    </row>
    <row r="157" spans="5:6" x14ac:dyDescent="0.45">
      <c r="E157" s="1203">
        <v>46</v>
      </c>
      <c r="F157" s="1203" t="s">
        <v>255</v>
      </c>
    </row>
    <row r="158" spans="5:6" x14ac:dyDescent="0.45">
      <c r="E158" s="1203">
        <v>47</v>
      </c>
      <c r="F158" s="1203" t="s">
        <v>211</v>
      </c>
    </row>
    <row r="159" spans="5:6" x14ac:dyDescent="0.45">
      <c r="E159" s="1203">
        <v>48</v>
      </c>
      <c r="F159" s="1203" t="s">
        <v>256</v>
      </c>
    </row>
    <row r="160" spans="5:6" x14ac:dyDescent="0.45">
      <c r="E160" s="1203">
        <v>49</v>
      </c>
      <c r="F160" s="1203" t="s">
        <v>257</v>
      </c>
    </row>
    <row r="161" spans="5:6" x14ac:dyDescent="0.45">
      <c r="E161" s="1203">
        <v>50</v>
      </c>
      <c r="F161" s="1203" t="s">
        <v>260</v>
      </c>
    </row>
    <row r="162" spans="5:6" x14ac:dyDescent="0.45">
      <c r="E162" s="1203">
        <v>51</v>
      </c>
      <c r="F162" s="1203" t="s">
        <v>258</v>
      </c>
    </row>
    <row r="163" spans="5:6" x14ac:dyDescent="0.45">
      <c r="E163" s="1203">
        <v>52</v>
      </c>
      <c r="F163" s="1203" t="s">
        <v>212</v>
      </c>
    </row>
    <row r="164" spans="5:6" x14ac:dyDescent="0.45">
      <c r="E164" s="1203">
        <v>53</v>
      </c>
      <c r="F164" s="1203" t="s">
        <v>259</v>
      </c>
    </row>
    <row r="165" spans="5:6" x14ac:dyDescent="0.45">
      <c r="E165" s="1203">
        <v>54</v>
      </c>
      <c r="F165" s="1203" t="s">
        <v>261</v>
      </c>
    </row>
    <row r="166" spans="5:6" x14ac:dyDescent="0.45">
      <c r="E166" s="1203">
        <v>55</v>
      </c>
      <c r="F166" s="1203" t="s">
        <v>262</v>
      </c>
    </row>
    <row r="167" spans="5:6" x14ac:dyDescent="0.45">
      <c r="E167"/>
      <c r="F167"/>
    </row>
    <row r="168" spans="5:6" x14ac:dyDescent="0.45">
      <c r="E168"/>
      <c r="F168"/>
    </row>
  </sheetData>
  <sheetProtection algorithmName="SHA-512" hashValue="4FSz0RunZ8VyRcZIq8mhG6aG56c3lqVWVwr4jja0tuY+/NQZTcXPnzzubQX32yAMCC+hpRJw9OTYzuQvsKaI0Q==" saltValue="jTgC/yG4TJe60D/KYOUjCg==" spinCount="100000" sheet="1" objects="1" scenarios="1"/>
  <mergeCells count="140">
    <mergeCell ref="K4:M4"/>
    <mergeCell ref="B5:K5"/>
    <mergeCell ref="B6:F6"/>
    <mergeCell ref="B7:F7"/>
    <mergeCell ref="B9:F9"/>
    <mergeCell ref="B10:F10"/>
    <mergeCell ref="A13:A14"/>
    <mergeCell ref="B13:B14"/>
    <mergeCell ref="C13:C14"/>
    <mergeCell ref="N13:N14"/>
    <mergeCell ref="O13:O14"/>
    <mergeCell ref="P13:P14"/>
    <mergeCell ref="A11:A12"/>
    <mergeCell ref="B11:B12"/>
    <mergeCell ref="C11:C12"/>
    <mergeCell ref="N11:N12"/>
    <mergeCell ref="O11:O12"/>
    <mergeCell ref="P11:P1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B37:F37"/>
    <mergeCell ref="A38:A39"/>
    <mergeCell ref="B38:B39"/>
    <mergeCell ref="C38:C39"/>
    <mergeCell ref="N38:N39"/>
    <mergeCell ref="O38:O39"/>
    <mergeCell ref="P24:P31"/>
    <mergeCell ref="D25:D27"/>
    <mergeCell ref="E25:E27"/>
    <mergeCell ref="D28:D30"/>
    <mergeCell ref="E28:E30"/>
    <mergeCell ref="B32:F32"/>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77:F77"/>
    <mergeCell ref="B79:F79"/>
    <mergeCell ref="B80:F80"/>
    <mergeCell ref="B81:B82"/>
    <mergeCell ref="C81:C82"/>
    <mergeCell ref="N81:N82"/>
    <mergeCell ref="B67:F67"/>
    <mergeCell ref="B69:F69"/>
    <mergeCell ref="B70:F70"/>
    <mergeCell ref="B72:F72"/>
    <mergeCell ref="B74:F74"/>
    <mergeCell ref="B76:F76"/>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2430480F-82A8-49BC-A90D-115C798FC9BA}">
      <formula1>$F$112:$F$166</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66E9D-0670-4DE7-9018-0B6D80E38583}">
  <dimension ref="A1:AA168"/>
  <sheetViews>
    <sheetView topLeftCell="B1" zoomScale="60" zoomScaleNormal="60" workbookViewId="0">
      <selection activeCell="G11" sqref="G11:G12 C11:C12 M11:M1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793"/>
      <c r="R1" s="3"/>
      <c r="S1" s="4"/>
      <c r="U1" s="794"/>
      <c r="V1" s="794"/>
      <c r="W1" s="794"/>
      <c r="X1" s="794"/>
      <c r="Y1" s="794"/>
      <c r="Z1" s="794"/>
      <c r="AA1" s="794"/>
    </row>
    <row r="2" spans="1:27" ht="30" x14ac:dyDescent="1.1000000000000001">
      <c r="B2" s="795"/>
      <c r="C2" s="796"/>
      <c r="D2" s="797" t="s">
        <v>286</v>
      </c>
      <c r="E2" s="796"/>
      <c r="F2" s="798"/>
      <c r="G2" s="798"/>
      <c r="H2" s="798"/>
      <c r="I2" s="798"/>
      <c r="J2" s="798"/>
      <c r="K2" s="798"/>
      <c r="L2" s="798"/>
      <c r="M2" s="798"/>
      <c r="N2" s="798"/>
      <c r="O2" s="798"/>
      <c r="P2" s="798"/>
      <c r="Q2" s="796"/>
      <c r="R2" s="798"/>
      <c r="S2" s="6"/>
    </row>
    <row r="3" spans="1:27" ht="14.65" thickBot="1" x14ac:dyDescent="0.5">
      <c r="B3" s="799"/>
      <c r="C3" s="800"/>
      <c r="D3" s="800"/>
      <c r="E3" s="800"/>
      <c r="F3" s="801"/>
      <c r="G3" s="801"/>
      <c r="H3" s="801"/>
      <c r="I3" s="801"/>
      <c r="J3" s="801"/>
      <c r="K3" s="801"/>
      <c r="L3" s="801"/>
      <c r="M3" s="801"/>
      <c r="N3" s="801"/>
      <c r="O3" s="801"/>
      <c r="P3" s="801"/>
      <c r="Q3" s="800"/>
      <c r="R3" s="801"/>
      <c r="S3" s="7"/>
    </row>
    <row r="4" spans="1:27" ht="26.45" customHeight="1" thickBot="1" x14ac:dyDescent="0.5">
      <c r="B4" s="799"/>
      <c r="C4" s="800"/>
      <c r="D4" s="802" t="s">
        <v>195</v>
      </c>
      <c r="E4" s="800"/>
      <c r="F4" s="8" t="s">
        <v>206</v>
      </c>
      <c r="G4" s="801"/>
      <c r="H4" s="801"/>
      <c r="I4" s="801"/>
      <c r="J4" s="801"/>
      <c r="K4" s="1652" t="s">
        <v>556</v>
      </c>
      <c r="L4" s="1653"/>
      <c r="M4" s="1654"/>
      <c r="N4" s="803">
        <f>(N9+N46+N59+N69+N76+N79+N92)/7</f>
        <v>0.33847939839035507</v>
      </c>
      <c r="O4" s="804">
        <f>(O9+O46+O59+O69+O76+O79+O92)</f>
        <v>34.763161752734881</v>
      </c>
      <c r="P4" s="803">
        <f>O4/100</f>
        <v>0.34763161752734884</v>
      </c>
      <c r="Q4" s="800"/>
      <c r="R4" s="801"/>
      <c r="S4" s="7"/>
    </row>
    <row r="5" spans="1:27" ht="18.399999999999999" thickBot="1" x14ac:dyDescent="0.6">
      <c r="B5" s="1655"/>
      <c r="C5" s="1656"/>
      <c r="D5" s="1656"/>
      <c r="E5" s="1656"/>
      <c r="F5" s="1656"/>
      <c r="G5" s="1656"/>
      <c r="H5" s="1656"/>
      <c r="I5" s="1656"/>
      <c r="J5" s="1656"/>
      <c r="K5" s="1656"/>
      <c r="L5" s="58"/>
      <c r="M5" s="805">
        <f>100/28</f>
        <v>3.5714285714285716</v>
      </c>
      <c r="N5" s="9"/>
      <c r="O5" s="561"/>
      <c r="P5" s="561"/>
      <c r="Q5" s="806"/>
      <c r="R5" s="9"/>
      <c r="S5" s="10"/>
    </row>
    <row r="6" spans="1:27" ht="33.6" customHeight="1" thickBot="1" x14ac:dyDescent="0.5">
      <c r="B6" s="1657"/>
      <c r="C6" s="1658"/>
      <c r="D6" s="1658"/>
      <c r="E6" s="1658"/>
      <c r="F6" s="1659"/>
      <c r="G6" s="807"/>
      <c r="H6" s="807"/>
      <c r="I6" s="807"/>
      <c r="J6" s="807"/>
      <c r="K6" s="807"/>
      <c r="L6" s="807"/>
      <c r="M6" s="807"/>
      <c r="N6" s="808"/>
      <c r="O6" s="809"/>
      <c r="P6" s="809"/>
      <c r="Q6" s="808"/>
      <c r="R6" s="12"/>
      <c r="S6" s="13"/>
    </row>
    <row r="7" spans="1:27" ht="55.8" customHeight="1" thickBot="1" x14ac:dyDescent="0.5">
      <c r="B7" s="1660"/>
      <c r="C7" s="1661"/>
      <c r="D7" s="1661"/>
      <c r="E7" s="1661"/>
      <c r="F7" s="1662"/>
      <c r="G7" s="810"/>
      <c r="H7" s="811" t="s">
        <v>218</v>
      </c>
      <c r="I7" s="812" t="s">
        <v>219</v>
      </c>
      <c r="J7" s="813" t="s">
        <v>91</v>
      </c>
      <c r="K7" s="814" t="s">
        <v>107</v>
      </c>
      <c r="L7" s="814" t="s">
        <v>104</v>
      </c>
      <c r="M7" s="814" t="s">
        <v>105</v>
      </c>
      <c r="N7" s="812" t="s">
        <v>106</v>
      </c>
      <c r="O7" s="812" t="s">
        <v>464</v>
      </c>
      <c r="P7" s="815" t="s">
        <v>465</v>
      </c>
      <c r="Q7" s="816" t="s">
        <v>93</v>
      </c>
      <c r="R7" s="817" t="s">
        <v>110</v>
      </c>
      <c r="S7" s="818" t="s">
        <v>103</v>
      </c>
    </row>
    <row r="8" spans="1:27" ht="25.25" customHeight="1" thickBot="1" x14ac:dyDescent="0.5">
      <c r="B8" s="819" t="s">
        <v>2</v>
      </c>
      <c r="C8" s="819" t="s">
        <v>92</v>
      </c>
      <c r="D8" s="819" t="s">
        <v>3</v>
      </c>
      <c r="E8" s="819" t="s">
        <v>94</v>
      </c>
      <c r="F8" s="819" t="s">
        <v>102</v>
      </c>
      <c r="G8" s="819" t="s">
        <v>96</v>
      </c>
      <c r="H8" s="820"/>
      <c r="I8" s="821"/>
      <c r="J8" s="820"/>
      <c r="K8" s="822"/>
      <c r="L8" s="822"/>
      <c r="M8" s="819"/>
      <c r="N8" s="823"/>
      <c r="O8" s="824"/>
      <c r="P8" s="825"/>
      <c r="Q8" s="821"/>
      <c r="R8" s="823"/>
      <c r="S8" s="823"/>
      <c r="V8" s="826" t="s">
        <v>151</v>
      </c>
      <c r="W8" s="827"/>
      <c r="X8" s="827"/>
      <c r="Y8" s="827"/>
      <c r="Z8" s="828"/>
    </row>
    <row r="9" spans="1:27" s="168" customFormat="1" ht="25.25" customHeight="1" thickBot="1" x14ac:dyDescent="0.5">
      <c r="B9" s="1663" t="s">
        <v>0</v>
      </c>
      <c r="C9" s="1664"/>
      <c r="D9" s="1664"/>
      <c r="E9" s="1664"/>
      <c r="F9" s="1665"/>
      <c r="G9" s="829"/>
      <c r="H9" s="830"/>
      <c r="I9" s="831"/>
      <c r="J9" s="832"/>
      <c r="K9" s="832"/>
      <c r="L9" s="832"/>
      <c r="M9" s="829"/>
      <c r="N9" s="833">
        <f>(N10+N18+N23+N32+N37+N40+N43)/7</f>
        <v>0.29429183711034279</v>
      </c>
      <c r="O9" s="834">
        <f>(O10+O18+O23+O32+O37+O40+O43)</f>
        <v>13.568699284687177</v>
      </c>
      <c r="P9" s="835">
        <f>O9/42.857136</f>
        <v>0.31660303396585293</v>
      </c>
      <c r="Q9" s="832"/>
      <c r="R9" s="836"/>
      <c r="S9" s="836"/>
      <c r="U9" s="837"/>
      <c r="V9" s="838"/>
      <c r="W9" s="839"/>
      <c r="X9" s="839"/>
      <c r="Y9" s="839"/>
      <c r="Z9" s="840"/>
      <c r="AA9" s="837"/>
    </row>
    <row r="10" spans="1:27" s="92" customFormat="1" ht="25.25" customHeight="1" thickBot="1" x14ac:dyDescent="0.5">
      <c r="B10" s="1666" t="s">
        <v>1</v>
      </c>
      <c r="C10" s="1667"/>
      <c r="D10" s="1667"/>
      <c r="E10" s="1667"/>
      <c r="F10" s="1668"/>
      <c r="G10" s="841"/>
      <c r="H10" s="842"/>
      <c r="I10" s="843"/>
      <c r="J10" s="844"/>
      <c r="K10" s="844"/>
      <c r="L10" s="844"/>
      <c r="M10" s="841"/>
      <c r="N10" s="833">
        <f>(N11+N13+N15)/3</f>
        <v>1.2187438762004732</v>
      </c>
      <c r="O10" s="834">
        <f>(O11+O13+O15)</f>
        <v>7.1429080000000003</v>
      </c>
      <c r="P10" s="835">
        <f>O10/10.714284</f>
        <v>0.66667152000077656</v>
      </c>
      <c r="Q10" s="844"/>
      <c r="R10" s="845"/>
      <c r="S10" s="845"/>
      <c r="U10" s="846"/>
      <c r="V10" s="847"/>
      <c r="W10" s="848"/>
      <c r="X10" s="848"/>
      <c r="Y10" s="848"/>
      <c r="Z10" s="849"/>
      <c r="AA10" s="846"/>
    </row>
    <row r="11" spans="1:27" ht="27.6" customHeight="1" thickBot="1" x14ac:dyDescent="0.5">
      <c r="A11" s="1669">
        <v>1</v>
      </c>
      <c r="B11" s="1680" t="s">
        <v>4</v>
      </c>
      <c r="C11" s="1682">
        <f>M5</f>
        <v>3.5714285714285716</v>
      </c>
      <c r="D11" s="850" t="s">
        <v>111</v>
      </c>
      <c r="E11" s="851">
        <f>$C$11/2</f>
        <v>1.7857142857142858</v>
      </c>
      <c r="F11" s="852" t="s">
        <v>5</v>
      </c>
      <c r="G11" s="905">
        <f>E11/1</f>
        <v>1.7857142857142858</v>
      </c>
      <c r="H11" s="854">
        <v>18.696000000000002</v>
      </c>
      <c r="I11" s="855">
        <v>14.536</v>
      </c>
      <c r="J11" s="856">
        <f>(H11-I11)</f>
        <v>4.1600000000000019</v>
      </c>
      <c r="K11" s="857">
        <f>(0.3*I11)*6/10</f>
        <v>2.6164799999999997</v>
      </c>
      <c r="L11" s="858">
        <f>I11+K11</f>
        <v>17.152480000000001</v>
      </c>
      <c r="M11" s="859">
        <f>IF(K11&lt;&gt;0,J11/K11,"0%")</f>
        <v>1.5899223384088557</v>
      </c>
      <c r="N11" s="1674">
        <f>(((G11/C11)*M11)+((G12/C11)*M12))</f>
        <v>1.1638676250674056</v>
      </c>
      <c r="O11" s="1676">
        <f>IF((((G11/C11)*M11)+((G12/C11)*M12))&gt;=1,3.57148,IF((((G11/C11)*M11)+((G12/C11)*M12))&lt;=0,0, (((G11/C11)*M11)+((G12/C11)*M12))*3.571428))</f>
        <v>3.5714800000000002</v>
      </c>
      <c r="P11" s="1678">
        <f>O11/3.571428</f>
        <v>1.0000145600023296</v>
      </c>
      <c r="Q11" s="860" t="s">
        <v>97</v>
      </c>
      <c r="R11" s="225" t="s">
        <v>570</v>
      </c>
      <c r="S11" s="1363" t="s">
        <v>571</v>
      </c>
      <c r="V11" s="861" t="s">
        <v>109</v>
      </c>
      <c r="W11" s="862" t="e">
        <f>#REF!</f>
        <v>#REF!</v>
      </c>
      <c r="X11" s="863"/>
      <c r="Y11" s="863"/>
      <c r="Z11" s="864"/>
    </row>
    <row r="12" spans="1:27" ht="27" customHeight="1" thickBot="1" x14ac:dyDescent="0.5">
      <c r="A12" s="1669"/>
      <c r="B12" s="1681"/>
      <c r="C12" s="1683"/>
      <c r="D12" s="865" t="s">
        <v>112</v>
      </c>
      <c r="E12" s="866">
        <f>$C$11/2</f>
        <v>1.7857142857142858</v>
      </c>
      <c r="F12" s="867" t="s">
        <v>281</v>
      </c>
      <c r="G12" s="919">
        <f>E12/1</f>
        <v>1.7857142857142858</v>
      </c>
      <c r="H12" s="1364">
        <v>22.5</v>
      </c>
      <c r="I12" s="1365">
        <v>25.3</v>
      </c>
      <c r="J12" s="871">
        <f>I12-H12</f>
        <v>2.8000000000000007</v>
      </c>
      <c r="K12" s="872">
        <f>(0.25*I12)*(6/10)</f>
        <v>3.7949999999999999</v>
      </c>
      <c r="L12" s="873">
        <f>I12-K12</f>
        <v>21.505000000000003</v>
      </c>
      <c r="M12" s="874">
        <f>IF(K12&lt;&gt;0,J12/K12,"0%")</f>
        <v>0.73781291172595542</v>
      </c>
      <c r="N12" s="1675"/>
      <c r="O12" s="1677"/>
      <c r="P12" s="1679"/>
      <c r="Q12" s="875" t="s">
        <v>98</v>
      </c>
      <c r="R12" s="503" t="s">
        <v>572</v>
      </c>
      <c r="S12" s="1363" t="s">
        <v>573</v>
      </c>
      <c r="V12" s="876">
        <v>0.02</v>
      </c>
      <c r="W12" s="877" t="e">
        <f>(W11-(W11*V12))</f>
        <v>#REF!</v>
      </c>
      <c r="X12" s="877" t="e">
        <f>W11-(V12*W11)</f>
        <v>#REF!</v>
      </c>
      <c r="Y12" s="863"/>
      <c r="Z12" s="864"/>
    </row>
    <row r="13" spans="1:27" ht="32.450000000000003" customHeight="1" x14ac:dyDescent="0.45">
      <c r="A13" s="1669">
        <v>2</v>
      </c>
      <c r="B13" s="1670" t="s">
        <v>6</v>
      </c>
      <c r="C13" s="1672">
        <f>M5</f>
        <v>3.5714285714285716</v>
      </c>
      <c r="D13" s="878" t="s">
        <v>273</v>
      </c>
      <c r="E13" s="879">
        <f>$C$13/2</f>
        <v>1.7857142857142858</v>
      </c>
      <c r="F13" s="880" t="s">
        <v>7</v>
      </c>
      <c r="G13" s="1366">
        <f>E13/1</f>
        <v>1.7857142857142858</v>
      </c>
      <c r="H13" s="1215">
        <v>11</v>
      </c>
      <c r="I13" s="1216">
        <v>10</v>
      </c>
      <c r="J13" s="884">
        <f>IF(I13=H13,(5-H13),I13-H13)</f>
        <v>-1</v>
      </c>
      <c r="K13" s="885">
        <f>IF(I13&lt;=5,0,((I13-5)*(6/10)))</f>
        <v>3</v>
      </c>
      <c r="L13" s="886">
        <f>I13-K13</f>
        <v>7</v>
      </c>
      <c r="M13" s="887">
        <f>IF(I13&lt;=5,(1+(5-H13)/5),(J13/K13))</f>
        <v>-0.33333333333333331</v>
      </c>
      <c r="N13" s="1674">
        <f>(((G13/C13)*M13)+((G14/C13)*M14))</f>
        <v>-4.306220095693801E-2</v>
      </c>
      <c r="O13" s="1676">
        <f>IF((((G13/C13)*M13)+((G14/C13)*M14))&gt;=1,3.57148,IF((((G13/C13)*M13)+((G14/C13)*M14))&lt;=0,0, (((G13/C13)*M13)+((G14/C13)*M14))*3.571428))</f>
        <v>0</v>
      </c>
      <c r="P13" s="1678">
        <f>O13/3.571428</f>
        <v>0</v>
      </c>
      <c r="Q13" s="888" t="s">
        <v>99</v>
      </c>
      <c r="R13" s="178" t="s">
        <v>574</v>
      </c>
      <c r="S13" s="504"/>
      <c r="V13" s="876">
        <v>0.02</v>
      </c>
      <c r="W13" s="877" t="e">
        <f>(#REF!-(#REF!*V13))</f>
        <v>#REF!</v>
      </c>
      <c r="X13" s="877" t="e">
        <f>(W11-(V12*W11))-((W11-(V12*W11))*0.02)-(((W11-(V12*W11))-((W11-(V12*W11))*0.02))*0.02)-(((W11-(V12*W11))-((W11-(V12*W11))*0.02)-(((W11-(V12*W11))-((W11-(V12*W11))*0.02))*0.02))*0.02)</f>
        <v>#REF!</v>
      </c>
      <c r="Y13" s="889" t="e">
        <f>(W11-W14)/W11</f>
        <v>#REF!</v>
      </c>
      <c r="Z13" s="864"/>
    </row>
    <row r="14" spans="1:27" ht="33" customHeight="1" thickBot="1" x14ac:dyDescent="0.5">
      <c r="A14" s="1669"/>
      <c r="B14" s="1671"/>
      <c r="C14" s="1673"/>
      <c r="D14" s="865" t="s">
        <v>274</v>
      </c>
      <c r="E14" s="890">
        <f>$C$13/2</f>
        <v>1.7857142857142858</v>
      </c>
      <c r="F14" s="891" t="s">
        <v>8</v>
      </c>
      <c r="G14" s="1367">
        <f>E14/1</f>
        <v>1.7857142857142858</v>
      </c>
      <c r="H14" s="1217">
        <v>81.099999999999994</v>
      </c>
      <c r="I14" s="1218">
        <v>78</v>
      </c>
      <c r="J14" s="895">
        <f>H14-I14</f>
        <v>3.0999999999999943</v>
      </c>
      <c r="K14" s="896">
        <f>(0.95*(100-I14))*6/10</f>
        <v>12.54</v>
      </c>
      <c r="L14" s="897">
        <f>K14+I14</f>
        <v>90.539999999999992</v>
      </c>
      <c r="M14" s="898">
        <f>IF(K14&lt;&gt;0,J14/K14,"1%")</f>
        <v>0.2472089314194573</v>
      </c>
      <c r="N14" s="1675"/>
      <c r="O14" s="1677"/>
      <c r="P14" s="1679"/>
      <c r="Q14" s="899" t="s">
        <v>100</v>
      </c>
      <c r="R14" s="505" t="s">
        <v>575</v>
      </c>
      <c r="S14" s="353"/>
      <c r="V14" s="900">
        <v>0.02</v>
      </c>
      <c r="W14" s="901" t="e">
        <f>(#REF!-(#REF!*V14))</f>
        <v>#REF!</v>
      </c>
      <c r="X14" s="901"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02" t="e">
        <f>W11-X14</f>
        <v>#REF!</v>
      </c>
      <c r="Z14" s="903"/>
    </row>
    <row r="15" spans="1:27" ht="22.25" customHeight="1" x14ac:dyDescent="0.45">
      <c r="A15" s="1710">
        <v>3</v>
      </c>
      <c r="B15" s="1711" t="s">
        <v>9</v>
      </c>
      <c r="C15" s="1713">
        <f>M5</f>
        <v>3.5714285714285716</v>
      </c>
      <c r="D15" s="1711" t="s">
        <v>113</v>
      </c>
      <c r="E15" s="1713">
        <f>$C$15/1</f>
        <v>3.5714285714285716</v>
      </c>
      <c r="F15" s="904" t="s">
        <v>221</v>
      </c>
      <c r="G15" s="905">
        <f>$E$15/3</f>
        <v>1.1904761904761905</v>
      </c>
      <c r="H15" s="906">
        <v>36.9</v>
      </c>
      <c r="I15" s="907">
        <v>27.8</v>
      </c>
      <c r="J15" s="908">
        <f>H15-I15</f>
        <v>9.0999999999999979</v>
      </c>
      <c r="K15" s="909">
        <f>(0.5*I15)*6/10</f>
        <v>8.34</v>
      </c>
      <c r="L15" s="858">
        <f>I15+K15</f>
        <v>36.14</v>
      </c>
      <c r="M15" s="859">
        <f>IF(K15&lt;&gt;0,J15/K15,"0%")</f>
        <v>1.0911270983213426</v>
      </c>
      <c r="N15" s="1715">
        <f>(((G15/C15)*M15)+((G16/C15)*M16)+((G17/C15)*M17))</f>
        <v>2.5354262044909524</v>
      </c>
      <c r="O15" s="1702">
        <f>IF((((G15/C15)*M15)+((G16/C15)*M16)+((G17/C15)*M17))&gt;=1,3.571428,IF((((G15/C15)*M15)+((G16/C15)*M16)+((G17/C15)*M17))&lt;=0,0,(((G15/C15)*M15)+((G16/C15)*M16)+((G17/C15)*M17))*3.571428))</f>
        <v>3.571428</v>
      </c>
      <c r="P15" s="1678">
        <f>O15/3.571428</f>
        <v>1</v>
      </c>
      <c r="Q15" s="910" t="s">
        <v>101</v>
      </c>
      <c r="R15" s="506"/>
      <c r="S15" s="411"/>
    </row>
    <row r="16" spans="1:27" ht="42.75" x14ac:dyDescent="0.45">
      <c r="A16" s="1710"/>
      <c r="B16" s="1711"/>
      <c r="C16" s="1713"/>
      <c r="D16" s="1711"/>
      <c r="E16" s="1713"/>
      <c r="F16" s="911" t="s">
        <v>220</v>
      </c>
      <c r="G16" s="912">
        <f t="shared" ref="G16:G17" si="0">$E$15/3</f>
        <v>1.1904761904761905</v>
      </c>
      <c r="H16" s="180">
        <v>37.5</v>
      </c>
      <c r="I16" s="366"/>
      <c r="J16" s="913">
        <f>H16-I16</f>
        <v>37.5</v>
      </c>
      <c r="K16" s="914">
        <f>(0.5*I16)*6/10</f>
        <v>0</v>
      </c>
      <c r="L16" s="915">
        <f t="shared" ref="L16:L17" si="1">I16+K16</f>
        <v>0</v>
      </c>
      <c r="M16" s="916" t="str">
        <f>IF(K16&lt;&gt;0,J16/K16,"0%")</f>
        <v>0%</v>
      </c>
      <c r="N16" s="1716"/>
      <c r="O16" s="1700"/>
      <c r="P16" s="1703"/>
      <c r="Q16" s="917" t="s">
        <v>95</v>
      </c>
      <c r="R16" s="569" t="s">
        <v>576</v>
      </c>
      <c r="S16" s="739" t="s">
        <v>577</v>
      </c>
    </row>
    <row r="17" spans="1:19" ht="25.25" customHeight="1" thickBot="1" x14ac:dyDescent="0.5">
      <c r="A17" s="1710"/>
      <c r="B17" s="1712"/>
      <c r="C17" s="1714"/>
      <c r="D17" s="1712"/>
      <c r="E17" s="1714"/>
      <c r="F17" s="918" t="s">
        <v>10</v>
      </c>
      <c r="G17" s="919">
        <f t="shared" si="0"/>
        <v>1.1904761904761905</v>
      </c>
      <c r="H17" s="94">
        <v>32.5</v>
      </c>
      <c r="I17" s="95">
        <v>11</v>
      </c>
      <c r="J17" s="920">
        <f>H17-I17</f>
        <v>21.5</v>
      </c>
      <c r="K17" s="921">
        <f>(0.5*I17)*6/10</f>
        <v>3.3</v>
      </c>
      <c r="L17" s="873">
        <f t="shared" si="1"/>
        <v>14.3</v>
      </c>
      <c r="M17" s="874">
        <f>IF(K17&lt;&gt;0,J17/K17,"0%")</f>
        <v>6.5151515151515156</v>
      </c>
      <c r="N17" s="1717"/>
      <c r="O17" s="1701"/>
      <c r="P17" s="1703"/>
      <c r="Q17" s="922" t="s">
        <v>162</v>
      </c>
      <c r="R17" s="511" t="s">
        <v>575</v>
      </c>
      <c r="S17" s="355"/>
    </row>
    <row r="18" spans="1:19" ht="21.4" thickBot="1" x14ac:dyDescent="0.7">
      <c r="A18" s="14"/>
      <c r="B18" s="1704" t="s">
        <v>11</v>
      </c>
      <c r="C18" s="1705"/>
      <c r="D18" s="1705"/>
      <c r="E18" s="1705"/>
      <c r="F18" s="1706"/>
      <c r="G18" s="923"/>
      <c r="H18" s="1368"/>
      <c r="I18" s="1369"/>
      <c r="J18" s="924"/>
      <c r="K18" s="924"/>
      <c r="L18" s="924"/>
      <c r="M18" s="925"/>
      <c r="N18" s="833">
        <f>N19</f>
        <v>0.27288393702155173</v>
      </c>
      <c r="O18" s="834">
        <f>O19</f>
        <v>0.97458533342900644</v>
      </c>
      <c r="P18" s="835">
        <f>O18/3.571428</f>
        <v>0.27288393702155173</v>
      </c>
      <c r="Q18" s="924"/>
      <c r="R18" s="740"/>
      <c r="S18" s="666"/>
    </row>
    <row r="19" spans="1:19" ht="34.25" customHeight="1" x14ac:dyDescent="0.45">
      <c r="A19" s="1669">
        <v>4</v>
      </c>
      <c r="B19" s="1687" t="s">
        <v>12</v>
      </c>
      <c r="C19" s="1691">
        <f>M5</f>
        <v>3.5714285714285716</v>
      </c>
      <c r="D19" s="926" t="s">
        <v>114</v>
      </c>
      <c r="E19" s="853">
        <f>$C$19/4</f>
        <v>0.8928571428571429</v>
      </c>
      <c r="F19" s="927" t="s">
        <v>222</v>
      </c>
      <c r="G19" s="905">
        <f>E19/1</f>
        <v>0.8928571428571429</v>
      </c>
      <c r="H19" s="928">
        <v>29.7</v>
      </c>
      <c r="I19" s="929">
        <v>23.5</v>
      </c>
      <c r="J19" s="930">
        <f>H19-I19</f>
        <v>6.1999999999999993</v>
      </c>
      <c r="K19" s="909">
        <f>(2*I19)*6/10</f>
        <v>28.2</v>
      </c>
      <c r="L19" s="931">
        <f t="shared" ref="L19:L22" si="2">K19+I19</f>
        <v>51.7</v>
      </c>
      <c r="M19" s="859">
        <f>IF(K19&lt;&gt;0,J19/K19,"0%")</f>
        <v>0.21985815602836878</v>
      </c>
      <c r="N19" s="1695">
        <f>(((G19/C19)*M19)+((G20/C19)*M20)+((G21/C19)*M21)+((G22/C19)*M22))</f>
        <v>0.27288393702155173</v>
      </c>
      <c r="O19" s="1699">
        <f>IF((((G19/C19)*M19)+((G20/C19)*M20)+((G21/C19)*M21)+((G22/C19)*M22))&gt;=1,3.571428,IF((((G19/C19)*M19)+((G20/C19)*M20)+((G21/C19)*M21)+((G22/C19)*M22))&lt;=0,0,((((G19/C19)*M19)+((G20/C19)*M20)+((G21/C19)*M21)+((G22/C19)*M22))*3.571428)))</f>
        <v>0.97458533342900644</v>
      </c>
      <c r="P19" s="1678">
        <f>O19/3.571428</f>
        <v>0.27288393702155173</v>
      </c>
      <c r="Q19" s="932" t="s">
        <v>163</v>
      </c>
      <c r="R19" s="741" t="s">
        <v>578</v>
      </c>
      <c r="S19" s="196"/>
    </row>
    <row r="20" spans="1:19" ht="39" customHeight="1" x14ac:dyDescent="0.45">
      <c r="A20" s="1669"/>
      <c r="B20" s="1688"/>
      <c r="C20" s="1692"/>
      <c r="D20" s="933" t="s">
        <v>152</v>
      </c>
      <c r="E20" s="934">
        <f>($C$19/4)</f>
        <v>0.8928571428571429</v>
      </c>
      <c r="F20" s="935" t="s">
        <v>265</v>
      </c>
      <c r="G20" s="912">
        <f>E20/1</f>
        <v>0.8928571428571429</v>
      </c>
      <c r="H20" s="96">
        <v>87</v>
      </c>
      <c r="I20" s="90">
        <v>77.3</v>
      </c>
      <c r="J20" s="936">
        <f t="shared" ref="J20:J24" si="3">H20-I20</f>
        <v>9.7000000000000028</v>
      </c>
      <c r="K20" s="914">
        <f>(100-I20)*(6/10)</f>
        <v>13.620000000000001</v>
      </c>
      <c r="L20" s="937">
        <f t="shared" si="2"/>
        <v>90.92</v>
      </c>
      <c r="M20" s="916">
        <f>IF(K20&lt;&gt;0,J20/K20,"0%")</f>
        <v>0.71218795888399433</v>
      </c>
      <c r="N20" s="1696"/>
      <c r="O20" s="1700"/>
      <c r="P20" s="1703"/>
      <c r="Q20" s="938" t="s">
        <v>164</v>
      </c>
      <c r="R20" s="486" t="s">
        <v>579</v>
      </c>
      <c r="S20" s="204"/>
    </row>
    <row r="21" spans="1:19" ht="56.45" customHeight="1" x14ac:dyDescent="0.45">
      <c r="A21" s="1669"/>
      <c r="B21" s="1688"/>
      <c r="C21" s="1692"/>
      <c r="D21" s="933" t="s">
        <v>153</v>
      </c>
      <c r="E21" s="934">
        <f t="shared" ref="E21:E22" si="4">($C$19/4)</f>
        <v>0.8928571428571429</v>
      </c>
      <c r="F21" s="935" t="s">
        <v>155</v>
      </c>
      <c r="G21" s="912">
        <f>E21/1</f>
        <v>0.8928571428571429</v>
      </c>
      <c r="H21" s="357"/>
      <c r="I21" s="363"/>
      <c r="J21" s="936">
        <f t="shared" si="3"/>
        <v>0</v>
      </c>
      <c r="K21" s="914">
        <f>(0.3*I21)*6/10</f>
        <v>0</v>
      </c>
      <c r="L21" s="937">
        <f t="shared" si="2"/>
        <v>0</v>
      </c>
      <c r="M21" s="916" t="str">
        <f>IF(K21&lt;&gt;0,J21/K21,"0%")</f>
        <v>0%</v>
      </c>
      <c r="N21" s="1696"/>
      <c r="O21" s="1700"/>
      <c r="P21" s="1703"/>
      <c r="Q21" s="938" t="s">
        <v>165</v>
      </c>
      <c r="R21" s="486"/>
      <c r="S21" s="739" t="s">
        <v>580</v>
      </c>
    </row>
    <row r="22" spans="1:19" ht="36.6" customHeight="1" thickBot="1" x14ac:dyDescent="0.5">
      <c r="A22" s="1669"/>
      <c r="B22" s="1707"/>
      <c r="C22" s="1708"/>
      <c r="D22" s="891" t="s">
        <v>154</v>
      </c>
      <c r="E22" s="939">
        <f t="shared" si="4"/>
        <v>0.8928571428571429</v>
      </c>
      <c r="F22" s="940" t="s">
        <v>156</v>
      </c>
      <c r="G22" s="941">
        <f>E22/1</f>
        <v>0.8928571428571429</v>
      </c>
      <c r="H22" s="942">
        <v>43.3</v>
      </c>
      <c r="I22" s="97">
        <v>37.299999999999997</v>
      </c>
      <c r="J22" s="943">
        <f t="shared" si="3"/>
        <v>6</v>
      </c>
      <c r="K22" s="921">
        <f>(100-I22)*(6/10)</f>
        <v>37.619999999999997</v>
      </c>
      <c r="L22" s="944">
        <f t="shared" si="2"/>
        <v>74.919999999999987</v>
      </c>
      <c r="M22" s="874">
        <f>IF(K22&lt;&gt;0,J22/K22,"100%")</f>
        <v>0.15948963317384371</v>
      </c>
      <c r="N22" s="1709"/>
      <c r="O22" s="1701"/>
      <c r="P22" s="1679"/>
      <c r="Q22" s="945" t="s">
        <v>95</v>
      </c>
      <c r="R22" s="742" t="s">
        <v>579</v>
      </c>
      <c r="S22" s="204"/>
    </row>
    <row r="23" spans="1:19" ht="20.45" customHeight="1" thickBot="1" x14ac:dyDescent="0.5">
      <c r="B23" s="1684" t="s">
        <v>13</v>
      </c>
      <c r="C23" s="1685"/>
      <c r="D23" s="1685"/>
      <c r="E23" s="1685"/>
      <c r="F23" s="1686"/>
      <c r="G23" s="923"/>
      <c r="H23" s="1368"/>
      <c r="I23" s="1369"/>
      <c r="J23" s="946"/>
      <c r="K23" s="947"/>
      <c r="L23" s="947"/>
      <c r="M23" s="925"/>
      <c r="N23" s="833">
        <f>N24</f>
        <v>7.7678853783143542E-2</v>
      </c>
      <c r="O23" s="834">
        <f>O24</f>
        <v>0.27742443340902478</v>
      </c>
      <c r="P23" s="835">
        <f>O23/3.571428</f>
        <v>7.7678853783143542E-2</v>
      </c>
      <c r="Q23" s="924"/>
      <c r="R23" s="685"/>
      <c r="S23" s="685"/>
    </row>
    <row r="24" spans="1:19" ht="36" customHeight="1" x14ac:dyDescent="0.45">
      <c r="A24" s="1669">
        <v>5</v>
      </c>
      <c r="B24" s="1687" t="s">
        <v>14</v>
      </c>
      <c r="C24" s="1691">
        <f>M5</f>
        <v>3.5714285714285716</v>
      </c>
      <c r="D24" s="926" t="s">
        <v>115</v>
      </c>
      <c r="E24" s="853">
        <f>$C$24/4</f>
        <v>0.8928571428571429</v>
      </c>
      <c r="F24" s="926" t="s">
        <v>280</v>
      </c>
      <c r="G24" s="853">
        <f>E24/1</f>
        <v>0.8928571428571429</v>
      </c>
      <c r="H24" s="373"/>
      <c r="I24" s="375"/>
      <c r="J24" s="949">
        <f t="shared" si="3"/>
        <v>0</v>
      </c>
      <c r="K24" s="909">
        <f>(0.3*I24)*6/10</f>
        <v>0</v>
      </c>
      <c r="L24" s="931">
        <f>K24+I24</f>
        <v>0</v>
      </c>
      <c r="M24" s="859" t="str">
        <f t="shared" ref="M24:M29" si="5">IF(K24&lt;&gt;0,J24/K24,"0%")</f>
        <v>0%</v>
      </c>
      <c r="N24" s="1695">
        <f>(((G24/C24)*M24)+((G25/C24)*M25)+ ((G26/C24)*M26)+((G27/C24)*M27)+((G28/C24)*M28)+((G29/C24)*M29)+((G30/C24)*M30)+((G31/C24)*M31))</f>
        <v>7.7678853783143542E-2</v>
      </c>
      <c r="O24" s="1699">
        <f>IF((((G24/C24)*M24)+((G25/C24)*M25)+ ((G26/C24)*M26)+((G27/C24)*M27)+((G28/C24)*M28)+((G29/C24)*M29)+((G30/C24)*M30)+((G31/C24)*M31))&gt;=1,3.571428,IF((((G24/C24)*M24)+((G25/C24)*M25)+ ((G26/C24)*M26)+((G27/C24)*M27)+((G28/C24)*M28)+((G29/C24)*M29)+((G30/C24)*M30)+((G31/C24)*M31))&lt;=0,0,((((G24/C24)*M24)+((G25/C24)*M25)+ ((G26/C24)*M26)+((G27/C24)*M27)+((G28/C24)*M28)+((G29/C24)*M29)+((G30/C24)*M30)+((G31/C24)*M31))*3.571428)))</f>
        <v>0.27742443340902478</v>
      </c>
      <c r="P24" s="1678">
        <f>O24/3.571428</f>
        <v>7.7678853783143542E-2</v>
      </c>
      <c r="Q24" s="950" t="s">
        <v>166</v>
      </c>
      <c r="R24" s="205"/>
      <c r="S24" s="743" t="s">
        <v>580</v>
      </c>
    </row>
    <row r="25" spans="1:19" ht="43.15" customHeight="1" x14ac:dyDescent="0.45">
      <c r="A25" s="1669"/>
      <c r="B25" s="1688"/>
      <c r="C25" s="1692"/>
      <c r="D25" s="1721" t="s">
        <v>158</v>
      </c>
      <c r="E25" s="1723">
        <v>0.9</v>
      </c>
      <c r="F25" s="933" t="s">
        <v>15</v>
      </c>
      <c r="G25" s="934">
        <f>$E$25/3</f>
        <v>0.3</v>
      </c>
      <c r="H25" s="96">
        <v>618</v>
      </c>
      <c r="I25" s="381"/>
      <c r="J25" s="951">
        <f t="shared" ref="J25:J30" si="6">I25-H25</f>
        <v>-618</v>
      </c>
      <c r="K25" s="914">
        <f>(0.5*I25)*6/10</f>
        <v>0</v>
      </c>
      <c r="L25" s="937">
        <f t="shared" ref="L25:L30" si="7">I25-K25</f>
        <v>0</v>
      </c>
      <c r="M25" s="916" t="str">
        <f t="shared" si="5"/>
        <v>0%</v>
      </c>
      <c r="N25" s="1696"/>
      <c r="O25" s="1700"/>
      <c r="P25" s="1703"/>
      <c r="Q25" s="952" t="s">
        <v>167</v>
      </c>
      <c r="R25" s="207" t="s">
        <v>581</v>
      </c>
      <c r="S25" s="739" t="s">
        <v>577</v>
      </c>
    </row>
    <row r="26" spans="1:19" ht="19.8" customHeight="1" x14ac:dyDescent="0.45">
      <c r="A26" s="1669"/>
      <c r="B26" s="1688"/>
      <c r="C26" s="1692"/>
      <c r="D26" s="1722"/>
      <c r="E26" s="1693"/>
      <c r="F26" s="933" t="s">
        <v>16</v>
      </c>
      <c r="G26" s="934">
        <f t="shared" ref="G26:G27" si="8">$E$25/3</f>
        <v>0.3</v>
      </c>
      <c r="H26" s="96">
        <v>42</v>
      </c>
      <c r="I26" s="90">
        <v>34</v>
      </c>
      <c r="J26" s="951">
        <f t="shared" si="6"/>
        <v>-8</v>
      </c>
      <c r="K26" s="914">
        <f>(0.8*I26)*6/10</f>
        <v>16.32</v>
      </c>
      <c r="L26" s="937">
        <f t="shared" si="7"/>
        <v>17.68</v>
      </c>
      <c r="M26" s="916">
        <f t="shared" si="5"/>
        <v>-0.49019607843137253</v>
      </c>
      <c r="N26" s="1696"/>
      <c r="O26" s="1700"/>
      <c r="P26" s="1703"/>
      <c r="Q26" s="952" t="s">
        <v>168</v>
      </c>
      <c r="R26" s="207"/>
      <c r="S26" s="204" t="s">
        <v>582</v>
      </c>
    </row>
    <row r="27" spans="1:19" ht="19.8" customHeight="1" x14ac:dyDescent="0.45">
      <c r="A27" s="1669"/>
      <c r="B27" s="1688"/>
      <c r="C27" s="1692"/>
      <c r="D27" s="1722"/>
      <c r="E27" s="1693"/>
      <c r="F27" s="933" t="s">
        <v>17</v>
      </c>
      <c r="G27" s="934">
        <f t="shared" si="8"/>
        <v>0.3</v>
      </c>
      <c r="H27" s="96">
        <v>86</v>
      </c>
      <c r="I27" s="90">
        <v>85</v>
      </c>
      <c r="J27" s="951">
        <f t="shared" si="6"/>
        <v>-1</v>
      </c>
      <c r="K27" s="914">
        <f>(0.5*I27)*(6/10)</f>
        <v>25.5</v>
      </c>
      <c r="L27" s="937">
        <f t="shared" si="7"/>
        <v>59.5</v>
      </c>
      <c r="M27" s="916">
        <f t="shared" si="5"/>
        <v>-3.9215686274509803E-2</v>
      </c>
      <c r="N27" s="1696"/>
      <c r="O27" s="1700"/>
      <c r="P27" s="1703"/>
      <c r="Q27" s="952" t="s">
        <v>169</v>
      </c>
      <c r="R27" s="206" t="s">
        <v>583</v>
      </c>
      <c r="S27" s="204" t="s">
        <v>584</v>
      </c>
    </row>
    <row r="28" spans="1:19" ht="30.6" customHeight="1" x14ac:dyDescent="0.45">
      <c r="A28" s="16"/>
      <c r="B28" s="1688"/>
      <c r="C28" s="1692"/>
      <c r="D28" s="1721" t="s">
        <v>116</v>
      </c>
      <c r="E28" s="1723">
        <f t="shared" ref="E28:E31" si="9">$C$24/4</f>
        <v>0.8928571428571429</v>
      </c>
      <c r="F28" s="933" t="s">
        <v>148</v>
      </c>
      <c r="G28" s="934">
        <f>$E$28/3</f>
        <v>0.29761904761904762</v>
      </c>
      <c r="H28" s="1370">
        <v>852</v>
      </c>
      <c r="I28" s="1371">
        <v>916</v>
      </c>
      <c r="J28" s="951">
        <f t="shared" si="6"/>
        <v>64</v>
      </c>
      <c r="K28" s="914">
        <f>(0.5*I28)*(6/10)</f>
        <v>274.8</v>
      </c>
      <c r="L28" s="937">
        <f t="shared" si="7"/>
        <v>641.20000000000005</v>
      </c>
      <c r="M28" s="916">
        <f t="shared" si="5"/>
        <v>0.23289665211062591</v>
      </c>
      <c r="N28" s="1697"/>
      <c r="O28" s="1700"/>
      <c r="P28" s="1703"/>
      <c r="Q28" s="952" t="s">
        <v>170</v>
      </c>
      <c r="R28" s="206"/>
      <c r="S28" s="739" t="s">
        <v>636</v>
      </c>
    </row>
    <row r="29" spans="1:19" ht="44.65" customHeight="1" x14ac:dyDescent="0.45">
      <c r="A29" s="16"/>
      <c r="B29" s="1688"/>
      <c r="C29" s="1692"/>
      <c r="D29" s="1722"/>
      <c r="E29" s="1693"/>
      <c r="F29" s="933" t="s">
        <v>149</v>
      </c>
      <c r="G29" s="934">
        <f t="shared" ref="G29:G30" si="10">$E$28/3</f>
        <v>0.29761904761904762</v>
      </c>
      <c r="H29" s="96">
        <v>852</v>
      </c>
      <c r="I29" s="1372">
        <v>916</v>
      </c>
      <c r="J29" s="951">
        <f t="shared" si="6"/>
        <v>64</v>
      </c>
      <c r="K29" s="914">
        <f>(0.5*I29)*(6/10)</f>
        <v>274.8</v>
      </c>
      <c r="L29" s="937">
        <f t="shared" si="7"/>
        <v>641.20000000000005</v>
      </c>
      <c r="M29" s="916">
        <f t="shared" si="5"/>
        <v>0.23289665211062591</v>
      </c>
      <c r="N29" s="1697"/>
      <c r="O29" s="1700"/>
      <c r="P29" s="1703"/>
      <c r="Q29" s="952" t="s">
        <v>171</v>
      </c>
      <c r="R29" s="206" t="s">
        <v>585</v>
      </c>
      <c r="S29" s="739" t="s">
        <v>577</v>
      </c>
    </row>
    <row r="30" spans="1:19" ht="20.45" customHeight="1" x14ac:dyDescent="0.45">
      <c r="A30" s="16"/>
      <c r="B30" s="1689"/>
      <c r="C30" s="1693"/>
      <c r="D30" s="1722"/>
      <c r="E30" s="1693"/>
      <c r="F30" s="933" t="s">
        <v>150</v>
      </c>
      <c r="G30" s="934">
        <f t="shared" si="10"/>
        <v>0.29761904761904762</v>
      </c>
      <c r="H30" s="96">
        <v>0</v>
      </c>
      <c r="I30" s="90">
        <v>0</v>
      </c>
      <c r="J30" s="951">
        <f t="shared" si="6"/>
        <v>0</v>
      </c>
      <c r="K30" s="914">
        <f>(0.5*I30)*(6/10)</f>
        <v>0</v>
      </c>
      <c r="L30" s="937">
        <f t="shared" si="7"/>
        <v>0</v>
      </c>
      <c r="M30" s="916" t="str">
        <f>IF(H30=0,"100%",J30/K30)</f>
        <v>100%</v>
      </c>
      <c r="N30" s="1697"/>
      <c r="O30" s="1700"/>
      <c r="P30" s="1703"/>
      <c r="Q30" s="952" t="s">
        <v>172</v>
      </c>
      <c r="R30" s="206"/>
      <c r="S30" s="204"/>
    </row>
    <row r="31" spans="1:19" ht="34.9" customHeight="1" thickBot="1" x14ac:dyDescent="0.5">
      <c r="A31" s="16"/>
      <c r="B31" s="1690"/>
      <c r="C31" s="1694"/>
      <c r="D31" s="953" t="s">
        <v>117</v>
      </c>
      <c r="E31" s="868">
        <f t="shared" si="9"/>
        <v>0.8928571428571429</v>
      </c>
      <c r="F31" s="954" t="s">
        <v>223</v>
      </c>
      <c r="G31" s="868">
        <f>E31/1</f>
        <v>0.8928571428571429</v>
      </c>
      <c r="H31" s="360">
        <v>90.2</v>
      </c>
      <c r="I31" s="376"/>
      <c r="J31" s="955">
        <f t="shared" ref="J31" si="11">H31-I31</f>
        <v>90.2</v>
      </c>
      <c r="K31" s="921">
        <f>(100-I31)*(6/10)</f>
        <v>60</v>
      </c>
      <c r="L31" s="944">
        <f>K31+I31</f>
        <v>60</v>
      </c>
      <c r="M31" s="898">
        <f>IF(I31=0,0%,J31/K31)</f>
        <v>0</v>
      </c>
      <c r="N31" s="1698"/>
      <c r="O31" s="1701"/>
      <c r="P31" s="1679"/>
      <c r="Q31" s="956" t="s">
        <v>95</v>
      </c>
      <c r="R31" s="208"/>
      <c r="S31" s="744" t="s">
        <v>637</v>
      </c>
    </row>
    <row r="32" spans="1:19" ht="20.45" customHeight="1" thickBot="1" x14ac:dyDescent="0.5">
      <c r="B32" s="1724" t="s">
        <v>18</v>
      </c>
      <c r="C32" s="1725"/>
      <c r="D32" s="1725"/>
      <c r="E32" s="1725"/>
      <c r="F32" s="1726"/>
      <c r="G32" s="923"/>
      <c r="H32" s="1373"/>
      <c r="I32" s="1374"/>
      <c r="J32" s="957"/>
      <c r="K32" s="958"/>
      <c r="L32" s="959"/>
      <c r="M32" s="960"/>
      <c r="N32" s="833">
        <f>(N33+N34+N35+N36)/4</f>
        <v>-9.2638072327688899E-3</v>
      </c>
      <c r="O32" s="834">
        <f>(O33+O34+O35+O36)</f>
        <v>3.3880675178491466</v>
      </c>
      <c r="P32" s="835">
        <f>O32/14.285712</f>
        <v>0.23716476419580254</v>
      </c>
      <c r="Q32" s="924"/>
      <c r="R32" s="666"/>
      <c r="S32" s="666"/>
    </row>
    <row r="33" spans="1:19" ht="33.6" customHeight="1" thickBot="1" x14ac:dyDescent="0.5">
      <c r="A33" s="16">
        <v>6</v>
      </c>
      <c r="B33" s="961" t="s">
        <v>19</v>
      </c>
      <c r="C33" s="962">
        <f>$M$5</f>
        <v>3.5714285714285716</v>
      </c>
      <c r="D33" s="963" t="s">
        <v>287</v>
      </c>
      <c r="E33" s="964">
        <f>C33/1</f>
        <v>3.5714285714285716</v>
      </c>
      <c r="F33" s="961" t="s">
        <v>288</v>
      </c>
      <c r="G33" s="962">
        <f>E33/1</f>
        <v>3.5714285714285716</v>
      </c>
      <c r="H33" s="973">
        <v>0.1</v>
      </c>
      <c r="I33" s="1207">
        <v>1.8</v>
      </c>
      <c r="J33" s="965">
        <f>IF(H33&lt;7,(H33-7),(H33-I33))</f>
        <v>-6.9</v>
      </c>
      <c r="K33" s="966">
        <f>IF((7-H33&gt;=0),(7-H33),0)</f>
        <v>6.9</v>
      </c>
      <c r="L33" s="967">
        <f>IF((I33&lt;7),7,I33)</f>
        <v>7</v>
      </c>
      <c r="M33" s="968">
        <f>IF(K33&lt;&gt;0,J33/7,(1+((H33-I33)/I33)))</f>
        <v>-0.98571428571428577</v>
      </c>
      <c r="N33" s="969">
        <f>((G33/C33)*M33)</f>
        <v>-0.98571428571428577</v>
      </c>
      <c r="O33" s="970">
        <f>IF(((G33/C33)*M33)&gt;=1,3.571428,IF(((G33/C33)*M33)&lt;=0,0,((G33/C33)*M33)*3.571428))</f>
        <v>0</v>
      </c>
      <c r="P33" s="835">
        <f>O33/3.571428</f>
        <v>0</v>
      </c>
      <c r="Q33" s="971" t="s">
        <v>97</v>
      </c>
      <c r="R33" s="209" t="s">
        <v>586</v>
      </c>
      <c r="S33" s="1328" t="s">
        <v>587</v>
      </c>
    </row>
    <row r="34" spans="1:19" ht="51" customHeight="1" thickBot="1" x14ac:dyDescent="0.5">
      <c r="A34" s="16">
        <v>7</v>
      </c>
      <c r="B34" s="961" t="s">
        <v>20</v>
      </c>
      <c r="C34" s="962">
        <f t="shared" ref="C34:C36" si="12">$M$5</f>
        <v>3.5714285714285716</v>
      </c>
      <c r="D34" s="961" t="s">
        <v>118</v>
      </c>
      <c r="E34" s="964">
        <f t="shared" ref="E34:E36" si="13">C34/1</f>
        <v>3.5714285714285716</v>
      </c>
      <c r="F34" s="961" t="s">
        <v>21</v>
      </c>
      <c r="G34" s="962">
        <f>E34/1</f>
        <v>3.5714285714285716</v>
      </c>
      <c r="H34" s="973">
        <v>13.4</v>
      </c>
      <c r="I34" s="974">
        <v>10.6</v>
      </c>
      <c r="J34" s="1229">
        <f>H34-I34</f>
        <v>2.8000000000000007</v>
      </c>
      <c r="K34" s="976">
        <f>(0.5*I34)*(6/10)</f>
        <v>3.1799999999999997</v>
      </c>
      <c r="L34" s="977">
        <f>K34+I34</f>
        <v>13.78</v>
      </c>
      <c r="M34" s="968">
        <f>IF(K34&lt;&gt;0,J34/K34,"0%")</f>
        <v>0.8805031446540883</v>
      </c>
      <c r="N34" s="969">
        <f>((G34/C34)*M34)</f>
        <v>0.8805031446540883</v>
      </c>
      <c r="O34" s="970">
        <f>IF(((G34/C34)*M34)&gt;=1,3.571428,IF(((G34/C34)*M34)&lt;=0,0,((G34/C34)*M34)*3.571428))</f>
        <v>3.1446535849056612</v>
      </c>
      <c r="P34" s="835">
        <f t="shared" ref="P34:P36" si="14">O34/3.571428</f>
        <v>0.8805031446540883</v>
      </c>
      <c r="Q34" s="971" t="s">
        <v>173</v>
      </c>
      <c r="R34" s="209" t="s">
        <v>586</v>
      </c>
      <c r="S34" s="1328" t="s">
        <v>588</v>
      </c>
    </row>
    <row r="35" spans="1:19" ht="40.799999999999997" customHeight="1" thickBot="1" x14ac:dyDescent="0.5">
      <c r="A35" s="16">
        <v>8</v>
      </c>
      <c r="B35" s="961" t="s">
        <v>22</v>
      </c>
      <c r="C35" s="962">
        <f t="shared" si="12"/>
        <v>3.5714285714285716</v>
      </c>
      <c r="D35" s="961" t="s">
        <v>119</v>
      </c>
      <c r="E35" s="964">
        <f t="shared" si="13"/>
        <v>3.5714285714285716</v>
      </c>
      <c r="F35" s="961" t="s">
        <v>23</v>
      </c>
      <c r="G35" s="962">
        <f>E35/1</f>
        <v>3.5714285714285716</v>
      </c>
      <c r="H35" s="1114">
        <v>5.1999999999999998E-2</v>
      </c>
      <c r="I35" s="1212">
        <v>1.158E-2</v>
      </c>
      <c r="J35" s="978">
        <f>H35-I35</f>
        <v>4.0419999999999998E-2</v>
      </c>
      <c r="K35" s="979">
        <f>IF((I35&gt;=1),0,((1-I35)*0.6))</f>
        <v>0.59305199999999991</v>
      </c>
      <c r="L35" s="967">
        <f>I35+K35</f>
        <v>0.60463199999999995</v>
      </c>
      <c r="M35" s="968">
        <f>IF(K35&lt;&gt;0,J35/K35,"0%")</f>
        <v>6.8155912129121907E-2</v>
      </c>
      <c r="N35" s="969">
        <f>((G35/C35)*M35)</f>
        <v>6.8155912129121907E-2</v>
      </c>
      <c r="O35" s="970">
        <f>IF(((G35/C35)*M35)&gt;=1,3.571428,IF(((G35/C35)*M35)&lt;=0,0,((G35/C35)*M35)*3.571428))</f>
        <v>0.24341393294348559</v>
      </c>
      <c r="P35" s="835">
        <f t="shared" si="14"/>
        <v>6.8155912129121907E-2</v>
      </c>
      <c r="Q35" s="971" t="s">
        <v>174</v>
      </c>
      <c r="R35" s="646"/>
      <c r="S35" s="214"/>
    </row>
    <row r="36" spans="1:19" ht="32.450000000000003" customHeight="1" thickBot="1" x14ac:dyDescent="0.5">
      <c r="A36" s="16">
        <v>9</v>
      </c>
      <c r="B36" s="961" t="s">
        <v>24</v>
      </c>
      <c r="C36" s="962">
        <f t="shared" si="12"/>
        <v>3.5714285714285716</v>
      </c>
      <c r="D36" s="961" t="s">
        <v>275</v>
      </c>
      <c r="E36" s="964">
        <f t="shared" si="13"/>
        <v>3.5714285714285716</v>
      </c>
      <c r="F36" s="980" t="s">
        <v>25</v>
      </c>
      <c r="G36" s="962">
        <f>E36/1</f>
        <v>3.5714285714285716</v>
      </c>
      <c r="H36" s="1114">
        <v>5.3</v>
      </c>
      <c r="I36" s="395"/>
      <c r="J36" s="981">
        <f>H36-I36</f>
        <v>5.3</v>
      </c>
      <c r="K36" s="982">
        <f>(1*I36)*(6/10)</f>
        <v>0</v>
      </c>
      <c r="L36" s="983">
        <f>I36+K36</f>
        <v>0</v>
      </c>
      <c r="M36" s="968" t="str">
        <f>IF(K36&lt;&gt;0,J36/K36,"0%")</f>
        <v>0%</v>
      </c>
      <c r="N36" s="969">
        <f>((G36/C36)*M36)</f>
        <v>0</v>
      </c>
      <c r="O36" s="970">
        <f>IF(((G36/C36)*M36)&gt;=1,3.571428,IF(((G36/C36)*M36)&lt;=0,0,((G36/C36)*M36)*3.571428))</f>
        <v>0</v>
      </c>
      <c r="P36" s="835">
        <f t="shared" si="14"/>
        <v>0</v>
      </c>
      <c r="Q36" s="984" t="s">
        <v>175</v>
      </c>
      <c r="R36" s="223" t="s">
        <v>589</v>
      </c>
      <c r="S36" s="739" t="s">
        <v>577</v>
      </c>
    </row>
    <row r="37" spans="1:19" ht="30.6" customHeight="1" thickBot="1" x14ac:dyDescent="0.5">
      <c r="B37" s="1718" t="s">
        <v>26</v>
      </c>
      <c r="C37" s="1719"/>
      <c r="D37" s="1719"/>
      <c r="E37" s="1719"/>
      <c r="F37" s="1720"/>
      <c r="G37" s="985"/>
      <c r="H37" s="1368"/>
      <c r="I37" s="1369"/>
      <c r="J37" s="986"/>
      <c r="K37" s="987"/>
      <c r="L37" s="987"/>
      <c r="M37" s="988"/>
      <c r="N37" s="833">
        <f>N38</f>
        <v>0</v>
      </c>
      <c r="O37" s="834">
        <f>O38</f>
        <v>0</v>
      </c>
      <c r="P37" s="835">
        <f>O37/3.571428</f>
        <v>0</v>
      </c>
      <c r="Q37" s="989"/>
      <c r="R37" s="740"/>
      <c r="S37" s="666"/>
    </row>
    <row r="38" spans="1:19" ht="46.15" customHeight="1" thickBot="1" x14ac:dyDescent="0.5">
      <c r="A38" s="1669">
        <v>10</v>
      </c>
      <c r="B38" s="1687" t="s">
        <v>27</v>
      </c>
      <c r="C38" s="1691">
        <f>M5</f>
        <v>3.5714285714285716</v>
      </c>
      <c r="D38" s="904" t="s">
        <v>120</v>
      </c>
      <c r="E38" s="853">
        <f>$C$38/2</f>
        <v>1.7857142857142858</v>
      </c>
      <c r="F38" s="990" t="s">
        <v>224</v>
      </c>
      <c r="G38" s="905">
        <f>E38/1</f>
        <v>1.7857142857142858</v>
      </c>
      <c r="H38" s="362"/>
      <c r="I38" s="375"/>
      <c r="J38" s="1232">
        <f>H38-I38</f>
        <v>0</v>
      </c>
      <c r="K38" s="992">
        <f>(1*I38)*(6/10)</f>
        <v>0</v>
      </c>
      <c r="L38" s="993">
        <f>I38+K38</f>
        <v>0</v>
      </c>
      <c r="M38" s="859" t="str">
        <f>IF(K38&lt;&gt;0,J38/K38,"0%")</f>
        <v>0%</v>
      </c>
      <c r="N38" s="1715">
        <f>(((G38/C38)*M38)+((G39/C38)*M39))</f>
        <v>0</v>
      </c>
      <c r="O38" s="1676">
        <f>IF((((G38/C38)*M38)+((G39/C38)*M39))&gt;=1,3.57148,IF((((G38/C38)*M38)+((G39/C38)*M39))&lt;=0,0, (((G38/C38)*M38)+((G39/C38)*M39))*3.571428))</f>
        <v>0</v>
      </c>
      <c r="P38" s="1678">
        <f>O38/3.571428</f>
        <v>0</v>
      </c>
      <c r="Q38" s="994" t="s">
        <v>176</v>
      </c>
      <c r="R38" s="745"/>
      <c r="S38" s="744" t="s">
        <v>580</v>
      </c>
    </row>
    <row r="39" spans="1:19" ht="71.650000000000006" thickBot="1" x14ac:dyDescent="0.5">
      <c r="A39" s="1669"/>
      <c r="B39" s="1688"/>
      <c r="C39" s="1692"/>
      <c r="D39" s="911" t="s">
        <v>157</v>
      </c>
      <c r="E39" s="868">
        <f>$C$38/2</f>
        <v>1.7857142857142858</v>
      </c>
      <c r="F39" s="995" t="s">
        <v>225</v>
      </c>
      <c r="G39" s="912">
        <f>E39/1</f>
        <v>1.7857142857142858</v>
      </c>
      <c r="H39" s="746"/>
      <c r="I39" s="747"/>
      <c r="J39" s="1233">
        <f>H39-I39</f>
        <v>0</v>
      </c>
      <c r="K39" s="997">
        <f>IF(AND(I39&gt;=10,H39&gt;=I39),0,((10-H39)*(6/10)))</f>
        <v>6</v>
      </c>
      <c r="L39" s="998">
        <f>I39+K39</f>
        <v>6</v>
      </c>
      <c r="M39" s="874">
        <f>IF(K39&lt;&gt;0,J39/K39,"0%")</f>
        <v>0</v>
      </c>
      <c r="N39" s="1716"/>
      <c r="O39" s="1677"/>
      <c r="P39" s="1679"/>
      <c r="Q39" s="999" t="s">
        <v>95</v>
      </c>
      <c r="R39" s="182"/>
      <c r="S39" s="744" t="s">
        <v>638</v>
      </c>
    </row>
    <row r="40" spans="1:19" ht="20.45" customHeight="1" thickBot="1" x14ac:dyDescent="0.5">
      <c r="B40" s="1730" t="s">
        <v>28</v>
      </c>
      <c r="C40" s="1731"/>
      <c r="D40" s="1731"/>
      <c r="E40" s="1732"/>
      <c r="F40" s="1733"/>
      <c r="G40" s="985"/>
      <c r="H40" s="1375"/>
      <c r="I40" s="1376"/>
      <c r="J40" s="1000"/>
      <c r="K40" s="1001"/>
      <c r="L40" s="1001"/>
      <c r="M40" s="1002"/>
      <c r="N40" s="833">
        <f>N41</f>
        <v>0.5</v>
      </c>
      <c r="O40" s="834">
        <f>O41</f>
        <v>1.785714</v>
      </c>
      <c r="P40" s="835">
        <f>O40/3.571428</f>
        <v>0.5</v>
      </c>
      <c r="Q40" s="1003"/>
      <c r="R40" s="748"/>
      <c r="S40" s="685"/>
    </row>
    <row r="41" spans="1:19" ht="34.9" x14ac:dyDescent="0.45">
      <c r="A41" s="1669">
        <v>11</v>
      </c>
      <c r="B41" s="1734" t="s">
        <v>29</v>
      </c>
      <c r="C41" s="1736">
        <f>M5</f>
        <v>3.5714285714285716</v>
      </c>
      <c r="D41" s="1004" t="s">
        <v>121</v>
      </c>
      <c r="E41" s="1005">
        <f>$C$41/2</f>
        <v>1.7857142857142858</v>
      </c>
      <c r="F41" s="880" t="s">
        <v>30</v>
      </c>
      <c r="G41" s="1006">
        <f>E41/1</f>
        <v>1.7857142857142858</v>
      </c>
      <c r="H41" s="1377">
        <v>0.1</v>
      </c>
      <c r="I41" s="1378">
        <v>0.1</v>
      </c>
      <c r="J41" s="1007">
        <f>H41-I41</f>
        <v>0</v>
      </c>
      <c r="K41" s="1008">
        <f>(0.5*I41)*(6/10)</f>
        <v>0.03</v>
      </c>
      <c r="L41" s="1009">
        <f>I41+K41</f>
        <v>0.13</v>
      </c>
      <c r="M41" s="859">
        <f>IF(K41&lt;&gt;0,J41/K41,"0%")</f>
        <v>0</v>
      </c>
      <c r="N41" s="1738">
        <f>(((G41/C41)*M41)+(G42/C41)*M42)</f>
        <v>0.5</v>
      </c>
      <c r="O41" s="1676">
        <f>IF((((G41/C41)*M41)+((G42/C41)*M42))&gt;=1,3.57148,IF((((G41/C41)*M41)+((G42/C41)*M42))&lt;=0,0, (((G41/C41)*M41)+((G42/C41)*M42))*3.571428))</f>
        <v>1.785714</v>
      </c>
      <c r="P41" s="1678">
        <f>O41/3.571428</f>
        <v>0.5</v>
      </c>
      <c r="Q41" s="1010" t="s">
        <v>177</v>
      </c>
      <c r="R41" s="205" t="s">
        <v>590</v>
      </c>
      <c r="S41" s="196"/>
    </row>
    <row r="42" spans="1:19" ht="23.65" thickBot="1" x14ac:dyDescent="0.5">
      <c r="A42" s="1669"/>
      <c r="B42" s="1735"/>
      <c r="C42" s="1737"/>
      <c r="D42" s="1011" t="s">
        <v>122</v>
      </c>
      <c r="E42" s="939">
        <f>$C$41/2</f>
        <v>1.7857142857142858</v>
      </c>
      <c r="F42" s="891" t="s">
        <v>31</v>
      </c>
      <c r="G42" s="1012">
        <f>E42/1</f>
        <v>1.7857142857142858</v>
      </c>
      <c r="H42" s="749">
        <v>0</v>
      </c>
      <c r="I42" s="750">
        <v>0</v>
      </c>
      <c r="J42" s="1013">
        <f>H42-I42</f>
        <v>0</v>
      </c>
      <c r="K42" s="896">
        <f>(0.5*I42)*(6/10)</f>
        <v>0</v>
      </c>
      <c r="L42" s="1014">
        <f>I42+K42</f>
        <v>0</v>
      </c>
      <c r="M42" s="874" t="str">
        <f>IF(K42=0,"100%",J42/K42)</f>
        <v>100%</v>
      </c>
      <c r="N42" s="1738"/>
      <c r="O42" s="1677"/>
      <c r="P42" s="1679"/>
      <c r="Q42" s="1010" t="s">
        <v>95</v>
      </c>
      <c r="R42" s="211"/>
      <c r="S42" s="751" t="s">
        <v>591</v>
      </c>
    </row>
    <row r="43" spans="1:19" ht="30.6" customHeight="1" thickBot="1" x14ac:dyDescent="0.5">
      <c r="B43" s="1704" t="s">
        <v>32</v>
      </c>
      <c r="C43" s="1705"/>
      <c r="D43" s="1705"/>
      <c r="E43" s="1705"/>
      <c r="F43" s="1706"/>
      <c r="G43" s="923"/>
      <c r="H43" s="1379"/>
      <c r="I43" s="1380"/>
      <c r="J43" s="1015"/>
      <c r="K43" s="1016"/>
      <c r="L43" s="1016"/>
      <c r="M43" s="923"/>
      <c r="N43" s="833">
        <f>N44</f>
        <v>0</v>
      </c>
      <c r="O43" s="834">
        <f>O44</f>
        <v>0</v>
      </c>
      <c r="P43" s="835">
        <f>O43/3.571428</f>
        <v>0</v>
      </c>
      <c r="Q43" s="1017"/>
      <c r="R43" s="685"/>
      <c r="S43" s="685"/>
    </row>
    <row r="44" spans="1:19" ht="43.9" customHeight="1" thickBot="1" x14ac:dyDescent="0.5">
      <c r="A44" s="1669">
        <v>12</v>
      </c>
      <c r="B44" s="1727" t="s">
        <v>33</v>
      </c>
      <c r="C44" s="1691">
        <f>M5</f>
        <v>3.5714285714285716</v>
      </c>
      <c r="D44" s="926" t="s">
        <v>123</v>
      </c>
      <c r="E44" s="1018">
        <f>C44/2</f>
        <v>1.7857142857142858</v>
      </c>
      <c r="F44" s="926" t="s">
        <v>34</v>
      </c>
      <c r="G44" s="905">
        <f>$E$44/1</f>
        <v>1.7857142857142858</v>
      </c>
      <c r="H44" s="362"/>
      <c r="I44" s="752"/>
      <c r="J44" s="1019">
        <f>IF(I44=H44,(H44-30),H44-I44)</f>
        <v>-30</v>
      </c>
      <c r="K44" s="909">
        <f>IF(I44&gt;=30,0,((30-I44)*(6/10)))</f>
        <v>18</v>
      </c>
      <c r="L44" s="1020">
        <f>I44+K44</f>
        <v>18</v>
      </c>
      <c r="M44" s="859" t="str">
        <f>IF(H44=0,"0%",J44/K44)</f>
        <v>0%</v>
      </c>
      <c r="N44" s="1715">
        <f>(((G44/C44)*M44)+((G45/C44)*M45))</f>
        <v>0</v>
      </c>
      <c r="O44" s="1676">
        <f>IF((((G44/C44)*M44)+((G45/C44)*M45))&gt;=1,3.57148,IF((((G44/C44)*M44)+((G45/C44)*M45))&lt;=0,0, (((G44/C44)*M44)+((G45/C44)*M45))*3.571428))</f>
        <v>0</v>
      </c>
      <c r="P44" s="1678">
        <f>O44/3.571428</f>
        <v>0</v>
      </c>
      <c r="Q44" s="910" t="s">
        <v>178</v>
      </c>
      <c r="R44" s="753" t="s">
        <v>592</v>
      </c>
      <c r="S44" s="743" t="s">
        <v>580</v>
      </c>
    </row>
    <row r="45" spans="1:19" ht="43.15" thickBot="1" x14ac:dyDescent="0.5">
      <c r="A45" s="1669"/>
      <c r="B45" s="1728"/>
      <c r="C45" s="1729"/>
      <c r="D45" s="953" t="s">
        <v>124</v>
      </c>
      <c r="E45" s="1021">
        <f>(C44/2)</f>
        <v>1.7857142857142858</v>
      </c>
      <c r="F45" s="953" t="s">
        <v>35</v>
      </c>
      <c r="G45" s="919">
        <f>$E$45/1</f>
        <v>1.7857142857142858</v>
      </c>
      <c r="H45" s="360"/>
      <c r="I45" s="376"/>
      <c r="J45" s="1022">
        <f>IF(I45=H45,(H45-17),H45-I45)</f>
        <v>-17</v>
      </c>
      <c r="K45" s="1023">
        <f>IF(I45&gt;=17,0,((17-I45)*(6/10)))</f>
        <v>10.199999999999999</v>
      </c>
      <c r="L45" s="1024">
        <f>I45+K45</f>
        <v>10.199999999999999</v>
      </c>
      <c r="M45" s="1238">
        <f>IF(I45&gt;=17,(1+(H45-17)/17),(H45/17))</f>
        <v>0</v>
      </c>
      <c r="N45" s="1717"/>
      <c r="O45" s="1677"/>
      <c r="P45" s="1679"/>
      <c r="Q45" s="922" t="s">
        <v>179</v>
      </c>
      <c r="R45" s="754"/>
      <c r="S45" s="743" t="s">
        <v>580</v>
      </c>
    </row>
    <row r="46" spans="1:19" ht="30.6" customHeight="1" thickBot="1" x14ac:dyDescent="0.5">
      <c r="B46" s="1743" t="s">
        <v>36</v>
      </c>
      <c r="C46" s="1744"/>
      <c r="D46" s="1744"/>
      <c r="E46" s="1744"/>
      <c r="F46" s="1745"/>
      <c r="G46" s="1025"/>
      <c r="H46" s="1381"/>
      <c r="I46" s="1382"/>
      <c r="J46" s="1026"/>
      <c r="K46" s="1027"/>
      <c r="L46" s="1027"/>
      <c r="M46" s="1028"/>
      <c r="N46" s="833">
        <f>(N47+N50+N52)/3</f>
        <v>0.3</v>
      </c>
      <c r="O46" s="834">
        <f>(O47+O50+O52)</f>
        <v>3.2142852000000004</v>
      </c>
      <c r="P46" s="835">
        <f>O46/10.714284</f>
        <v>0.30000000000000004</v>
      </c>
      <c r="Q46" s="1029"/>
      <c r="R46" s="692"/>
      <c r="S46" s="692"/>
    </row>
    <row r="47" spans="1:19" ht="20.45" customHeight="1" thickBot="1" x14ac:dyDescent="0.5">
      <c r="B47" s="1684" t="s">
        <v>37</v>
      </c>
      <c r="C47" s="1685"/>
      <c r="D47" s="1685"/>
      <c r="E47" s="1685"/>
      <c r="F47" s="1686"/>
      <c r="G47" s="1030"/>
      <c r="H47" s="1383"/>
      <c r="I47" s="1384"/>
      <c r="J47" s="1031"/>
      <c r="K47" s="1032"/>
      <c r="L47" s="1032"/>
      <c r="M47" s="923"/>
      <c r="N47" s="833">
        <f>N48</f>
        <v>0</v>
      </c>
      <c r="O47" s="834">
        <f>O48</f>
        <v>0</v>
      </c>
      <c r="P47" s="835">
        <f>O47/3.571428</f>
        <v>0</v>
      </c>
      <c r="Q47" s="1017"/>
      <c r="R47" s="685"/>
      <c r="S47" s="685"/>
    </row>
    <row r="48" spans="1:19" ht="37.799999999999997" customHeight="1" x14ac:dyDescent="0.45">
      <c r="A48" s="1669">
        <v>13</v>
      </c>
      <c r="B48" s="1727" t="s">
        <v>38</v>
      </c>
      <c r="C48" s="1691">
        <f>M5</f>
        <v>3.5714285714285716</v>
      </c>
      <c r="D48" s="926" t="s">
        <v>125</v>
      </c>
      <c r="E48" s="853">
        <f>$C$48/2</f>
        <v>1.7857142857142858</v>
      </c>
      <c r="F48" s="1033" t="s">
        <v>289</v>
      </c>
      <c r="G48" s="853">
        <f>E48/1</f>
        <v>1.7857142857142858</v>
      </c>
      <c r="H48" s="362"/>
      <c r="I48" s="375"/>
      <c r="J48" s="1034">
        <f>H48-I48</f>
        <v>0</v>
      </c>
      <c r="K48" s="1035">
        <f>(0.5*I48)* (6/10)</f>
        <v>0</v>
      </c>
      <c r="L48" s="1036">
        <f>I48-K48</f>
        <v>0</v>
      </c>
      <c r="M48" s="887" t="str">
        <f>IF(K48&lt;&gt;0,J48/K48,"0%")</f>
        <v>0%</v>
      </c>
      <c r="N48" s="1746">
        <f>(((G48/C48)*M48)+((G49/C48)*M49))</f>
        <v>0</v>
      </c>
      <c r="O48" s="1676">
        <f>IF((((G48/C48)*M48)+((G49/C48)*M49))&gt;=1,3.57148,IF((((G48/C48)*M48)+((G49/C48)*M49))&lt;=0,0, (((G48/C48)*M48)+((G49/C48)*M49))*3.571428))</f>
        <v>0</v>
      </c>
      <c r="P48" s="1678">
        <f>O48/3.571428</f>
        <v>0</v>
      </c>
      <c r="Q48" s="950" t="s">
        <v>95</v>
      </c>
      <c r="R48" s="745"/>
      <c r="S48" s="743" t="s">
        <v>580</v>
      </c>
    </row>
    <row r="49" spans="1:19" ht="30.6" customHeight="1" thickBot="1" x14ac:dyDescent="0.5">
      <c r="A49" s="1669"/>
      <c r="B49" s="1728"/>
      <c r="C49" s="1729"/>
      <c r="D49" s="953" t="s">
        <v>126</v>
      </c>
      <c r="E49" s="868">
        <f>$C$48/2</f>
        <v>1.7857142857142858</v>
      </c>
      <c r="F49" s="953" t="s">
        <v>290</v>
      </c>
      <c r="G49" s="868">
        <f>E49/1</f>
        <v>1.7857142857142858</v>
      </c>
      <c r="H49" s="383"/>
      <c r="I49" s="401"/>
      <c r="J49" s="955">
        <f>H49-I49</f>
        <v>0</v>
      </c>
      <c r="K49" s="1037">
        <f>(2*I49)*(6/10)</f>
        <v>0</v>
      </c>
      <c r="L49" s="1038">
        <f>I49+K49</f>
        <v>0</v>
      </c>
      <c r="M49" s="874" t="str">
        <f>IF(K49&lt;&gt;0,J49/K49,"0%")</f>
        <v>0%</v>
      </c>
      <c r="N49" s="1747"/>
      <c r="O49" s="1677"/>
      <c r="P49" s="1679"/>
      <c r="Q49" s="956" t="s">
        <v>95</v>
      </c>
      <c r="R49" s="755"/>
      <c r="S49" s="744" t="s">
        <v>580</v>
      </c>
    </row>
    <row r="50" spans="1:19" ht="15" customHeight="1" thickBot="1" x14ac:dyDescent="0.5">
      <c r="B50" s="1704" t="s">
        <v>39</v>
      </c>
      <c r="C50" s="1705"/>
      <c r="D50" s="1705"/>
      <c r="E50" s="1705"/>
      <c r="F50" s="1706"/>
      <c r="G50" s="1039"/>
      <c r="H50" s="1385"/>
      <c r="I50" s="1386"/>
      <c r="J50" s="1040"/>
      <c r="K50" s="1040"/>
      <c r="L50" s="1040"/>
      <c r="M50" s="1041"/>
      <c r="N50" s="833">
        <f>N51</f>
        <v>0.83333333333333337</v>
      </c>
      <c r="O50" s="834">
        <f>O51</f>
        <v>2.9761900000000003</v>
      </c>
      <c r="P50" s="835">
        <f>O50/3.571428</f>
        <v>0.83333333333333337</v>
      </c>
      <c r="Q50" s="1042"/>
      <c r="R50" s="696"/>
      <c r="S50" s="696"/>
    </row>
    <row r="51" spans="1:19" ht="30.6" customHeight="1" thickBot="1" x14ac:dyDescent="0.5">
      <c r="A51" s="15">
        <v>14</v>
      </c>
      <c r="B51" s="1043" t="s">
        <v>226</v>
      </c>
      <c r="C51" s="1044">
        <f>M5</f>
        <v>3.5714285714285716</v>
      </c>
      <c r="D51" s="1045" t="s">
        <v>272</v>
      </c>
      <c r="E51" s="1046">
        <f>C51</f>
        <v>3.5714285714285716</v>
      </c>
      <c r="F51" s="1047" t="s">
        <v>266</v>
      </c>
      <c r="G51" s="1048">
        <f>E51/1</f>
        <v>3.5714285714285716</v>
      </c>
      <c r="H51" s="756">
        <v>50</v>
      </c>
      <c r="I51" s="757">
        <v>0</v>
      </c>
      <c r="J51" s="1049">
        <f>H51-I51</f>
        <v>50</v>
      </c>
      <c r="K51" s="1050">
        <f>(100-I51)*(6/10)</f>
        <v>60</v>
      </c>
      <c r="L51" s="1051">
        <f>I51+K51</f>
        <v>60</v>
      </c>
      <c r="M51" s="898">
        <f>IF(K51&lt;&gt;0,J51/K51,"100%")</f>
        <v>0.83333333333333337</v>
      </c>
      <c r="N51" s="969">
        <f>((G51/C51)*M51)</f>
        <v>0.83333333333333337</v>
      </c>
      <c r="O51" s="970">
        <f>IF(((G51/C51)*M51)&gt;=1,3.571428,IF(((G51/C51)*M51)&lt;=0,0,((G51/C51)*M51)*3.571428))</f>
        <v>2.9761900000000003</v>
      </c>
      <c r="P51" s="835">
        <f>O51/3.571428</f>
        <v>0.83333333333333337</v>
      </c>
      <c r="Q51" s="1052" t="s">
        <v>95</v>
      </c>
      <c r="R51" s="350"/>
      <c r="S51" s="700" t="s">
        <v>639</v>
      </c>
    </row>
    <row r="52" spans="1:19" ht="20.45" customHeight="1" thickBot="1" x14ac:dyDescent="0.5">
      <c r="B52" s="1704" t="s">
        <v>40</v>
      </c>
      <c r="C52" s="1705"/>
      <c r="D52" s="1705"/>
      <c r="E52" s="1705"/>
      <c r="F52" s="1706"/>
      <c r="G52" s="1030"/>
      <c r="H52" s="1379"/>
      <c r="I52" s="1380"/>
      <c r="J52" s="1031"/>
      <c r="K52" s="1032"/>
      <c r="L52" s="1032"/>
      <c r="M52" s="948"/>
      <c r="N52" s="833">
        <f>N53</f>
        <v>6.6666666666666652E-2</v>
      </c>
      <c r="O52" s="834">
        <f>O53</f>
        <v>0.23809519999999995</v>
      </c>
      <c r="P52" s="835">
        <f>O52/3.571428</f>
        <v>6.6666666666666652E-2</v>
      </c>
      <c r="Q52" s="1053"/>
      <c r="R52" s="696"/>
      <c r="S52" s="696"/>
    </row>
    <row r="53" spans="1:19" ht="43.8" customHeight="1" x14ac:dyDescent="0.45">
      <c r="A53" s="1669">
        <v>15</v>
      </c>
      <c r="B53" s="1687" t="s">
        <v>108</v>
      </c>
      <c r="C53" s="1691">
        <f>M5</f>
        <v>3.5714285714285716</v>
      </c>
      <c r="D53" s="1054" t="s">
        <v>127</v>
      </c>
      <c r="E53" s="1055">
        <f>$C$53/5</f>
        <v>0.7142857142857143</v>
      </c>
      <c r="F53" s="1056" t="s">
        <v>41</v>
      </c>
      <c r="G53" s="905">
        <f>E53/1</f>
        <v>0.7142857142857143</v>
      </c>
      <c r="H53" s="758">
        <v>0</v>
      </c>
      <c r="I53" s="759">
        <v>0</v>
      </c>
      <c r="J53" s="930">
        <f>H53-I53</f>
        <v>0</v>
      </c>
      <c r="K53" s="1035">
        <f>(100-I53)*(6/10)</f>
        <v>60</v>
      </c>
      <c r="L53" s="993">
        <f t="shared" ref="L53:L58" si="15">I53+K53</f>
        <v>60</v>
      </c>
      <c r="M53" s="859">
        <f t="shared" ref="M53:M55" si="16">IF(K53&lt;&gt;0,J53/K53,"0%")</f>
        <v>0</v>
      </c>
      <c r="N53" s="1740">
        <f>(((G53/C53)*M53)+((G54/C53)*M54)+((G55/C53)*M55)+((G56/C53)*M56)+((G57/C53)*M57)+((G58/C53)*M58))</f>
        <v>6.6666666666666652E-2</v>
      </c>
      <c r="O53" s="1751">
        <f>IF((((G53/C53)*M53)+((G54/C53)*M54)+((G55/C53)*M55)+((G56/C53)*M56)+((G57/C53)*M57)+((G58/C53)*M58))&gt;=1,3.571428,IF((((G53/C53)*M53)+((G54/C53)*M54)+((G55/C53)*M55)+((G56/C53)*M56)+((G57/C53)*M57)+((G58/C53)*M58))&lt;=0,0,((((G53/C53)*M53)+((G54/C53)*M54)+((G55/C53)*M55)+((G56/C53)*M56)+((G57/C53)*M57)+((G58/C53)*M58))*3.571428)))</f>
        <v>0.23809519999999995</v>
      </c>
      <c r="P53" s="1678">
        <f>O53/3.571428</f>
        <v>6.6666666666666652E-2</v>
      </c>
      <c r="Q53" s="1057" t="s">
        <v>95</v>
      </c>
      <c r="R53" s="760"/>
      <c r="S53" s="761"/>
    </row>
    <row r="54" spans="1:19" ht="35.450000000000003" customHeight="1" x14ac:dyDescent="0.45">
      <c r="A54" s="1669"/>
      <c r="B54" s="1688"/>
      <c r="C54" s="1692"/>
      <c r="D54" s="1058" t="s">
        <v>128</v>
      </c>
      <c r="E54" s="1059">
        <f t="shared" ref="E54:E57" si="17">$C$53/5</f>
        <v>0.7142857142857143</v>
      </c>
      <c r="F54" s="1060" t="s">
        <v>42</v>
      </c>
      <c r="G54" s="912">
        <f>E54/1</f>
        <v>0.7142857142857143</v>
      </c>
      <c r="H54" s="96">
        <v>0</v>
      </c>
      <c r="I54" s="90">
        <v>0</v>
      </c>
      <c r="J54" s="936">
        <f>H54-I54</f>
        <v>0</v>
      </c>
      <c r="K54" s="997">
        <f>(100-I54)*(6/6)</f>
        <v>100</v>
      </c>
      <c r="L54" s="998">
        <f>I54+K54</f>
        <v>100</v>
      </c>
      <c r="M54" s="916">
        <f t="shared" si="16"/>
        <v>0</v>
      </c>
      <c r="N54" s="1741"/>
      <c r="O54" s="1700"/>
      <c r="P54" s="1703"/>
      <c r="Q54" s="1061" t="s">
        <v>95</v>
      </c>
      <c r="R54" s="762"/>
      <c r="S54" s="354"/>
    </row>
    <row r="55" spans="1:19" ht="34.25" customHeight="1" x14ac:dyDescent="0.45">
      <c r="A55" s="1669"/>
      <c r="B55" s="1688"/>
      <c r="C55" s="1692"/>
      <c r="D55" s="1058" t="s">
        <v>129</v>
      </c>
      <c r="E55" s="1059">
        <f t="shared" si="17"/>
        <v>0.7142857142857143</v>
      </c>
      <c r="F55" s="1060" t="s">
        <v>43</v>
      </c>
      <c r="G55" s="912">
        <f>E55/1</f>
        <v>0.7142857142857143</v>
      </c>
      <c r="H55" s="1370">
        <v>20</v>
      </c>
      <c r="I55" s="1371">
        <v>0</v>
      </c>
      <c r="J55" s="936">
        <f>H55-I55</f>
        <v>20</v>
      </c>
      <c r="K55" s="997">
        <f>(100-I55)*(6/10)</f>
        <v>60</v>
      </c>
      <c r="L55" s="998">
        <f t="shared" si="15"/>
        <v>60</v>
      </c>
      <c r="M55" s="916">
        <f t="shared" si="16"/>
        <v>0.33333333333333331</v>
      </c>
      <c r="N55" s="1741"/>
      <c r="O55" s="1700"/>
      <c r="P55" s="1703"/>
      <c r="Q55" s="1061" t="s">
        <v>95</v>
      </c>
      <c r="R55" s="762"/>
      <c r="S55" s="354" t="s">
        <v>640</v>
      </c>
    </row>
    <row r="56" spans="1:19" ht="45.75" customHeight="1" x14ac:dyDescent="0.45">
      <c r="A56" s="1669"/>
      <c r="B56" s="1688"/>
      <c r="C56" s="1692"/>
      <c r="D56" s="1058" t="s">
        <v>130</v>
      </c>
      <c r="E56" s="1059">
        <f t="shared" si="17"/>
        <v>0.7142857142857143</v>
      </c>
      <c r="F56" s="1060" t="s">
        <v>44</v>
      </c>
      <c r="G56" s="912">
        <f>E56/1</f>
        <v>0.7142857142857143</v>
      </c>
      <c r="H56" s="96">
        <v>72</v>
      </c>
      <c r="I56" s="381"/>
      <c r="J56" s="936">
        <f>H56-I56</f>
        <v>72</v>
      </c>
      <c r="K56" s="1062">
        <f>(0.5*I56)*(6/7)</f>
        <v>0</v>
      </c>
      <c r="L56" s="998">
        <f t="shared" si="15"/>
        <v>0</v>
      </c>
      <c r="M56" s="916" t="str">
        <f>IF(K56&lt;&gt;0,J56/K56,"0%")</f>
        <v>0%</v>
      </c>
      <c r="N56" s="1741"/>
      <c r="O56" s="1700"/>
      <c r="P56" s="1703"/>
      <c r="Q56" s="1061" t="s">
        <v>101</v>
      </c>
      <c r="R56" s="762"/>
      <c r="S56" s="739" t="s">
        <v>577</v>
      </c>
    </row>
    <row r="57" spans="1:19" ht="47.65" customHeight="1" x14ac:dyDescent="0.45">
      <c r="A57" s="1669"/>
      <c r="B57" s="1688"/>
      <c r="C57" s="1692"/>
      <c r="D57" s="1753" t="s">
        <v>131</v>
      </c>
      <c r="E57" s="1755">
        <f t="shared" si="17"/>
        <v>0.7142857142857143</v>
      </c>
      <c r="F57" s="1060" t="s">
        <v>45</v>
      </c>
      <c r="G57" s="912">
        <f>$E$57/2</f>
        <v>0.35714285714285715</v>
      </c>
      <c r="H57" s="1063">
        <v>7.69</v>
      </c>
      <c r="I57" s="381"/>
      <c r="J57" s="936">
        <f t="shared" ref="J57:J58" si="18">H57-I57</f>
        <v>7.69</v>
      </c>
      <c r="K57" s="1064">
        <f>(1*I57)*(6/10)</f>
        <v>0</v>
      </c>
      <c r="L57" s="998">
        <f t="shared" si="15"/>
        <v>0</v>
      </c>
      <c r="M57" s="916" t="str">
        <f>IF(K57&lt;&gt;0,J57/K57,"0%")</f>
        <v>0%</v>
      </c>
      <c r="N57" s="1741"/>
      <c r="O57" s="1700"/>
      <c r="P57" s="1703"/>
      <c r="Q57" s="1061" t="s">
        <v>180</v>
      </c>
      <c r="R57" s="762"/>
      <c r="S57" s="739" t="s">
        <v>577</v>
      </c>
    </row>
    <row r="58" spans="1:19" ht="39.4" customHeight="1" thickBot="1" x14ac:dyDescent="0.5">
      <c r="A58" s="1669"/>
      <c r="B58" s="1739"/>
      <c r="C58" s="1729"/>
      <c r="D58" s="1754"/>
      <c r="E58" s="1756"/>
      <c r="F58" s="867" t="s">
        <v>46</v>
      </c>
      <c r="G58" s="919">
        <f>$E$57/2</f>
        <v>0.35714285714285715</v>
      </c>
      <c r="H58" s="385"/>
      <c r="I58" s="376"/>
      <c r="J58" s="943">
        <f t="shared" si="18"/>
        <v>0</v>
      </c>
      <c r="K58" s="1037">
        <f>(1*I58)*(6/10)</f>
        <v>0</v>
      </c>
      <c r="L58" s="1065">
        <f t="shared" si="15"/>
        <v>0</v>
      </c>
      <c r="M58" s="874" t="str">
        <f>IF(K58&lt;&gt;0,J58/K58,"0%")</f>
        <v>0%</v>
      </c>
      <c r="N58" s="1742"/>
      <c r="O58" s="1701"/>
      <c r="P58" s="1679"/>
      <c r="Q58" s="1066" t="s">
        <v>95</v>
      </c>
      <c r="R58" s="754"/>
      <c r="S58" s="744" t="s">
        <v>580</v>
      </c>
    </row>
    <row r="59" spans="1:19" ht="23.45" customHeight="1" thickBot="1" x14ac:dyDescent="0.5">
      <c r="B59" s="1743" t="s">
        <v>47</v>
      </c>
      <c r="C59" s="1744"/>
      <c r="D59" s="1744"/>
      <c r="E59" s="1744"/>
      <c r="F59" s="1745"/>
      <c r="G59" s="1067"/>
      <c r="H59" s="1381"/>
      <c r="I59" s="1382"/>
      <c r="J59" s="1068"/>
      <c r="K59" s="1068"/>
      <c r="L59" s="1068"/>
      <c r="M59" s="1028"/>
      <c r="N59" s="833">
        <f>(N60+N67)/2</f>
        <v>0.3035714285714286</v>
      </c>
      <c r="O59" s="834">
        <f>(O60+O67)</f>
        <v>2.1683670000000004</v>
      </c>
      <c r="P59" s="835">
        <f>O59/7.142856</f>
        <v>0.3035714285714286</v>
      </c>
      <c r="Q59" s="1069"/>
      <c r="R59" s="763"/>
      <c r="S59" s="708"/>
    </row>
    <row r="60" spans="1:19" ht="22.25" customHeight="1" thickBot="1" x14ac:dyDescent="0.5">
      <c r="B60" s="1704" t="s">
        <v>48</v>
      </c>
      <c r="C60" s="1705"/>
      <c r="D60" s="1705"/>
      <c r="E60" s="1705"/>
      <c r="F60" s="1706"/>
      <c r="G60" s="923"/>
      <c r="H60" s="1379"/>
      <c r="I60" s="1380"/>
      <c r="J60" s="946"/>
      <c r="K60" s="947"/>
      <c r="L60" s="947"/>
      <c r="M60" s="948"/>
      <c r="N60" s="833">
        <f>N61</f>
        <v>0.60714285714285721</v>
      </c>
      <c r="O60" s="834">
        <f>O61</f>
        <v>2.1683670000000004</v>
      </c>
      <c r="P60" s="835">
        <f>O60/3.571428</f>
        <v>0.60714285714285721</v>
      </c>
      <c r="Q60" s="924"/>
      <c r="R60" s="685"/>
      <c r="S60" s="685"/>
    </row>
    <row r="61" spans="1:19" ht="45.4" customHeight="1" thickBot="1" x14ac:dyDescent="0.5">
      <c r="A61" s="1669">
        <v>16</v>
      </c>
      <c r="B61" s="1687" t="s">
        <v>49</v>
      </c>
      <c r="C61" s="1691">
        <f>M5</f>
        <v>3.5714285714285716</v>
      </c>
      <c r="D61" s="926" t="s">
        <v>133</v>
      </c>
      <c r="E61" s="853">
        <f>$C$61/4</f>
        <v>0.8928571428571429</v>
      </c>
      <c r="F61" s="926" t="s">
        <v>50</v>
      </c>
      <c r="G61" s="905">
        <f>E61/1</f>
        <v>0.8928571428571429</v>
      </c>
      <c r="H61" s="764"/>
      <c r="I61" s="765"/>
      <c r="J61" s="1019">
        <f>IF(I61=H61,(H61-70),H61-I61)</f>
        <v>-70</v>
      </c>
      <c r="K61" s="909">
        <f>IF(I61&gt;=70,0,((70-I61)*(6/10)))</f>
        <v>42</v>
      </c>
      <c r="L61" s="1070">
        <f t="shared" ref="L61:L66" si="19">I61+K61</f>
        <v>42</v>
      </c>
      <c r="M61" s="859" t="str">
        <f>IF(H61=0,"0%",J61/K61)</f>
        <v>0%</v>
      </c>
      <c r="N61" s="1748">
        <f>(((G61/C61)*M61)+((G62/C61)*M62)+((G63/C61)*M63)+((G64/C61)*M64)+((G65/C61)*M65)+((G66/C61)*M66))</f>
        <v>0.60714285714285721</v>
      </c>
      <c r="O61" s="1751">
        <f>IF((((G61/C61)*M61)+((G62/C61)*M62)+((G63/C61)*M63)+((G64/C61)*M64)+((G65/C61)*M65)+((G66/C61)*M66))&gt;=1,3.571428,IF((((G61/C61)*M61)+((G62/C61)*M62)+((G63/C61)*M63)+((G64/C61)*M64)+((G65/C61)*M65)+((G66/C61)*M66))&lt;=0,0,((((G61/C61)*M61)+((G62/C61)*M62)+((G63/C61)*M63)+((G64/C61)*M64)+((G65/C61)*M65)+((G66/C61)*M66))*3.571428)))</f>
        <v>2.1683670000000004</v>
      </c>
      <c r="P61" s="1678">
        <f>O61/3.571428</f>
        <v>0.60714285714285721</v>
      </c>
      <c r="Q61" s="994" t="s">
        <v>181</v>
      </c>
      <c r="R61" s="210"/>
      <c r="S61" s="744" t="s">
        <v>580</v>
      </c>
    </row>
    <row r="62" spans="1:19" ht="48.75" customHeight="1" thickBot="1" x14ac:dyDescent="0.5">
      <c r="A62" s="1669"/>
      <c r="B62" s="1688"/>
      <c r="C62" s="1692"/>
      <c r="D62" s="933" t="s">
        <v>134</v>
      </c>
      <c r="E62" s="934">
        <f t="shared" ref="E62:E63" si="20">$C$61/4</f>
        <v>0.8928571428571429</v>
      </c>
      <c r="F62" s="1058" t="s">
        <v>276</v>
      </c>
      <c r="G62" s="912">
        <f>$E$62/1</f>
        <v>0.8928571428571429</v>
      </c>
      <c r="H62" s="575"/>
      <c r="I62" s="766"/>
      <c r="J62" s="1071">
        <f>IF(I62=H62,(H62-70),H62-I62)</f>
        <v>-70</v>
      </c>
      <c r="K62" s="914">
        <f t="shared" ref="K62:K63" si="21">IF(I62&gt;=70,0,((70-I62)*(6/10)))</f>
        <v>42</v>
      </c>
      <c r="L62" s="1072">
        <f t="shared" si="19"/>
        <v>42</v>
      </c>
      <c r="M62" s="916" t="str">
        <f>IF(H62=0,"0%",J62/K62)</f>
        <v>0%</v>
      </c>
      <c r="N62" s="1749"/>
      <c r="O62" s="1700"/>
      <c r="P62" s="1703"/>
      <c r="Q62" s="999" t="s">
        <v>182</v>
      </c>
      <c r="R62" s="207"/>
      <c r="S62" s="744" t="s">
        <v>580</v>
      </c>
    </row>
    <row r="63" spans="1:19" ht="26.45" customHeight="1" x14ac:dyDescent="0.45">
      <c r="A63" s="1669"/>
      <c r="B63" s="1688"/>
      <c r="C63" s="1692"/>
      <c r="D63" s="933" t="s">
        <v>135</v>
      </c>
      <c r="E63" s="934">
        <f t="shared" si="20"/>
        <v>0.8928571428571429</v>
      </c>
      <c r="F63" s="933" t="s">
        <v>51</v>
      </c>
      <c r="G63" s="912">
        <f>E63/1</f>
        <v>0.8928571428571429</v>
      </c>
      <c r="H63" s="101">
        <v>100</v>
      </c>
      <c r="I63" s="104">
        <v>100</v>
      </c>
      <c r="J63" s="1071">
        <f>IF(I63=H63,(H63-70),H63-I63)</f>
        <v>30</v>
      </c>
      <c r="K63" s="914">
        <f t="shared" si="21"/>
        <v>0</v>
      </c>
      <c r="L63" s="1072">
        <f t="shared" si="19"/>
        <v>100</v>
      </c>
      <c r="M63" s="916">
        <f>IF(I63&gt;=70,(1+(H63-70)/70),"0%")</f>
        <v>1.4285714285714286</v>
      </c>
      <c r="N63" s="1749"/>
      <c r="O63" s="1700"/>
      <c r="P63" s="1703"/>
      <c r="Q63" s="999" t="s">
        <v>95</v>
      </c>
      <c r="R63" s="207" t="s">
        <v>593</v>
      </c>
      <c r="S63" s="204"/>
    </row>
    <row r="64" spans="1:19" ht="15" customHeight="1" x14ac:dyDescent="0.45">
      <c r="A64" s="1669"/>
      <c r="B64" s="1688"/>
      <c r="C64" s="1692"/>
      <c r="D64" s="1721" t="s">
        <v>136</v>
      </c>
      <c r="E64" s="1723">
        <f>$C$61/4</f>
        <v>0.8928571428571429</v>
      </c>
      <c r="F64" s="1073" t="s">
        <v>52</v>
      </c>
      <c r="G64" s="1074">
        <f>$E$64/3</f>
        <v>0.29761904761904762</v>
      </c>
      <c r="H64" s="767">
        <v>100</v>
      </c>
      <c r="I64" s="768">
        <v>100</v>
      </c>
      <c r="J64" s="1075">
        <f t="shared" ref="J64:J66" si="22">H64-I64</f>
        <v>0</v>
      </c>
      <c r="K64" s="1076">
        <f>(100-I64)*(6/10)</f>
        <v>0</v>
      </c>
      <c r="L64" s="1072">
        <f t="shared" si="19"/>
        <v>100</v>
      </c>
      <c r="M64" s="916" t="str">
        <f t="shared" ref="M64:M66" si="23">IF(K64&lt;&gt;0,J64/K64,"100%")</f>
        <v>100%</v>
      </c>
      <c r="N64" s="1749"/>
      <c r="O64" s="1700"/>
      <c r="P64" s="1703"/>
      <c r="Q64" s="999" t="s">
        <v>95</v>
      </c>
      <c r="R64" s="207" t="s">
        <v>594</v>
      </c>
      <c r="S64" s="204" t="s">
        <v>595</v>
      </c>
    </row>
    <row r="65" spans="1:19" x14ac:dyDescent="0.45">
      <c r="A65" s="1669"/>
      <c r="B65" s="1688"/>
      <c r="C65" s="1692"/>
      <c r="D65" s="1721"/>
      <c r="E65" s="1723"/>
      <c r="F65" s="1073" t="s">
        <v>53</v>
      </c>
      <c r="G65" s="1074">
        <f t="shared" ref="G65:G66" si="24">$E$64/3</f>
        <v>0.29761904761904762</v>
      </c>
      <c r="H65" s="767">
        <v>100</v>
      </c>
      <c r="I65" s="768">
        <v>100</v>
      </c>
      <c r="J65" s="1075">
        <f t="shared" si="22"/>
        <v>0</v>
      </c>
      <c r="K65" s="1076">
        <f>(100-I65)*(6/10)</f>
        <v>0</v>
      </c>
      <c r="L65" s="1072">
        <f t="shared" si="19"/>
        <v>100</v>
      </c>
      <c r="M65" s="916" t="str">
        <f t="shared" si="23"/>
        <v>100%</v>
      </c>
      <c r="N65" s="1749"/>
      <c r="O65" s="1700"/>
      <c r="P65" s="1703"/>
      <c r="Q65" s="999" t="s">
        <v>95</v>
      </c>
      <c r="R65" s="207" t="s">
        <v>594</v>
      </c>
      <c r="S65" s="204"/>
    </row>
    <row r="66" spans="1:19" ht="27.6" customHeight="1" thickBot="1" x14ac:dyDescent="0.5">
      <c r="A66" s="1669"/>
      <c r="B66" s="1739"/>
      <c r="C66" s="1729"/>
      <c r="D66" s="1728"/>
      <c r="E66" s="1752"/>
      <c r="F66" s="1077" t="s">
        <v>54</v>
      </c>
      <c r="G66" s="1078">
        <f t="shared" si="24"/>
        <v>0.29761904761904762</v>
      </c>
      <c r="H66" s="769">
        <v>100</v>
      </c>
      <c r="I66" s="770">
        <v>100</v>
      </c>
      <c r="J66" s="1079">
        <f t="shared" si="22"/>
        <v>0</v>
      </c>
      <c r="K66" s="1080">
        <f>(100-I66)*(6/10)</f>
        <v>0</v>
      </c>
      <c r="L66" s="1081">
        <f t="shared" si="19"/>
        <v>100</v>
      </c>
      <c r="M66" s="874" t="str">
        <f t="shared" si="23"/>
        <v>100%</v>
      </c>
      <c r="N66" s="1750"/>
      <c r="O66" s="1701"/>
      <c r="P66" s="1679"/>
      <c r="Q66" s="1082" t="s">
        <v>95</v>
      </c>
      <c r="R66" s="207" t="s">
        <v>594</v>
      </c>
      <c r="S66" s="198"/>
    </row>
    <row r="67" spans="1:19" ht="27" customHeight="1" thickBot="1" x14ac:dyDescent="0.5">
      <c r="B67" s="1684" t="s">
        <v>55</v>
      </c>
      <c r="C67" s="1685"/>
      <c r="D67" s="1685"/>
      <c r="E67" s="1685"/>
      <c r="F67" s="1686"/>
      <c r="G67" s="1015"/>
      <c r="H67" s="1375"/>
      <c r="I67" s="1376"/>
      <c r="J67" s="1015"/>
      <c r="K67" s="1016"/>
      <c r="L67" s="1016"/>
      <c r="M67" s="1094"/>
      <c r="N67" s="833">
        <f>N68</f>
        <v>0</v>
      </c>
      <c r="O67" s="834">
        <f>O68</f>
        <v>0</v>
      </c>
      <c r="P67" s="835">
        <f>O67/3.571428</f>
        <v>0</v>
      </c>
      <c r="Q67" s="1083"/>
      <c r="R67" s="1387"/>
      <c r="S67" s="1360"/>
    </row>
    <row r="68" spans="1:19" ht="58.5" thickBot="1" x14ac:dyDescent="0.5">
      <c r="A68" s="16">
        <v>17</v>
      </c>
      <c r="B68" s="1084" t="s">
        <v>56</v>
      </c>
      <c r="C68" s="1085">
        <f>M5</f>
        <v>3.5714285714285716</v>
      </c>
      <c r="D68" s="1084" t="s">
        <v>137</v>
      </c>
      <c r="E68" s="1085">
        <f>C68</f>
        <v>3.5714285714285716</v>
      </c>
      <c r="F68" s="1084" t="s">
        <v>57</v>
      </c>
      <c r="G68" s="1086">
        <f>E68/1</f>
        <v>3.5714285714285716</v>
      </c>
      <c r="H68" s="359"/>
      <c r="I68" s="1212">
        <v>1</v>
      </c>
      <c r="J68" s="1089">
        <f>IF(I68=H68,(H68-70),I68-H68)</f>
        <v>1</v>
      </c>
      <c r="K68" s="982">
        <f t="shared" ref="K68" si="25">IF(I68&gt;=70,0,((70-I68)*(6/10)))</f>
        <v>41.4</v>
      </c>
      <c r="L68" s="1090">
        <f>I68-K68</f>
        <v>-40.4</v>
      </c>
      <c r="M68" s="859" t="str">
        <f>IF(H68=0,"0%",J68/K68)</f>
        <v>0%</v>
      </c>
      <c r="N68" s="1091">
        <f>((G68/C68)*M68)</f>
        <v>0</v>
      </c>
      <c r="O68" s="970">
        <f>IF(((G68/C68)*M68)&gt;=1,3.571428,IF(((G68/C68)*M68)&lt;=0,0,((G68/C68)*M68)*3.571428))</f>
        <v>0</v>
      </c>
      <c r="P68" s="835">
        <f>O68/3.571428</f>
        <v>0</v>
      </c>
      <c r="Q68" s="1092" t="s">
        <v>132</v>
      </c>
      <c r="R68" s="214" t="s">
        <v>596</v>
      </c>
      <c r="S68" s="739" t="s">
        <v>597</v>
      </c>
    </row>
    <row r="69" spans="1:19" ht="22.25" customHeight="1" thickBot="1" x14ac:dyDescent="0.5">
      <c r="B69" s="1575" t="s">
        <v>58</v>
      </c>
      <c r="C69" s="1576"/>
      <c r="D69" s="1576"/>
      <c r="E69" s="1576"/>
      <c r="F69" s="1577"/>
      <c r="G69" s="173"/>
      <c r="H69" s="771"/>
      <c r="I69" s="772"/>
      <c r="J69" s="174"/>
      <c r="K69" s="79"/>
      <c r="L69" s="79"/>
      <c r="M69" s="1093"/>
      <c r="N69" s="833">
        <f>(N70+N72+N74)/3</f>
        <v>0.66666666666666663</v>
      </c>
      <c r="O69" s="834">
        <f>(O70+O72+O74)</f>
        <v>7.1428560000000001</v>
      </c>
      <c r="P69" s="835">
        <f>O69/10.714284</f>
        <v>0.66666666666666674</v>
      </c>
      <c r="Q69" s="808"/>
      <c r="R69" s="773"/>
      <c r="S69" s="716"/>
    </row>
    <row r="70" spans="1:19" ht="20.45" customHeight="1" thickBot="1" x14ac:dyDescent="0.5">
      <c r="B70" s="1704" t="s">
        <v>59</v>
      </c>
      <c r="C70" s="1705"/>
      <c r="D70" s="1705"/>
      <c r="E70" s="1705"/>
      <c r="F70" s="1706"/>
      <c r="G70" s="923"/>
      <c r="H70" s="1383"/>
      <c r="I70" s="1384"/>
      <c r="J70" s="924"/>
      <c r="K70" s="924"/>
      <c r="L70" s="924"/>
      <c r="M70" s="1094"/>
      <c r="N70" s="833">
        <f>N71</f>
        <v>0</v>
      </c>
      <c r="O70" s="834">
        <f>O71</f>
        <v>0</v>
      </c>
      <c r="P70" s="835">
        <f t="shared" ref="P70:P78" si="26">O70/3.571428</f>
        <v>0</v>
      </c>
      <c r="Q70" s="1053"/>
      <c r="R70" s="1361"/>
      <c r="S70" s="1361"/>
    </row>
    <row r="71" spans="1:19" ht="52.25" customHeight="1" thickBot="1" x14ac:dyDescent="0.5">
      <c r="A71" s="16">
        <v>18</v>
      </c>
      <c r="B71" s="1095" t="s">
        <v>60</v>
      </c>
      <c r="C71" s="1096">
        <f>M5</f>
        <v>3.5714285714285716</v>
      </c>
      <c r="D71" s="1097" t="s">
        <v>138</v>
      </c>
      <c r="E71" s="1098">
        <f>C71</f>
        <v>3.5714285714285716</v>
      </c>
      <c r="F71" s="1099" t="s">
        <v>61</v>
      </c>
      <c r="G71" s="1100">
        <f>E71/1</f>
        <v>3.5714285714285716</v>
      </c>
      <c r="H71" s="387"/>
      <c r="I71" s="388"/>
      <c r="J71" s="1101">
        <f>I71-H71</f>
        <v>0</v>
      </c>
      <c r="K71" s="979">
        <f>(0.5*I71)*0.6</f>
        <v>0</v>
      </c>
      <c r="L71" s="1090">
        <f>I71-K71</f>
        <v>0</v>
      </c>
      <c r="M71" s="859" t="str">
        <f>IF(H71=0,"0%",J71/K71)</f>
        <v>0%</v>
      </c>
      <c r="N71" s="1091">
        <f>((G71/C71)*M71)</f>
        <v>0</v>
      </c>
      <c r="O71" s="970">
        <f>IF(((G71/C71)*M71)&gt;=1,3.571428,IF(((G71/C71)*M71)&lt;=0,0,((G71/C71)*M71)*3.571428))</f>
        <v>0</v>
      </c>
      <c r="P71" s="835">
        <f t="shared" si="26"/>
        <v>0</v>
      </c>
      <c r="Q71" s="1102" t="s">
        <v>183</v>
      </c>
      <c r="R71" s="607" t="s">
        <v>598</v>
      </c>
      <c r="S71" s="744" t="s">
        <v>580</v>
      </c>
    </row>
    <row r="72" spans="1:19" ht="20.45" customHeight="1" thickBot="1" x14ac:dyDescent="0.5">
      <c r="B72" s="1730" t="s">
        <v>277</v>
      </c>
      <c r="C72" s="1731"/>
      <c r="D72" s="1731"/>
      <c r="E72" s="1731"/>
      <c r="F72" s="1733"/>
      <c r="G72" s="985"/>
      <c r="H72" s="1383"/>
      <c r="I72" s="1384"/>
      <c r="J72" s="986"/>
      <c r="K72" s="987"/>
      <c r="L72" s="987"/>
      <c r="M72" s="988"/>
      <c r="N72" s="833">
        <f>N73</f>
        <v>1</v>
      </c>
      <c r="O72" s="834">
        <f>O73</f>
        <v>3.571428</v>
      </c>
      <c r="P72" s="835">
        <f t="shared" si="26"/>
        <v>1</v>
      </c>
      <c r="Q72" s="1103"/>
      <c r="R72" s="1361"/>
      <c r="S72" s="1361"/>
    </row>
    <row r="73" spans="1:19" ht="45" customHeight="1" thickBot="1" x14ac:dyDescent="0.5">
      <c r="A73" s="16">
        <v>19</v>
      </c>
      <c r="B73" s="1104" t="s">
        <v>62</v>
      </c>
      <c r="C73" s="1105">
        <f>M5</f>
        <v>3.5714285714285716</v>
      </c>
      <c r="D73" s="1106" t="s">
        <v>139</v>
      </c>
      <c r="E73" s="1105">
        <f>C73</f>
        <v>3.5714285714285716</v>
      </c>
      <c r="F73" s="1107" t="s">
        <v>63</v>
      </c>
      <c r="G73" s="1108">
        <f>E73/1</f>
        <v>3.5714285714285716</v>
      </c>
      <c r="H73" s="82">
        <v>0</v>
      </c>
      <c r="I73" s="87">
        <v>0</v>
      </c>
      <c r="J73" s="1109">
        <f>I73-H73</f>
        <v>0</v>
      </c>
      <c r="K73" s="1110">
        <f>IF(H73&gt;0,(H73),I73)</f>
        <v>0</v>
      </c>
      <c r="L73" s="1111">
        <f>I73-K73</f>
        <v>0</v>
      </c>
      <c r="M73" s="916" t="str">
        <f t="shared" ref="M73" si="27">IF(K73&lt;&gt;0,J73/K73,"100%")</f>
        <v>100%</v>
      </c>
      <c r="N73" s="1091">
        <f>((G73/C73)*M73)</f>
        <v>1</v>
      </c>
      <c r="O73" s="970">
        <f>IF(((G73/C73)*M73)&gt;=1,3.571428,IF(((G73/C73)*M73)&lt;=0,0,((G73/C73)*M73)*3.571428))</f>
        <v>3.571428</v>
      </c>
      <c r="P73" s="835">
        <f t="shared" si="26"/>
        <v>1</v>
      </c>
      <c r="Q73" s="1112" t="s">
        <v>95</v>
      </c>
      <c r="R73" s="93"/>
      <c r="S73" s="607"/>
    </row>
    <row r="74" spans="1:19" ht="30.6" customHeight="1" thickBot="1" x14ac:dyDescent="0.5">
      <c r="B74" s="1704" t="s">
        <v>64</v>
      </c>
      <c r="C74" s="1705"/>
      <c r="D74" s="1705"/>
      <c r="E74" s="1705"/>
      <c r="F74" s="1706"/>
      <c r="G74" s="924"/>
      <c r="H74" s="1383"/>
      <c r="I74" s="1384"/>
      <c r="J74" s="924"/>
      <c r="K74" s="924"/>
      <c r="L74" s="924"/>
      <c r="M74" s="923"/>
      <c r="N74" s="833">
        <f>N75</f>
        <v>1</v>
      </c>
      <c r="O74" s="834">
        <f>O75</f>
        <v>3.571428</v>
      </c>
      <c r="P74" s="835">
        <f t="shared" si="26"/>
        <v>1</v>
      </c>
      <c r="Q74" s="1053"/>
      <c r="R74" s="696"/>
      <c r="S74" s="696"/>
    </row>
    <row r="75" spans="1:19" ht="29.45" customHeight="1" thickBot="1" x14ac:dyDescent="0.5">
      <c r="A75" s="16">
        <v>20</v>
      </c>
      <c r="B75" s="1104" t="s">
        <v>65</v>
      </c>
      <c r="C75" s="964">
        <f>M5</f>
        <v>3.5714285714285716</v>
      </c>
      <c r="D75" s="1097" t="s">
        <v>140</v>
      </c>
      <c r="E75" s="1113">
        <f>C75</f>
        <v>3.5714285714285716</v>
      </c>
      <c r="F75" s="1106" t="s">
        <v>66</v>
      </c>
      <c r="G75" s="1100">
        <f>E75/1</f>
        <v>3.5714285714285716</v>
      </c>
      <c r="H75" s="82">
        <v>1</v>
      </c>
      <c r="I75" s="774">
        <v>1</v>
      </c>
      <c r="J75" s="1049">
        <f>H75-I75</f>
        <v>0</v>
      </c>
      <c r="K75" s="1050">
        <f>IF(AND(H75=0,I75=1)," 1",(H75-I75))</f>
        <v>0</v>
      </c>
      <c r="L75" s="1115">
        <f>I75+K75</f>
        <v>1</v>
      </c>
      <c r="M75" s="1116">
        <f>(IF(I75=1,1,(J75/K75)))</f>
        <v>1</v>
      </c>
      <c r="N75" s="1091">
        <f>((G75/C75)*M75)</f>
        <v>1</v>
      </c>
      <c r="O75" s="970">
        <f>IF(((G75/C75)*M75)&gt;=1,3.571428,IF(((G75/C75)*M75)&lt;=0,0,((G75/C75)*M75)*3.571428))</f>
        <v>3.571428</v>
      </c>
      <c r="P75" s="835">
        <f t="shared" si="26"/>
        <v>1</v>
      </c>
      <c r="Q75" s="1117" t="s">
        <v>95</v>
      </c>
      <c r="R75" s="775"/>
      <c r="S75" s="93" t="s">
        <v>599</v>
      </c>
    </row>
    <row r="76" spans="1:19" ht="20.45" customHeight="1" thickBot="1" x14ac:dyDescent="0.5">
      <c r="B76" s="1763" t="s">
        <v>67</v>
      </c>
      <c r="C76" s="1764"/>
      <c r="D76" s="1764"/>
      <c r="E76" s="1764"/>
      <c r="F76" s="1765"/>
      <c r="G76" s="1118"/>
      <c r="H76" s="1388"/>
      <c r="I76" s="1389"/>
      <c r="J76" s="1119"/>
      <c r="K76" s="807"/>
      <c r="L76" s="807"/>
      <c r="M76" s="1118"/>
      <c r="N76" s="833">
        <f t="shared" ref="N76:O77" si="28">N77</f>
        <v>0</v>
      </c>
      <c r="O76" s="834">
        <f t="shared" si="28"/>
        <v>0</v>
      </c>
      <c r="P76" s="835">
        <f t="shared" si="26"/>
        <v>0</v>
      </c>
      <c r="Q76" s="1120"/>
      <c r="R76" s="724"/>
      <c r="S76" s="724"/>
    </row>
    <row r="77" spans="1:19" ht="20.45" customHeight="1" thickBot="1" x14ac:dyDescent="0.5">
      <c r="B77" s="1704" t="s">
        <v>68</v>
      </c>
      <c r="C77" s="1705"/>
      <c r="D77" s="1705"/>
      <c r="E77" s="1705"/>
      <c r="F77" s="1706"/>
      <c r="G77" s="923"/>
      <c r="H77" s="1383"/>
      <c r="I77" s="1384"/>
      <c r="J77" s="946"/>
      <c r="K77" s="947"/>
      <c r="L77" s="947"/>
      <c r="M77" s="925"/>
      <c r="N77" s="833">
        <f t="shared" si="28"/>
        <v>0</v>
      </c>
      <c r="O77" s="834">
        <f t="shared" si="28"/>
        <v>0</v>
      </c>
      <c r="P77" s="835">
        <f t="shared" si="26"/>
        <v>0</v>
      </c>
      <c r="Q77" s="1053"/>
      <c r="R77" s="696"/>
      <c r="S77" s="696"/>
    </row>
    <row r="78" spans="1:19" ht="43.15" thickBot="1" x14ac:dyDescent="0.5">
      <c r="A78" s="16">
        <v>21</v>
      </c>
      <c r="B78" s="1104" t="s">
        <v>69</v>
      </c>
      <c r="C78" s="1113">
        <f>M5</f>
        <v>3.5714285714285716</v>
      </c>
      <c r="D78" s="1121" t="s">
        <v>141</v>
      </c>
      <c r="E78" s="1113">
        <f>C78</f>
        <v>3.5714285714285716</v>
      </c>
      <c r="F78" s="1121" t="s">
        <v>70</v>
      </c>
      <c r="G78" s="1085">
        <f>E78/1</f>
        <v>3.5714285714285716</v>
      </c>
      <c r="H78" s="358"/>
      <c r="I78" s="776"/>
      <c r="J78" s="1089">
        <f>IF(I78=H78,(H78-60),H78-I78)</f>
        <v>-60</v>
      </c>
      <c r="K78" s="982">
        <f>IF(I78&gt;=60,0,((60-I78)*(6/10)))</f>
        <v>36</v>
      </c>
      <c r="L78" s="1090">
        <f t="shared" ref="L78" si="29">K78+I78</f>
        <v>36</v>
      </c>
      <c r="M78" s="968">
        <f>IF(I78&gt;=60,(1+(H78-60)/60),(H78/L78))</f>
        <v>0</v>
      </c>
      <c r="N78" s="1091">
        <f>((G78/C78)*M78)</f>
        <v>0</v>
      </c>
      <c r="O78" s="970">
        <f>IF(((G78/C78)*M78)&gt;=1,3.571428,IF(((G78/C78)*M78)&lt;=0,0,((G78/C78)*M78)*3.571428))</f>
        <v>0</v>
      </c>
      <c r="P78" s="835">
        <f t="shared" si="26"/>
        <v>0</v>
      </c>
      <c r="Q78" s="1122" t="s">
        <v>95</v>
      </c>
      <c r="R78" s="93"/>
      <c r="S78" s="744" t="s">
        <v>580</v>
      </c>
    </row>
    <row r="79" spans="1:19" ht="21.6" customHeight="1" thickBot="1" x14ac:dyDescent="0.5">
      <c r="B79" s="1757" t="s">
        <v>71</v>
      </c>
      <c r="C79" s="1758"/>
      <c r="D79" s="1758"/>
      <c r="E79" s="1758"/>
      <c r="F79" s="1759"/>
      <c r="G79" s="1118"/>
      <c r="H79" s="1388"/>
      <c r="I79" s="1389"/>
      <c r="J79" s="1123"/>
      <c r="K79" s="1124"/>
      <c r="L79" s="1124"/>
      <c r="M79" s="1118"/>
      <c r="N79" s="833">
        <f>(N80+N86)/2</f>
        <v>0.44976490282239695</v>
      </c>
      <c r="O79" s="834">
        <f>(O80+O86)</f>
        <v>3.8078439347143749</v>
      </c>
      <c r="P79" s="835">
        <f>O79/10.714284</f>
        <v>0.35539882410382018</v>
      </c>
      <c r="Q79" s="1120"/>
      <c r="R79" s="724"/>
      <c r="S79" s="724"/>
    </row>
    <row r="80" spans="1:19" ht="20.45" customHeight="1" thickBot="1" x14ac:dyDescent="0.5">
      <c r="B80" s="1684" t="s">
        <v>72</v>
      </c>
      <c r="C80" s="1685"/>
      <c r="D80" s="1685"/>
      <c r="E80" s="1685"/>
      <c r="F80" s="1686"/>
      <c r="G80" s="948"/>
      <c r="H80" s="1379"/>
      <c r="I80" s="1380"/>
      <c r="J80" s="924"/>
      <c r="K80" s="924"/>
      <c r="L80" s="924"/>
      <c r="M80" s="948"/>
      <c r="N80" s="833">
        <f>(N81+N83)/2</f>
        <v>0.16666666666666666</v>
      </c>
      <c r="O80" s="834">
        <f>(O81+O83)</f>
        <v>1.1904759999999999</v>
      </c>
      <c r="P80" s="835">
        <f>O80/7.142856</f>
        <v>0.16666666666666666</v>
      </c>
      <c r="Q80" s="1125"/>
      <c r="R80" s="685"/>
      <c r="S80" s="685"/>
    </row>
    <row r="81" spans="1:19" ht="46.9" thickBot="1" x14ac:dyDescent="0.5">
      <c r="A81" s="16"/>
      <c r="B81" s="1760" t="s">
        <v>73</v>
      </c>
      <c r="C81" s="1691">
        <f>M5</f>
        <v>3.5714285714285716</v>
      </c>
      <c r="D81" s="926" t="s">
        <v>267</v>
      </c>
      <c r="E81" s="853">
        <f>$C$81/2</f>
        <v>1.7857142857142858</v>
      </c>
      <c r="F81" s="1054" t="s">
        <v>278</v>
      </c>
      <c r="G81" s="905">
        <f>E81/1</f>
        <v>1.7857142857142858</v>
      </c>
      <c r="H81" s="362"/>
      <c r="I81" s="375"/>
      <c r="J81" s="1019">
        <f>IF(I81=H81,(H81-50),H81-I81)</f>
        <v>-50</v>
      </c>
      <c r="K81" s="909">
        <f>IF(I81&gt;=50,0,((50-I81)*(6/10)))</f>
        <v>30</v>
      </c>
      <c r="L81" s="1303">
        <f>I81+K81</f>
        <v>30</v>
      </c>
      <c r="M81" s="859" t="str">
        <f>IF(H81=0,"0%",J81/K81)</f>
        <v>0%</v>
      </c>
      <c r="N81" s="1748">
        <f>(((G81/C81)*M81)+((G82/C81)*M82))</f>
        <v>0</v>
      </c>
      <c r="O81" s="1676">
        <f>IF((((G81/C81)*M81)+((G82/C81)*M82))&gt;=1,3.57148,IF((((G81/C81)*M81)+((G82/C81)*M82))&lt;=0,0, (((G81/C81)*M81)+((G82/C81)*M82))*3.571428))</f>
        <v>0</v>
      </c>
      <c r="P81" s="1678">
        <f>O81/3.571428</f>
        <v>0</v>
      </c>
      <c r="Q81" s="1127" t="s">
        <v>279</v>
      </c>
      <c r="R81" s="215"/>
      <c r="S81" s="744" t="s">
        <v>580</v>
      </c>
    </row>
    <row r="82" spans="1:19" ht="50.65" customHeight="1" thickBot="1" x14ac:dyDescent="0.5">
      <c r="A82" s="16"/>
      <c r="B82" s="1761"/>
      <c r="C82" s="1762"/>
      <c r="D82" s="953" t="s">
        <v>268</v>
      </c>
      <c r="E82" s="868">
        <f>$C$81/2</f>
        <v>1.7857142857142858</v>
      </c>
      <c r="F82" s="954" t="s">
        <v>74</v>
      </c>
      <c r="G82" s="919">
        <f>E82/1</f>
        <v>1.7857142857142858</v>
      </c>
      <c r="H82" s="98">
        <v>23</v>
      </c>
      <c r="I82" s="376"/>
      <c r="J82" s="1128">
        <f>IF(I82=H82,(H82-30),H82-I82)</f>
        <v>23</v>
      </c>
      <c r="K82" s="921">
        <f>IF(I82&gt;=30,0,((30-I82)*(6/10)))</f>
        <v>18</v>
      </c>
      <c r="L82" s="1306">
        <f t="shared" ref="L82" si="30">K82+I82</f>
        <v>18</v>
      </c>
      <c r="M82" s="898" t="str">
        <f>IF(I82=0,"0%",J82/K82)</f>
        <v>0%</v>
      </c>
      <c r="N82" s="1750"/>
      <c r="O82" s="1677"/>
      <c r="P82" s="1679"/>
      <c r="Q82" s="1130" t="s">
        <v>282</v>
      </c>
      <c r="R82" s="216" t="s">
        <v>600</v>
      </c>
      <c r="S82" s="739" t="s">
        <v>577</v>
      </c>
    </row>
    <row r="83" spans="1:19" ht="60" customHeight="1" x14ac:dyDescent="0.45">
      <c r="A83" s="16"/>
      <c r="B83" s="1774" t="s">
        <v>142</v>
      </c>
      <c r="C83" s="1776">
        <f>M5</f>
        <v>3.5714285714285716</v>
      </c>
      <c r="D83" s="1131" t="s">
        <v>145</v>
      </c>
      <c r="E83" s="853">
        <f>$C$81/3</f>
        <v>1.1904761904761905</v>
      </c>
      <c r="F83" s="926" t="s">
        <v>143</v>
      </c>
      <c r="G83" s="905">
        <f>E83/1</f>
        <v>1.1904761904761905</v>
      </c>
      <c r="H83" s="389"/>
      <c r="I83" s="1309">
        <v>86</v>
      </c>
      <c r="J83" s="1132">
        <f>I83-H83</f>
        <v>86</v>
      </c>
      <c r="K83" s="1008">
        <f>(0.2*I83)*(6/10)</f>
        <v>10.319999999999999</v>
      </c>
      <c r="L83" s="1133">
        <f>I83-K83</f>
        <v>75.680000000000007</v>
      </c>
      <c r="M83" s="859" t="str">
        <f>IF(H83=0,"0%",J83/K83)</f>
        <v>0%</v>
      </c>
      <c r="N83" s="1779">
        <f>(((G83/C83)*M83)+((G84/C83)*M84)+((G85/C83)*M85))</f>
        <v>0.33333333333333331</v>
      </c>
      <c r="O83" s="1702">
        <f>IF((((G83/C83)*M83)+((G84/C83)*M84)+((G85/C83)*M85))&gt;=1,3.571428,IF((((G83/C83)*M83)+((G84/C83)*M84)+((G85/C83)*M85))&lt;=0,0,(((G83/C83)*M83)+((G84/C83)*M84)+((G85/C83)*M85))*3.571428))</f>
        <v>1.1904759999999999</v>
      </c>
      <c r="P83" s="1678">
        <f>O83/3.571428</f>
        <v>0.33333333333333331</v>
      </c>
      <c r="Q83" s="1134" t="s">
        <v>184</v>
      </c>
      <c r="R83" s="777" t="s">
        <v>601</v>
      </c>
      <c r="S83" s="739" t="s">
        <v>597</v>
      </c>
    </row>
    <row r="84" spans="1:19" ht="45" customHeight="1" x14ac:dyDescent="0.45">
      <c r="A84" s="16"/>
      <c r="B84" s="1774"/>
      <c r="C84" s="1777"/>
      <c r="D84" s="1135" t="s">
        <v>146</v>
      </c>
      <c r="E84" s="934">
        <f t="shared" ref="E84:E85" si="31">$C$81/3</f>
        <v>1.1904761904761905</v>
      </c>
      <c r="F84" s="1058" t="s">
        <v>283</v>
      </c>
      <c r="G84" s="912">
        <f>E84/1</f>
        <v>1.1904761904761905</v>
      </c>
      <c r="H84" s="233">
        <v>0</v>
      </c>
      <c r="I84" s="234">
        <v>0</v>
      </c>
      <c r="J84" s="1136">
        <f>I84-H84</f>
        <v>0</v>
      </c>
      <c r="K84" s="1008">
        <f>(0.5*I84)*(6/10)</f>
        <v>0</v>
      </c>
      <c r="L84" s="1137">
        <f>I84-K84</f>
        <v>0</v>
      </c>
      <c r="M84" s="916">
        <f>IF(H84&lt;=0,100%, IF(K84&lt;&gt;0,J84/K84,"0%"))</f>
        <v>1</v>
      </c>
      <c r="N84" s="1780"/>
      <c r="O84" s="1700"/>
      <c r="P84" s="1703"/>
      <c r="Q84" s="1138" t="s">
        <v>185</v>
      </c>
      <c r="R84" s="651"/>
      <c r="S84" s="217" t="s">
        <v>602</v>
      </c>
    </row>
    <row r="85" spans="1:19" ht="38.450000000000003" customHeight="1" thickBot="1" x14ac:dyDescent="0.5">
      <c r="A85" s="16"/>
      <c r="B85" s="1775"/>
      <c r="C85" s="1778"/>
      <c r="D85" s="1139" t="s">
        <v>147</v>
      </c>
      <c r="E85" s="868">
        <f t="shared" si="31"/>
        <v>1.1904761904761905</v>
      </c>
      <c r="F85" s="954" t="s">
        <v>144</v>
      </c>
      <c r="G85" s="919">
        <f>E85/1</f>
        <v>1.1904761904761905</v>
      </c>
      <c r="H85" s="98">
        <v>28</v>
      </c>
      <c r="I85" s="376"/>
      <c r="J85" s="1140">
        <f>H85-I85</f>
        <v>28</v>
      </c>
      <c r="K85" s="1141">
        <f>(100-I85)*(6/10)</f>
        <v>60</v>
      </c>
      <c r="L85" s="1142">
        <f>I85+K85</f>
        <v>60</v>
      </c>
      <c r="M85" s="874" t="str">
        <f>IF(I85=0,"0%",J85/K85)</f>
        <v>0%</v>
      </c>
      <c r="N85" s="1781"/>
      <c r="O85" s="1701"/>
      <c r="P85" s="1679"/>
      <c r="Q85" s="1143" t="s">
        <v>284</v>
      </c>
      <c r="R85" s="728" t="s">
        <v>603</v>
      </c>
      <c r="S85" s="739" t="s">
        <v>577</v>
      </c>
    </row>
    <row r="86" spans="1:19" ht="20.45" customHeight="1" thickBot="1" x14ac:dyDescent="0.5">
      <c r="B86" s="1766" t="s">
        <v>75</v>
      </c>
      <c r="C86" s="1767"/>
      <c r="D86" s="1767"/>
      <c r="E86" s="1767"/>
      <c r="F86" s="1768"/>
      <c r="G86" s="1094"/>
      <c r="H86" s="1368"/>
      <c r="I86" s="1369"/>
      <c r="J86" s="1144"/>
      <c r="K86" s="1145"/>
      <c r="L86" s="1145"/>
      <c r="M86" s="925"/>
      <c r="N86" s="833">
        <f>N87</f>
        <v>0.73286313897812727</v>
      </c>
      <c r="O86" s="834">
        <f>O87</f>
        <v>2.617367934714375</v>
      </c>
      <c r="P86" s="835">
        <f>O86/3.571428</f>
        <v>0.73286313897812727</v>
      </c>
      <c r="Q86" s="1016"/>
      <c r="R86" s="696"/>
      <c r="S86" s="696"/>
    </row>
    <row r="87" spans="1:19" ht="27.6" customHeight="1" x14ac:dyDescent="0.45">
      <c r="A87" s="1710">
        <v>24</v>
      </c>
      <c r="B87" s="1769" t="s">
        <v>76</v>
      </c>
      <c r="C87" s="1771">
        <f>M5</f>
        <v>3.5714285714285716</v>
      </c>
      <c r="D87" s="1004" t="s">
        <v>159</v>
      </c>
      <c r="E87" s="1005">
        <f>($C$87/3)</f>
        <v>1.1904761904761905</v>
      </c>
      <c r="F87" s="1146" t="s">
        <v>285</v>
      </c>
      <c r="G87" s="1147">
        <f>E87/1</f>
        <v>1.1904761904761905</v>
      </c>
      <c r="H87" s="906">
        <v>33</v>
      </c>
      <c r="I87" s="907">
        <v>34</v>
      </c>
      <c r="J87" s="1132">
        <f>I87-H87</f>
        <v>1</v>
      </c>
      <c r="K87" s="1151">
        <f>(0.25*I87)*(6/10)</f>
        <v>5.0999999999999996</v>
      </c>
      <c r="L87" s="1152">
        <f>I87-K87</f>
        <v>28.9</v>
      </c>
      <c r="M87" s="859">
        <f>IF(K87&lt;&gt;0,J87/K87,"0%")</f>
        <v>0.19607843137254904</v>
      </c>
      <c r="N87" s="1716">
        <f>(((G87/C87)*M87)+((G88/C87)*M88)+((G89/C87)*M89)+((G90/C87)*M90)+((G91/C87)*M91))</f>
        <v>0.73286313897812727</v>
      </c>
      <c r="O87" s="1702">
        <f>IF((((G87/C87)*M87)+((G88/C87)*M88)+((G89/C87)*M89)+((G90/C87)*M90)+((G91/C87)*M91))&gt;=1,3.571428,IF((((G87/C87)*M87)+((G88/C87)*M88)+((G89/C87)*M89)+((G90/C87)*M90)+((G91/C87)*M91))&lt;=0,0,((((G87/C87)*M87)+((G88/C87)*M88)+((G89/C87)*M89)+((G90/C87)*M90)+((G91/C87)*M91))*3.571428)))</f>
        <v>2.617367934714375</v>
      </c>
      <c r="P87" s="1678">
        <f>O87/3.571428</f>
        <v>0.73286313897812727</v>
      </c>
      <c r="Q87" s="1153" t="s">
        <v>186</v>
      </c>
      <c r="R87" s="219"/>
      <c r="S87" s="220"/>
    </row>
    <row r="88" spans="1:19" ht="43.15" customHeight="1" x14ac:dyDescent="0.45">
      <c r="A88" s="1710"/>
      <c r="B88" s="1769"/>
      <c r="C88" s="1772"/>
      <c r="D88" s="1782" t="s">
        <v>160</v>
      </c>
      <c r="E88" s="1783">
        <f>C87/3</f>
        <v>1.1904761904761905</v>
      </c>
      <c r="F88" s="935" t="s">
        <v>77</v>
      </c>
      <c r="G88" s="1154">
        <f>$E$88/3</f>
        <v>0.3968253968253968</v>
      </c>
      <c r="H88" s="101">
        <v>32</v>
      </c>
      <c r="I88" s="366"/>
      <c r="J88" s="1136">
        <f>I88-H88</f>
        <v>-32</v>
      </c>
      <c r="K88" s="1156">
        <f>I88*(6/10)</f>
        <v>0</v>
      </c>
      <c r="L88" s="1157">
        <f>I88-K88</f>
        <v>0</v>
      </c>
      <c r="M88" s="916" t="str">
        <f>IF(K88&lt;&gt;0,J88/K88,"0%")</f>
        <v>0%</v>
      </c>
      <c r="N88" s="1697"/>
      <c r="O88" s="1700"/>
      <c r="P88" s="1703"/>
      <c r="Q88" s="1158" t="s">
        <v>187</v>
      </c>
      <c r="R88" s="221" t="s">
        <v>603</v>
      </c>
      <c r="S88" s="739" t="s">
        <v>577</v>
      </c>
    </row>
    <row r="89" spans="1:19" ht="59.65" customHeight="1" thickBot="1" x14ac:dyDescent="0.5">
      <c r="A89" s="1710"/>
      <c r="B89" s="1769"/>
      <c r="C89" s="1772"/>
      <c r="D89" s="1782"/>
      <c r="E89" s="1783"/>
      <c r="F89" s="935" t="s">
        <v>78</v>
      </c>
      <c r="G89" s="1154">
        <f>$E$88/3</f>
        <v>0.3968253968253968</v>
      </c>
      <c r="H89" s="101">
        <v>14</v>
      </c>
      <c r="I89" s="104">
        <v>35.4</v>
      </c>
      <c r="J89" s="1136">
        <f>I89-H89</f>
        <v>21.4</v>
      </c>
      <c r="K89" s="1156">
        <f>I89*(6/10)</f>
        <v>21.24</v>
      </c>
      <c r="L89" s="1157">
        <f>I89-K89</f>
        <v>14.16</v>
      </c>
      <c r="M89" s="916">
        <f>IF(K89&lt;&gt;0,J89/K89,"0%")</f>
        <v>1.0075329566854991</v>
      </c>
      <c r="N89" s="1697"/>
      <c r="O89" s="1700"/>
      <c r="P89" s="1703"/>
      <c r="Q89" s="1158" t="s">
        <v>188</v>
      </c>
      <c r="R89" s="221" t="s">
        <v>604</v>
      </c>
      <c r="S89" s="204"/>
    </row>
    <row r="90" spans="1:19" ht="43.5" customHeight="1" thickBot="1" x14ac:dyDescent="0.5">
      <c r="A90" s="1710"/>
      <c r="B90" s="1769"/>
      <c r="C90" s="1772"/>
      <c r="D90" s="1782"/>
      <c r="E90" s="1783"/>
      <c r="F90" s="935" t="s">
        <v>79</v>
      </c>
      <c r="G90" s="1154">
        <f>$E$88/3</f>
        <v>0.3968253968253968</v>
      </c>
      <c r="H90" s="367"/>
      <c r="I90" s="368"/>
      <c r="J90" s="1136">
        <f>I90-H90</f>
        <v>0</v>
      </c>
      <c r="K90" s="1159">
        <f>(I90)*(6/10)</f>
        <v>0</v>
      </c>
      <c r="L90" s="1160">
        <f>I90-K90</f>
        <v>0</v>
      </c>
      <c r="M90" s="859" t="str">
        <f>IF(H90=0,"0%",J90/K90)</f>
        <v>0%</v>
      </c>
      <c r="N90" s="1697"/>
      <c r="O90" s="1700"/>
      <c r="P90" s="1703"/>
      <c r="Q90" s="1161" t="s">
        <v>189</v>
      </c>
      <c r="R90" s="221" t="s">
        <v>603</v>
      </c>
      <c r="S90" s="744" t="s">
        <v>580</v>
      </c>
    </row>
    <row r="91" spans="1:19" ht="40.799999999999997" customHeight="1" thickBot="1" x14ac:dyDescent="0.5">
      <c r="A91" s="1710"/>
      <c r="B91" s="1770"/>
      <c r="C91" s="1773"/>
      <c r="D91" s="918" t="s">
        <v>161</v>
      </c>
      <c r="E91" s="868">
        <f>$C$87/3</f>
        <v>1.1904761904761905</v>
      </c>
      <c r="F91" s="1162" t="s">
        <v>80</v>
      </c>
      <c r="G91" s="1163">
        <f>E91/1</f>
        <v>1.1904761904761905</v>
      </c>
      <c r="H91" s="100">
        <v>100</v>
      </c>
      <c r="I91" s="107">
        <v>100</v>
      </c>
      <c r="J91" s="1140">
        <f>H91-I91</f>
        <v>0</v>
      </c>
      <c r="K91" s="1141">
        <f>(100-I91)*(6/10)</f>
        <v>0</v>
      </c>
      <c r="L91" s="1165">
        <f>I91+K91</f>
        <v>100</v>
      </c>
      <c r="M91" s="874">
        <f>IF(I91&gt;=60,(1+(H91-60)/60),(H91/L91))</f>
        <v>1.6666666666666665</v>
      </c>
      <c r="N91" s="1698"/>
      <c r="O91" s="1701"/>
      <c r="P91" s="1679"/>
      <c r="Q91" s="1166" t="s">
        <v>95</v>
      </c>
      <c r="R91" s="222"/>
      <c r="S91" s="198"/>
    </row>
    <row r="92" spans="1:19" ht="14.65" thickBot="1" x14ac:dyDescent="0.5">
      <c r="B92" s="1535" t="s">
        <v>81</v>
      </c>
      <c r="C92" s="1536"/>
      <c r="D92" s="1536"/>
      <c r="E92" s="1536"/>
      <c r="F92" s="1537"/>
      <c r="G92" s="11"/>
      <c r="H92" s="778"/>
      <c r="I92" s="779"/>
      <c r="J92" s="175"/>
      <c r="K92" s="11"/>
      <c r="L92" s="11"/>
      <c r="M92" s="173"/>
      <c r="N92" s="833">
        <f>(N93+N97)/2</f>
        <v>0.3550609535616509</v>
      </c>
      <c r="O92" s="834">
        <f>(O93+O97)</f>
        <v>4.8611103333333334</v>
      </c>
      <c r="P92" s="835">
        <f>O92/14.285712</f>
        <v>0.34027777777777779</v>
      </c>
      <c r="Q92" s="1029"/>
      <c r="R92" s="692"/>
      <c r="S92" s="724"/>
    </row>
    <row r="93" spans="1:19" ht="20.45" customHeight="1" thickBot="1" x14ac:dyDescent="0.5">
      <c r="B93" s="1684" t="s">
        <v>82</v>
      </c>
      <c r="C93" s="1685"/>
      <c r="D93" s="1685"/>
      <c r="E93" s="1685"/>
      <c r="F93" s="1686"/>
      <c r="G93" s="923"/>
      <c r="H93" s="1379"/>
      <c r="I93" s="1380"/>
      <c r="J93" s="947"/>
      <c r="K93" s="947"/>
      <c r="L93" s="947"/>
      <c r="M93" s="948"/>
      <c r="N93" s="833">
        <f>N94</f>
        <v>0.66666666666666663</v>
      </c>
      <c r="O93" s="834">
        <f>O94</f>
        <v>2.3809519999999997</v>
      </c>
      <c r="P93" s="835">
        <f>O93/3.571428</f>
        <v>0.66666666666666663</v>
      </c>
      <c r="Q93" s="1017"/>
      <c r="R93" s="685"/>
      <c r="S93" s="696"/>
    </row>
    <row r="94" spans="1:19" ht="34.799999999999997" customHeight="1" x14ac:dyDescent="0.45">
      <c r="A94" s="1669">
        <v>25</v>
      </c>
      <c r="B94" s="1687" t="s">
        <v>83</v>
      </c>
      <c r="C94" s="1784">
        <f>M5</f>
        <v>3.5714285714285716</v>
      </c>
      <c r="D94" s="1727" t="s">
        <v>214</v>
      </c>
      <c r="E94" s="1018">
        <f>$C$94/3</f>
        <v>1.1904761904761905</v>
      </c>
      <c r="F94" s="926" t="s">
        <v>269</v>
      </c>
      <c r="G94" s="1167">
        <f>E94/1</f>
        <v>1.1904761904761905</v>
      </c>
      <c r="H94" s="906">
        <v>100</v>
      </c>
      <c r="I94" s="907">
        <v>100</v>
      </c>
      <c r="J94" s="1245">
        <f>H94-I94</f>
        <v>0</v>
      </c>
      <c r="K94" s="1169">
        <f>(100-I94)*(6/10)</f>
        <v>0</v>
      </c>
      <c r="L94" s="1170">
        <f>I94+K94</f>
        <v>100</v>
      </c>
      <c r="M94" s="859" t="str">
        <f>IF(K94&lt;&gt;0,J94/K94,"100%")</f>
        <v>100%</v>
      </c>
      <c r="N94" s="1748">
        <f>(((G94/C94)*M94)+((G95/C94)*M95)+((G96/C94)*M96))</f>
        <v>0.66666666666666663</v>
      </c>
      <c r="O94" s="1702">
        <f>IF((((G94/C94)*M94)+((G95/C94)*M95)+((G96/C94)*M96))&gt;=1,3.571428,IF((((G94/C94)*M94)+((G95/C94)*M95)+((G96/C94)*M96))&lt;=0,0,(((G94/C94)*M94)+((G95/C94)*M95)+((G96/C94)*M96))*3.571428))</f>
        <v>2.3809519999999997</v>
      </c>
      <c r="P94" s="1678">
        <f>O94/3.571428</f>
        <v>0.66666666666666663</v>
      </c>
      <c r="Q94" s="1171" t="s">
        <v>190</v>
      </c>
      <c r="R94" s="196" t="s">
        <v>605</v>
      </c>
      <c r="S94" s="196" t="s">
        <v>606</v>
      </c>
    </row>
    <row r="95" spans="1:19" ht="48.75" customHeight="1" thickBot="1" x14ac:dyDescent="0.5">
      <c r="A95" s="1669"/>
      <c r="B95" s="1688"/>
      <c r="C95" s="1785"/>
      <c r="D95" s="1721"/>
      <c r="E95" s="1172">
        <f t="shared" ref="E95:E96" si="32">$C$94/3</f>
        <v>1.1904761904761905</v>
      </c>
      <c r="F95" s="1058" t="s">
        <v>270</v>
      </c>
      <c r="G95" s="1154">
        <f>E95/1</f>
        <v>1.1904761904761905</v>
      </c>
      <c r="H95" s="356"/>
      <c r="I95" s="381"/>
      <c r="J95" s="1136">
        <f>IF(AND(I95&gt;1,(H95-I95=0)),(H95-1),(H95-I95))</f>
        <v>0</v>
      </c>
      <c r="K95" s="997">
        <f>IF(AND(I95&gt;=1,H95&gt;=1),"0",((1-I95)*(6/10)))</f>
        <v>0.6</v>
      </c>
      <c r="L95" s="1173">
        <f t="shared" ref="L95:L96" si="33">I95+K95</f>
        <v>0.6</v>
      </c>
      <c r="M95" s="916">
        <f>IF(I95&gt;=1,(1+(H95-1)/1),(J95/K95))</f>
        <v>0</v>
      </c>
      <c r="N95" s="1749"/>
      <c r="O95" s="1700"/>
      <c r="P95" s="1703"/>
      <c r="Q95" s="1174" t="s">
        <v>191</v>
      </c>
      <c r="R95" s="204"/>
      <c r="S95" s="744" t="s">
        <v>580</v>
      </c>
    </row>
    <row r="96" spans="1:19" ht="41.45" customHeight="1" thickBot="1" x14ac:dyDescent="0.5">
      <c r="A96" s="1669"/>
      <c r="B96" s="1739"/>
      <c r="C96" s="1786"/>
      <c r="D96" s="1728"/>
      <c r="E96" s="1021">
        <f t="shared" si="32"/>
        <v>1.1904761904761905</v>
      </c>
      <c r="F96" s="953" t="s">
        <v>84</v>
      </c>
      <c r="G96" s="1163">
        <f>E96/1</f>
        <v>1.1904761904761905</v>
      </c>
      <c r="H96" s="98">
        <v>100</v>
      </c>
      <c r="I96" s="97">
        <v>100</v>
      </c>
      <c r="J96" s="1140">
        <f>H96-I96</f>
        <v>0</v>
      </c>
      <c r="K96" s="1141">
        <f>(100-I96)*(6/10)</f>
        <v>0</v>
      </c>
      <c r="L96" s="1165">
        <f t="shared" si="33"/>
        <v>100</v>
      </c>
      <c r="M96" s="874" t="str">
        <f>IF(K96&lt;&gt;0,J96/K96,"100%")</f>
        <v>100%</v>
      </c>
      <c r="N96" s="1750"/>
      <c r="O96" s="1701"/>
      <c r="P96" s="1679"/>
      <c r="Q96" s="1175" t="s">
        <v>95</v>
      </c>
      <c r="R96" s="198"/>
      <c r="S96" s="198"/>
    </row>
    <row r="97" spans="1:19" ht="18" customHeight="1" thickBot="1" x14ac:dyDescent="0.5">
      <c r="B97" s="1787" t="s">
        <v>85</v>
      </c>
      <c r="C97" s="1788"/>
      <c r="D97" s="1788"/>
      <c r="E97" s="1788"/>
      <c r="F97" s="1789"/>
      <c r="G97" s="1176"/>
      <c r="H97" s="1390"/>
      <c r="I97" s="1391"/>
      <c r="J97" s="1176"/>
      <c r="K97" s="1177"/>
      <c r="L97" s="1177"/>
      <c r="M97" s="1178"/>
      <c r="N97" s="1179">
        <f>(N98+N99+N100)/3</f>
        <v>4.3455240456635146E-2</v>
      </c>
      <c r="O97" s="1180">
        <f>(O98+O99+O100)</f>
        <v>2.4801583333333337</v>
      </c>
      <c r="P97" s="835">
        <f>O97/10.714284</f>
        <v>0.23148148148148154</v>
      </c>
      <c r="Q97" s="1181"/>
      <c r="R97" s="737"/>
      <c r="S97" s="737"/>
    </row>
    <row r="98" spans="1:19" ht="29.45" customHeight="1" thickBot="1" x14ac:dyDescent="0.5">
      <c r="A98" s="16">
        <v>26</v>
      </c>
      <c r="B98" s="961" t="s">
        <v>86</v>
      </c>
      <c r="C98" s="962">
        <f>$M$5</f>
        <v>3.5714285714285716</v>
      </c>
      <c r="D98" s="961" t="s">
        <v>215</v>
      </c>
      <c r="E98" s="962">
        <f>C98/1</f>
        <v>3.5714285714285716</v>
      </c>
      <c r="F98" s="1095" t="s">
        <v>291</v>
      </c>
      <c r="G98" s="962">
        <f>E98/1</f>
        <v>3.5714285714285716</v>
      </c>
      <c r="H98" s="1087">
        <v>0</v>
      </c>
      <c r="I98" s="1088">
        <v>0</v>
      </c>
      <c r="J98" s="1182">
        <f>IF(I98=H98,(H98-10),H98-I98)</f>
        <v>-10</v>
      </c>
      <c r="K98" s="982">
        <f>IF(I98&gt;=10,0,((10-I98)*(6/10)))</f>
        <v>6</v>
      </c>
      <c r="L98" s="1090">
        <f>I98+K98</f>
        <v>6</v>
      </c>
      <c r="M98" s="859" t="str">
        <f>IF(H98=0,"0%",J98/K98)</f>
        <v>0%</v>
      </c>
      <c r="N98" s="1091">
        <f>((G98/C98)*M98)</f>
        <v>0</v>
      </c>
      <c r="O98" s="970">
        <f>IF(((G98/C98)*M98)&gt;=1,3.571428,IF(((G98/C98)*M98)&lt;=0,0,((G98/C98)*M98)*3.571428))</f>
        <v>0</v>
      </c>
      <c r="P98" s="835">
        <f>O98/3.571428</f>
        <v>0</v>
      </c>
      <c r="Q98" s="1183" t="s">
        <v>95</v>
      </c>
      <c r="R98" s="780"/>
      <c r="S98" s="724"/>
    </row>
    <row r="99" spans="1:19" ht="35.25" thickBot="1" x14ac:dyDescent="0.5">
      <c r="A99" s="16">
        <v>27</v>
      </c>
      <c r="B99" s="961" t="s">
        <v>87</v>
      </c>
      <c r="C99" s="962">
        <f>$M$5</f>
        <v>3.5714285714285716</v>
      </c>
      <c r="D99" s="961" t="s">
        <v>216</v>
      </c>
      <c r="E99" s="962">
        <f>C99/1</f>
        <v>3.5714285714285716</v>
      </c>
      <c r="F99" s="1095" t="s">
        <v>271</v>
      </c>
      <c r="G99" s="962">
        <f>E99/1</f>
        <v>3.5714285714285716</v>
      </c>
      <c r="H99" s="1114">
        <v>46.21</v>
      </c>
      <c r="I99" s="1088">
        <v>53.49</v>
      </c>
      <c r="J99" s="1182">
        <f>IF(I99=H99,(H99-75),H99-I99)</f>
        <v>-7.2800000000000011</v>
      </c>
      <c r="K99" s="982">
        <f>IF(I99&gt;=75,0,((75-I99)*(6/10)))</f>
        <v>12.905999999999999</v>
      </c>
      <c r="L99" s="1115">
        <f>I99+K99</f>
        <v>66.396000000000001</v>
      </c>
      <c r="M99" s="1184">
        <f>IF(I99&gt;=75,(1+(H99-75)/75),(J99/K99))</f>
        <v>-0.5640787230745391</v>
      </c>
      <c r="N99" s="1091">
        <f>((G99/C99)*M99)</f>
        <v>-0.5640787230745391</v>
      </c>
      <c r="O99" s="970">
        <f>IF(((G99/C99)*M99)&gt;=1,3.571428,IF(((G99/C99)*M99)&lt;=0,0,((G99/C99)*M99)*3.571428))</f>
        <v>0</v>
      </c>
      <c r="P99" s="835">
        <f>O99/3.571428</f>
        <v>0</v>
      </c>
      <c r="Q99" s="1183" t="s">
        <v>192</v>
      </c>
      <c r="R99" s="177" t="s">
        <v>607</v>
      </c>
      <c r="S99" s="724"/>
    </row>
    <row r="100" spans="1:19" ht="30.75" thickBot="1" x14ac:dyDescent="0.5">
      <c r="A100" s="1669">
        <v>28</v>
      </c>
      <c r="B100" s="1790" t="s">
        <v>88</v>
      </c>
      <c r="C100" s="1792">
        <f>M5</f>
        <v>3.5714285714285716</v>
      </c>
      <c r="D100" s="1790" t="s">
        <v>217</v>
      </c>
      <c r="E100" s="1792">
        <f>C100/1</f>
        <v>3.5714285714285716</v>
      </c>
      <c r="F100" s="1054" t="s">
        <v>89</v>
      </c>
      <c r="G100" s="853">
        <f>$E$100/2</f>
        <v>1.7857142857142858</v>
      </c>
      <c r="H100" s="928">
        <v>76</v>
      </c>
      <c r="I100" s="929">
        <v>96</v>
      </c>
      <c r="J100" s="1185">
        <f>IF(I100=H100,(25-H100),I100-H100)</f>
        <v>20</v>
      </c>
      <c r="K100" s="1035">
        <f>IF(I100&lt;=25,0,((0.25*I100)*(6/10)))</f>
        <v>14.399999999999999</v>
      </c>
      <c r="L100" s="1186">
        <f>I100-K100</f>
        <v>81.599999999999994</v>
      </c>
      <c r="M100" s="859">
        <f>IF(I100&lt;=25,(1+(25-H100)/25),(J100/K100))</f>
        <v>1.3888888888888891</v>
      </c>
      <c r="N100" s="1795">
        <f>((G100/$C$100)*M100)+((G101/$C$100)*M101)</f>
        <v>0.69444444444444453</v>
      </c>
      <c r="O100" s="1676">
        <f>IF((((G100/C100)*M100)+((G101/C100)*M101))&gt;=1,3.57148,IF((((G100/C100)*M100)+((G101/C100)*M101))&lt;=0,0, (((G100/C100)*M100)+((G101/C100)*M101))*3.571428))</f>
        <v>2.4801583333333337</v>
      </c>
      <c r="P100" s="1678">
        <f>O100/3.571428</f>
        <v>0.69444444444444453</v>
      </c>
      <c r="Q100" s="1187" t="s">
        <v>193</v>
      </c>
      <c r="R100" s="527"/>
      <c r="S100" s="411"/>
    </row>
    <row r="101" spans="1:19" ht="38.450000000000003" customHeight="1" thickBot="1" x14ac:dyDescent="0.5">
      <c r="A101" s="1669"/>
      <c r="B101" s="1791"/>
      <c r="C101" s="1793"/>
      <c r="D101" s="1791"/>
      <c r="E101" s="1794"/>
      <c r="F101" s="953" t="s">
        <v>90</v>
      </c>
      <c r="G101" s="868">
        <f>$E$100/2</f>
        <v>1.7857142857142858</v>
      </c>
      <c r="H101" s="360"/>
      <c r="I101" s="376"/>
      <c r="J101" s="1188">
        <f>IF(I101=H101,(H101-25),H101-I101)</f>
        <v>-25</v>
      </c>
      <c r="K101" s="921">
        <f>IF(I101&gt;=25,0,((25-I101)*(6/10)))</f>
        <v>15</v>
      </c>
      <c r="L101" s="1189">
        <f t="shared" ref="L101" si="34">K101+I101</f>
        <v>15</v>
      </c>
      <c r="M101" s="859" t="str">
        <f>IF(H101=0,"0%",J101/K101)</f>
        <v>0%</v>
      </c>
      <c r="N101" s="1796"/>
      <c r="O101" s="1677"/>
      <c r="P101" s="1679"/>
      <c r="Q101" s="1190" t="s">
        <v>95</v>
      </c>
      <c r="R101" s="781"/>
      <c r="S101" s="155" t="s">
        <v>608</v>
      </c>
    </row>
    <row r="102" spans="1:19" ht="34.25" customHeight="1" thickBot="1" x14ac:dyDescent="0.5">
      <c r="B102" s="1191" t="s">
        <v>194</v>
      </c>
      <c r="C102" s="1192">
        <f>C11+C13+C15+C19+C24+C33+C34+C35+C36+C38+C41+C44+C48+C51+C53+C61+C68+C71+C73+C75+C78+C81+C83+C87+C94+C98+C99+C100</f>
        <v>99.999999999999972</v>
      </c>
      <c r="D102" s="1193"/>
      <c r="E102" s="1192">
        <f>E11+E12+E13+E14+E15+E19+E20+E21+E22+E24+E25+E28+E31+E33+E34+E35+E36+E38+E39+E41+E42+E44+E45+E48+E49++E51+E53+E54+E55+E56+E57+E61+E62+E63+E64+E68+E71+E73+E75+E78+E81++E82+E83+E84+E85+E87+E88+E91+E94+E95+E96+E98+E99+E100</f>
        <v>100.00714285714285</v>
      </c>
      <c r="F102" s="1194"/>
      <c r="G102" s="1192">
        <f>G11+G12+G13+G14+G15+G16+G17+G19+G20+G21+G22+G24+G25+G26+G27+G28+G29+G30+G31+G33+G34+G35+G36+G38+G39+G41+G42+G44+G45+G48+G49+G51+G53+G54+G55+G56+G57+G58+G61+G62+G63+G64+G65+G66+G68+G71+G73+G75+G78+G81+G82+G83+G84+G85+G87+G88+G89+G90+G91+G94+G95+G96+G98+G99+G100+G101</f>
        <v>100.00714285714285</v>
      </c>
      <c r="H102" s="1195"/>
      <c r="I102" s="1196"/>
      <c r="J102" s="1195"/>
      <c r="K102" s="1197"/>
      <c r="L102" s="1194"/>
      <c r="M102" s="1198"/>
      <c r="N102" s="1199"/>
      <c r="O102" s="1200"/>
      <c r="P102" s="1200"/>
      <c r="Q102" s="1201"/>
      <c r="R102" s="17"/>
      <c r="S102" s="18"/>
    </row>
    <row r="104" spans="1:19" ht="15.75" x14ac:dyDescent="0.5">
      <c r="B104" s="19"/>
    </row>
    <row r="107" spans="1:19" ht="15.75" x14ac:dyDescent="0.5">
      <c r="B107" s="19"/>
    </row>
    <row r="108" spans="1:19" x14ac:dyDescent="0.45">
      <c r="B108" s="20"/>
    </row>
    <row r="109" spans="1:19" x14ac:dyDescent="0.45">
      <c r="B109" s="20"/>
    </row>
    <row r="111" spans="1:19" x14ac:dyDescent="0.45">
      <c r="E111"/>
      <c r="F111" s="1202" t="s">
        <v>196</v>
      </c>
    </row>
    <row r="112" spans="1:19" x14ac:dyDescent="0.45">
      <c r="E112" s="1203">
        <v>1</v>
      </c>
      <c r="F112" s="1203" t="s">
        <v>197</v>
      </c>
    </row>
    <row r="113" spans="5:6" x14ac:dyDescent="0.45">
      <c r="E113" s="1203">
        <v>2</v>
      </c>
      <c r="F113" s="1203" t="s">
        <v>227</v>
      </c>
    </row>
    <row r="114" spans="5:6" x14ac:dyDescent="0.45">
      <c r="E114" s="1203">
        <v>3</v>
      </c>
      <c r="F114" s="1203" t="s">
        <v>228</v>
      </c>
    </row>
    <row r="115" spans="5:6" x14ac:dyDescent="0.45">
      <c r="E115" s="1203">
        <v>4</v>
      </c>
      <c r="F115" s="1203" t="s">
        <v>229</v>
      </c>
    </row>
    <row r="116" spans="5:6" x14ac:dyDescent="0.45">
      <c r="E116" s="1203">
        <v>5</v>
      </c>
      <c r="F116" s="1203" t="s">
        <v>198</v>
      </c>
    </row>
    <row r="117" spans="5:6" x14ac:dyDescent="0.45">
      <c r="E117" s="1203">
        <v>6</v>
      </c>
      <c r="F117" s="1203" t="s">
        <v>230</v>
      </c>
    </row>
    <row r="118" spans="5:6" x14ac:dyDescent="0.45">
      <c r="E118" s="1203">
        <v>7</v>
      </c>
      <c r="F118" s="1203" t="s">
        <v>231</v>
      </c>
    </row>
    <row r="119" spans="5:6" x14ac:dyDescent="0.45">
      <c r="E119" s="1203">
        <v>8</v>
      </c>
      <c r="F119" s="1203" t="s">
        <v>199</v>
      </c>
    </row>
    <row r="120" spans="5:6" x14ac:dyDescent="0.45">
      <c r="E120" s="1203">
        <v>9</v>
      </c>
      <c r="F120" s="1203" t="s">
        <v>200</v>
      </c>
    </row>
    <row r="121" spans="5:6" x14ac:dyDescent="0.45">
      <c r="E121" s="1203">
        <v>10</v>
      </c>
      <c r="F121" s="1203" t="s">
        <v>201</v>
      </c>
    </row>
    <row r="122" spans="5:6" x14ac:dyDescent="0.45">
      <c r="E122" s="1203">
        <v>11</v>
      </c>
      <c r="F122" s="1203" t="s">
        <v>232</v>
      </c>
    </row>
    <row r="123" spans="5:6" x14ac:dyDescent="0.45">
      <c r="E123" s="1203">
        <v>12</v>
      </c>
      <c r="F123" s="1203" t="s">
        <v>202</v>
      </c>
    </row>
    <row r="124" spans="5:6" x14ac:dyDescent="0.45">
      <c r="E124" s="1203">
        <f t="shared" ref="E124:E145" si="35">E123+1</f>
        <v>13</v>
      </c>
      <c r="F124" s="1203" t="s">
        <v>203</v>
      </c>
    </row>
    <row r="125" spans="5:6" x14ac:dyDescent="0.45">
      <c r="E125" s="1203">
        <v>14</v>
      </c>
      <c r="F125" s="1203" t="s">
        <v>233</v>
      </c>
    </row>
    <row r="126" spans="5:6" x14ac:dyDescent="0.45">
      <c r="E126" s="1203">
        <v>15</v>
      </c>
      <c r="F126" s="1203" t="s">
        <v>234</v>
      </c>
    </row>
    <row r="127" spans="5:6" x14ac:dyDescent="0.45">
      <c r="E127" s="1203">
        <v>16</v>
      </c>
      <c r="F127" s="1203" t="s">
        <v>213</v>
      </c>
    </row>
    <row r="128" spans="5:6" x14ac:dyDescent="0.45">
      <c r="E128" s="1203">
        <v>17</v>
      </c>
      <c r="F128" s="1203" t="s">
        <v>235</v>
      </c>
    </row>
    <row r="129" spans="5:6" x14ac:dyDescent="0.45">
      <c r="E129" s="1203">
        <v>18</v>
      </c>
      <c r="F129" s="1203" t="s">
        <v>263</v>
      </c>
    </row>
    <row r="130" spans="5:6" x14ac:dyDescent="0.45">
      <c r="E130" s="1203">
        <v>19</v>
      </c>
      <c r="F130" s="1203" t="s">
        <v>204</v>
      </c>
    </row>
    <row r="131" spans="5:6" x14ac:dyDescent="0.45">
      <c r="E131" s="1203">
        <v>20</v>
      </c>
      <c r="F131" s="1203" t="s">
        <v>236</v>
      </c>
    </row>
    <row r="132" spans="5:6" x14ac:dyDescent="0.45">
      <c r="E132" s="1203">
        <v>21</v>
      </c>
      <c r="F132" s="1203" t="s">
        <v>237</v>
      </c>
    </row>
    <row r="133" spans="5:6" x14ac:dyDescent="0.45">
      <c r="E133" s="1203">
        <v>22</v>
      </c>
      <c r="F133" s="1203" t="s">
        <v>238</v>
      </c>
    </row>
    <row r="134" spans="5:6" x14ac:dyDescent="0.45">
      <c r="E134" s="1203">
        <v>23</v>
      </c>
      <c r="F134" s="1203" t="s">
        <v>205</v>
      </c>
    </row>
    <row r="135" spans="5:6" x14ac:dyDescent="0.45">
      <c r="E135" s="1203">
        <v>24</v>
      </c>
      <c r="F135" s="1203" t="s">
        <v>239</v>
      </c>
    </row>
    <row r="136" spans="5:6" x14ac:dyDescent="0.45">
      <c r="E136" s="1203">
        <v>25</v>
      </c>
      <c r="F136" s="1203" t="s">
        <v>240</v>
      </c>
    </row>
    <row r="137" spans="5:6" x14ac:dyDescent="0.45">
      <c r="E137" s="1203">
        <v>26</v>
      </c>
      <c r="F137" s="1203" t="s">
        <v>241</v>
      </c>
    </row>
    <row r="138" spans="5:6" x14ac:dyDescent="0.45">
      <c r="E138" s="1203">
        <v>27</v>
      </c>
      <c r="F138" s="1203" t="s">
        <v>206</v>
      </c>
    </row>
    <row r="139" spans="5:6" x14ac:dyDescent="0.45">
      <c r="E139" s="1203">
        <v>28</v>
      </c>
      <c r="F139" s="1203" t="s">
        <v>242</v>
      </c>
    </row>
    <row r="140" spans="5:6" x14ac:dyDescent="0.45">
      <c r="E140" s="1203">
        <v>29</v>
      </c>
      <c r="F140" s="1203" t="s">
        <v>243</v>
      </c>
    </row>
    <row r="141" spans="5:6" x14ac:dyDescent="0.45">
      <c r="E141" s="1203">
        <v>30</v>
      </c>
      <c r="F141" s="1203" t="s">
        <v>244</v>
      </c>
    </row>
    <row r="142" spans="5:6" x14ac:dyDescent="0.45">
      <c r="E142" s="1203">
        <v>31</v>
      </c>
      <c r="F142" s="1203" t="s">
        <v>245</v>
      </c>
    </row>
    <row r="143" spans="5:6" x14ac:dyDescent="0.45">
      <c r="E143" s="1203">
        <v>32</v>
      </c>
      <c r="F143" s="1203" t="s">
        <v>246</v>
      </c>
    </row>
    <row r="144" spans="5:6" x14ac:dyDescent="0.45">
      <c r="E144" s="1203">
        <v>33</v>
      </c>
      <c r="F144" s="1203" t="s">
        <v>207</v>
      </c>
    </row>
    <row r="145" spans="5:6" x14ac:dyDescent="0.45">
      <c r="E145" s="1203">
        <f t="shared" si="35"/>
        <v>34</v>
      </c>
      <c r="F145" s="1203" t="s">
        <v>208</v>
      </c>
    </row>
    <row r="146" spans="5:6" x14ac:dyDescent="0.45">
      <c r="E146" s="1203">
        <v>35</v>
      </c>
      <c r="F146" s="1203" t="s">
        <v>247</v>
      </c>
    </row>
    <row r="147" spans="5:6" x14ac:dyDescent="0.45">
      <c r="E147" s="1203">
        <v>36</v>
      </c>
      <c r="F147" s="1203" t="s">
        <v>248</v>
      </c>
    </row>
    <row r="148" spans="5:6" x14ac:dyDescent="0.45">
      <c r="E148" s="1203">
        <v>36</v>
      </c>
      <c r="F148" s="1203" t="s">
        <v>249</v>
      </c>
    </row>
    <row r="149" spans="5:6" x14ac:dyDescent="0.45">
      <c r="E149" s="1203">
        <v>38</v>
      </c>
      <c r="F149" s="1203" t="s">
        <v>250</v>
      </c>
    </row>
    <row r="150" spans="5:6" x14ac:dyDescent="0.45">
      <c r="E150" s="1203">
        <v>39</v>
      </c>
      <c r="F150" s="1203" t="s">
        <v>251</v>
      </c>
    </row>
    <row r="151" spans="5:6" x14ac:dyDescent="0.45">
      <c r="E151" s="1203">
        <v>40</v>
      </c>
      <c r="F151" s="1203" t="s">
        <v>209</v>
      </c>
    </row>
    <row r="152" spans="5:6" x14ac:dyDescent="0.45">
      <c r="E152" s="1203">
        <v>41</v>
      </c>
      <c r="F152" s="1203" t="s">
        <v>264</v>
      </c>
    </row>
    <row r="153" spans="5:6" x14ac:dyDescent="0.45">
      <c r="E153" s="1203">
        <v>42</v>
      </c>
      <c r="F153" s="1203" t="s">
        <v>252</v>
      </c>
    </row>
    <row r="154" spans="5:6" x14ac:dyDescent="0.45">
      <c r="E154" s="1203">
        <v>43</v>
      </c>
      <c r="F154" s="1203" t="s">
        <v>253</v>
      </c>
    </row>
    <row r="155" spans="5:6" x14ac:dyDescent="0.45">
      <c r="E155" s="1203">
        <v>44</v>
      </c>
      <c r="F155" s="1203" t="s">
        <v>254</v>
      </c>
    </row>
    <row r="156" spans="5:6" x14ac:dyDescent="0.45">
      <c r="E156" s="1203">
        <v>45</v>
      </c>
      <c r="F156" s="1203" t="s">
        <v>210</v>
      </c>
    </row>
    <row r="157" spans="5:6" x14ac:dyDescent="0.45">
      <c r="E157" s="1203">
        <v>46</v>
      </c>
      <c r="F157" s="1203" t="s">
        <v>255</v>
      </c>
    </row>
    <row r="158" spans="5:6" x14ac:dyDescent="0.45">
      <c r="E158" s="1203">
        <v>47</v>
      </c>
      <c r="F158" s="1203" t="s">
        <v>211</v>
      </c>
    </row>
    <row r="159" spans="5:6" x14ac:dyDescent="0.45">
      <c r="E159" s="1203">
        <v>48</v>
      </c>
      <c r="F159" s="1203" t="s">
        <v>256</v>
      </c>
    </row>
    <row r="160" spans="5:6" x14ac:dyDescent="0.45">
      <c r="E160" s="1203">
        <v>49</v>
      </c>
      <c r="F160" s="1203" t="s">
        <v>257</v>
      </c>
    </row>
    <row r="161" spans="5:6" x14ac:dyDescent="0.45">
      <c r="E161" s="1203">
        <v>50</v>
      </c>
      <c r="F161" s="1203" t="s">
        <v>260</v>
      </c>
    </row>
    <row r="162" spans="5:6" x14ac:dyDescent="0.45">
      <c r="E162" s="1203">
        <v>51</v>
      </c>
      <c r="F162" s="1203" t="s">
        <v>258</v>
      </c>
    </row>
    <row r="163" spans="5:6" x14ac:dyDescent="0.45">
      <c r="E163" s="1203">
        <v>52</v>
      </c>
      <c r="F163" s="1203" t="s">
        <v>212</v>
      </c>
    </row>
    <row r="164" spans="5:6" x14ac:dyDescent="0.45">
      <c r="E164" s="1203">
        <v>53</v>
      </c>
      <c r="F164" s="1203" t="s">
        <v>259</v>
      </c>
    </row>
    <row r="165" spans="5:6" x14ac:dyDescent="0.45">
      <c r="E165" s="1203">
        <v>54</v>
      </c>
      <c r="F165" s="1203" t="s">
        <v>261</v>
      </c>
    </row>
    <row r="166" spans="5:6" x14ac:dyDescent="0.45">
      <c r="E166" s="1203">
        <v>55</v>
      </c>
      <c r="F166" s="1203" t="s">
        <v>262</v>
      </c>
    </row>
    <row r="167" spans="5:6" x14ac:dyDescent="0.45">
      <c r="E167"/>
      <c r="F167"/>
    </row>
    <row r="168" spans="5:6" x14ac:dyDescent="0.45">
      <c r="E168"/>
      <c r="F168"/>
    </row>
  </sheetData>
  <sheetProtection algorithmName="SHA-512" hashValue="NVs8zYXGFf2IAAH+Qj45vjbJlzg78DMommJQVTUTbn0H9eIJ7Ls5tyYfTQT9C4HYGSkRuxHOxMMnxdlmNsDzCA==" saltValue="bUohw1hLL+/YgGz2vpOmYQ=="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70A0A87F-6955-44F0-B638-74D7937C77EA}">
      <formula1>$F$112:$F$166</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0DC5B-7260-43D3-864E-3E0CCC33FE10}">
  <dimension ref="A1:AA168"/>
  <sheetViews>
    <sheetView topLeftCell="B1" zoomScale="50" zoomScaleNormal="50" workbookViewId="0">
      <selection activeCell="O9" sqref="O9 O46 O59 O69 O76 O79 O9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4" width="15.33203125" style="5" customWidth="1"/>
    <col min="15" max="16" width="15.3320312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793"/>
      <c r="P1" s="793"/>
      <c r="Q1" s="793"/>
      <c r="R1" s="3"/>
      <c r="S1" s="4"/>
      <c r="U1" s="794"/>
      <c r="V1" s="794"/>
      <c r="W1" s="794"/>
      <c r="X1" s="794"/>
      <c r="Y1" s="794"/>
      <c r="Z1" s="794"/>
      <c r="AA1" s="794"/>
    </row>
    <row r="2" spans="1:27" ht="30" x14ac:dyDescent="1.1000000000000001">
      <c r="B2" s="795"/>
      <c r="C2" s="796"/>
      <c r="D2" s="797" t="s">
        <v>286</v>
      </c>
      <c r="E2" s="796"/>
      <c r="F2" s="798"/>
      <c r="G2" s="798"/>
      <c r="H2" s="798"/>
      <c r="I2" s="798"/>
      <c r="J2" s="798"/>
      <c r="K2" s="798"/>
      <c r="L2" s="798"/>
      <c r="M2" s="798"/>
      <c r="N2" s="798"/>
      <c r="O2" s="796"/>
      <c r="P2" s="796"/>
      <c r="Q2" s="796"/>
      <c r="R2" s="798"/>
      <c r="S2" s="6"/>
    </row>
    <row r="3" spans="1:27" ht="14.65" thickBot="1" x14ac:dyDescent="0.5">
      <c r="B3" s="799"/>
      <c r="C3" s="800"/>
      <c r="D3" s="800"/>
      <c r="E3" s="800"/>
      <c r="F3" s="801"/>
      <c r="G3" s="801"/>
      <c r="H3" s="801"/>
      <c r="I3" s="801"/>
      <c r="J3" s="801"/>
      <c r="K3" s="801"/>
      <c r="L3" s="801"/>
      <c r="M3" s="801"/>
      <c r="N3" s="801"/>
      <c r="O3" s="800"/>
      <c r="P3" s="800"/>
      <c r="Q3" s="800"/>
      <c r="R3" s="801"/>
      <c r="S3" s="7"/>
    </row>
    <row r="4" spans="1:27" ht="26.45" customHeight="1" thickBot="1" x14ac:dyDescent="0.5">
      <c r="B4" s="799"/>
      <c r="C4" s="800"/>
      <c r="D4" s="802" t="s">
        <v>195</v>
      </c>
      <c r="E4" s="800"/>
      <c r="F4" s="8" t="s">
        <v>204</v>
      </c>
      <c r="G4" s="801"/>
      <c r="H4" s="801"/>
      <c r="I4" s="801"/>
      <c r="J4" s="801"/>
      <c r="K4" s="1652" t="s">
        <v>556</v>
      </c>
      <c r="L4" s="1653"/>
      <c r="M4" s="1654"/>
      <c r="N4" s="803">
        <f>(N9+N46+N59+N69+N76+N79+N92)/7</f>
        <v>0.20686723724237904</v>
      </c>
      <c r="O4" s="804">
        <f>(O9+O46+O59+O69+O76+O79+O92)</f>
        <v>23.647550431362866</v>
      </c>
      <c r="P4" s="803">
        <f>O4/100</f>
        <v>0.23647550431362865</v>
      </c>
      <c r="Q4" s="800"/>
      <c r="R4" s="801"/>
      <c r="S4" s="7"/>
    </row>
    <row r="5" spans="1:27" ht="18.399999999999999" thickBot="1" x14ac:dyDescent="0.6">
      <c r="B5" s="1655"/>
      <c r="C5" s="1656"/>
      <c r="D5" s="1656"/>
      <c r="E5" s="1656"/>
      <c r="F5" s="1656"/>
      <c r="G5" s="1656"/>
      <c r="H5" s="1656"/>
      <c r="I5" s="1656"/>
      <c r="J5" s="1656"/>
      <c r="K5" s="1656"/>
      <c r="L5" s="58"/>
      <c r="M5" s="805">
        <f>100/28</f>
        <v>3.5714285714285716</v>
      </c>
      <c r="N5" s="9"/>
      <c r="O5" s="1392"/>
      <c r="P5" s="1392"/>
      <c r="Q5" s="806"/>
      <c r="R5" s="9"/>
      <c r="S5" s="10"/>
    </row>
    <row r="6" spans="1:27" ht="33.6" customHeight="1" thickBot="1" x14ac:dyDescent="0.5">
      <c r="B6" s="1657"/>
      <c r="C6" s="1658"/>
      <c r="D6" s="1658"/>
      <c r="E6" s="1658"/>
      <c r="F6" s="1659"/>
      <c r="G6" s="807"/>
      <c r="H6" s="807"/>
      <c r="I6" s="807"/>
      <c r="J6" s="807"/>
      <c r="K6" s="807"/>
      <c r="L6" s="807"/>
      <c r="M6" s="807"/>
      <c r="N6" s="808"/>
      <c r="O6" s="809"/>
      <c r="P6" s="809"/>
      <c r="Q6" s="808"/>
      <c r="R6" s="12"/>
      <c r="S6" s="13"/>
    </row>
    <row r="7" spans="1:27" ht="55.8" customHeight="1" thickBot="1" x14ac:dyDescent="0.5">
      <c r="B7" s="1660"/>
      <c r="C7" s="1661"/>
      <c r="D7" s="1661"/>
      <c r="E7" s="1661"/>
      <c r="F7" s="1662"/>
      <c r="G7" s="810"/>
      <c r="H7" s="811" t="s">
        <v>218</v>
      </c>
      <c r="I7" s="812" t="s">
        <v>219</v>
      </c>
      <c r="J7" s="813" t="s">
        <v>91</v>
      </c>
      <c r="K7" s="814" t="s">
        <v>107</v>
      </c>
      <c r="L7" s="814" t="s">
        <v>104</v>
      </c>
      <c r="M7" s="814" t="s">
        <v>105</v>
      </c>
      <c r="N7" s="812" t="s">
        <v>106</v>
      </c>
      <c r="O7" s="812" t="s">
        <v>464</v>
      </c>
      <c r="P7" s="815" t="s">
        <v>465</v>
      </c>
      <c r="Q7" s="816" t="s">
        <v>93</v>
      </c>
      <c r="R7" s="817" t="s">
        <v>110</v>
      </c>
      <c r="S7" s="818" t="s">
        <v>103</v>
      </c>
    </row>
    <row r="8" spans="1:27" ht="25.25" customHeight="1" thickBot="1" x14ac:dyDescent="0.5">
      <c r="B8" s="819" t="s">
        <v>2</v>
      </c>
      <c r="C8" s="819" t="s">
        <v>92</v>
      </c>
      <c r="D8" s="819" t="s">
        <v>3</v>
      </c>
      <c r="E8" s="819" t="s">
        <v>94</v>
      </c>
      <c r="F8" s="819" t="s">
        <v>102</v>
      </c>
      <c r="G8" s="819" t="s">
        <v>96</v>
      </c>
      <c r="H8" s="820"/>
      <c r="I8" s="821"/>
      <c r="J8" s="820"/>
      <c r="K8" s="822"/>
      <c r="L8" s="822"/>
      <c r="M8" s="819"/>
      <c r="N8" s="823"/>
      <c r="O8" s="824"/>
      <c r="P8" s="825"/>
      <c r="Q8" s="821"/>
      <c r="R8" s="823"/>
      <c r="S8" s="823"/>
      <c r="V8" s="826" t="s">
        <v>151</v>
      </c>
      <c r="W8" s="827"/>
      <c r="X8" s="827"/>
      <c r="Y8" s="827"/>
      <c r="Z8" s="828"/>
    </row>
    <row r="9" spans="1:27" s="168" customFormat="1" ht="25.25" customHeight="1" thickBot="1" x14ac:dyDescent="0.5">
      <c r="B9" s="1663" t="s">
        <v>0</v>
      </c>
      <c r="C9" s="1664"/>
      <c r="D9" s="1664"/>
      <c r="E9" s="1664"/>
      <c r="F9" s="1665"/>
      <c r="G9" s="829"/>
      <c r="H9" s="830"/>
      <c r="I9" s="831"/>
      <c r="J9" s="832"/>
      <c r="K9" s="832"/>
      <c r="L9" s="832"/>
      <c r="M9" s="829"/>
      <c r="N9" s="833">
        <f>(N10+N18+N23+N32+N37+N40+N43)/7</f>
        <v>0.64331835357225298</v>
      </c>
      <c r="O9" s="834">
        <f>(O10+O18+O23+O32+O37+O40+O43)</f>
        <v>18.192722163176818</v>
      </c>
      <c r="P9" s="835">
        <f>O9/42.857136</f>
        <v>0.42449691839363274</v>
      </c>
      <c r="Q9" s="832"/>
      <c r="R9" s="836"/>
      <c r="S9" s="836"/>
      <c r="U9" s="837"/>
      <c r="V9" s="838"/>
      <c r="W9" s="839"/>
      <c r="X9" s="839"/>
      <c r="Y9" s="839"/>
      <c r="Z9" s="840"/>
      <c r="AA9" s="837"/>
    </row>
    <row r="10" spans="1:27" s="92" customFormat="1" ht="25.25" customHeight="1" thickBot="1" x14ac:dyDescent="0.5">
      <c r="B10" s="1666" t="s">
        <v>1</v>
      </c>
      <c r="C10" s="1667"/>
      <c r="D10" s="1667"/>
      <c r="E10" s="1667"/>
      <c r="F10" s="1668"/>
      <c r="G10" s="841"/>
      <c r="H10" s="842"/>
      <c r="I10" s="843"/>
      <c r="J10" s="844"/>
      <c r="K10" s="844"/>
      <c r="L10" s="844"/>
      <c r="M10" s="841"/>
      <c r="N10" s="833">
        <f>(N11+N13+N15)/3</f>
        <v>0.70966551101187092</v>
      </c>
      <c r="O10" s="834">
        <f>(O11+O13+O15)</f>
        <v>7.6035578299863129</v>
      </c>
      <c r="P10" s="835">
        <f>O10/10.714284</f>
        <v>0.70966551101187103</v>
      </c>
      <c r="Q10" s="844"/>
      <c r="R10" s="845"/>
      <c r="S10" s="845"/>
      <c r="U10" s="846"/>
      <c r="V10" s="847"/>
      <c r="W10" s="848"/>
      <c r="X10" s="848"/>
      <c r="Y10" s="848"/>
      <c r="Z10" s="849"/>
      <c r="AA10" s="846"/>
    </row>
    <row r="11" spans="1:27" ht="27.6" customHeight="1" x14ac:dyDescent="0.45">
      <c r="A11" s="1669">
        <v>1</v>
      </c>
      <c r="B11" s="1680" t="s">
        <v>4</v>
      </c>
      <c r="C11" s="1682">
        <f>M5</f>
        <v>3.5714285714285716</v>
      </c>
      <c r="D11" s="850" t="s">
        <v>111</v>
      </c>
      <c r="E11" s="851">
        <f>$C$11/2</f>
        <v>1.7857142857142858</v>
      </c>
      <c r="F11" s="852" t="s">
        <v>5</v>
      </c>
      <c r="G11" s="853">
        <f>E11/1</f>
        <v>1.7857142857142858</v>
      </c>
      <c r="H11" s="1393">
        <v>7620</v>
      </c>
      <c r="I11" s="1394">
        <v>6922</v>
      </c>
      <c r="J11" s="856">
        <f>(H11-I11)</f>
        <v>698</v>
      </c>
      <c r="K11" s="857">
        <f>(0.3*I11)*6/10</f>
        <v>1245.9599999999998</v>
      </c>
      <c r="L11" s="858">
        <f>I11+K11</f>
        <v>8167.96</v>
      </c>
      <c r="M11" s="859">
        <f>IF(K11&lt;&gt;0,J11/K11,"0%")</f>
        <v>0.56021060066133754</v>
      </c>
      <c r="N11" s="1674">
        <f>(((G11/C11)*M11)+((G12/C11)*M12))</f>
        <v>0.88508750673636283</v>
      </c>
      <c r="O11" s="1676">
        <f>IF((((G11/C11)*M11)+((G12/C11)*M12))&gt;=1,3.57148,IF((((G11/C11)*M11)+((G12/C11)*M12))&lt;=0,0, (((G11/C11)*M11)+((G12/C11)*M12))*3.571428))</f>
        <v>3.161026304008435</v>
      </c>
      <c r="P11" s="1678">
        <f>O11/3.571428</f>
        <v>0.88508750673636283</v>
      </c>
      <c r="Q11" s="860" t="s">
        <v>97</v>
      </c>
      <c r="R11" s="195" t="s">
        <v>641</v>
      </c>
      <c r="S11" s="196"/>
      <c r="V11" s="861" t="s">
        <v>109</v>
      </c>
      <c r="W11" s="862" t="e">
        <f>#REF!</f>
        <v>#REF!</v>
      </c>
      <c r="X11" s="863"/>
      <c r="Y11" s="863"/>
      <c r="Z11" s="864"/>
    </row>
    <row r="12" spans="1:27" ht="27" customHeight="1" thickBot="1" x14ac:dyDescent="0.5">
      <c r="A12" s="1669"/>
      <c r="B12" s="1681"/>
      <c r="C12" s="1683"/>
      <c r="D12" s="865" t="s">
        <v>112</v>
      </c>
      <c r="E12" s="866">
        <f>$C$11/2</f>
        <v>1.7857142857142858</v>
      </c>
      <c r="F12" s="867" t="s">
        <v>281</v>
      </c>
      <c r="G12" s="868">
        <f>E12/1</f>
        <v>1.7857142857142858</v>
      </c>
      <c r="H12" s="1395">
        <v>23</v>
      </c>
      <c r="I12" s="1396">
        <v>28.1</v>
      </c>
      <c r="J12" s="871">
        <f>I12-H12</f>
        <v>5.1000000000000014</v>
      </c>
      <c r="K12" s="872">
        <f>(0.25*I12)*(6/10)</f>
        <v>4.2149999999999999</v>
      </c>
      <c r="L12" s="873">
        <f>I12-K12</f>
        <v>23.885000000000002</v>
      </c>
      <c r="M12" s="874">
        <f>IF(K12&lt;&gt;0,J12/K12,"0%")</f>
        <v>1.2099644128113882</v>
      </c>
      <c r="N12" s="1675"/>
      <c r="O12" s="1677"/>
      <c r="P12" s="1679"/>
      <c r="Q12" s="875" t="s">
        <v>98</v>
      </c>
      <c r="R12" s="197" t="s">
        <v>642</v>
      </c>
      <c r="S12" s="198"/>
      <c r="V12" s="876">
        <v>0.02</v>
      </c>
      <c r="W12" s="877" t="e">
        <f>(W11-(W11*V12))</f>
        <v>#REF!</v>
      </c>
      <c r="X12" s="877" t="e">
        <f>W11-(V12*W11)</f>
        <v>#REF!</v>
      </c>
      <c r="Y12" s="863"/>
      <c r="Z12" s="864"/>
    </row>
    <row r="13" spans="1:27" ht="32.450000000000003" customHeight="1" x14ac:dyDescent="0.45">
      <c r="A13" s="1669">
        <v>2</v>
      </c>
      <c r="B13" s="1670" t="s">
        <v>6</v>
      </c>
      <c r="C13" s="1672">
        <f>M5</f>
        <v>3.5714285714285716</v>
      </c>
      <c r="D13" s="878" t="s">
        <v>273</v>
      </c>
      <c r="E13" s="879">
        <f>$C$13/2</f>
        <v>1.7857142857142858</v>
      </c>
      <c r="F13" s="880" t="s">
        <v>7</v>
      </c>
      <c r="G13" s="881">
        <f>E13/1</f>
        <v>1.7857142857142858</v>
      </c>
      <c r="H13" s="1397">
        <v>5.54</v>
      </c>
      <c r="I13" s="1398">
        <v>5.8</v>
      </c>
      <c r="J13" s="884">
        <f>IF(I13=H13,(5-H13),I13-H13)</f>
        <v>0.25999999999999979</v>
      </c>
      <c r="K13" s="885">
        <f>IF(I13&lt;=5,0,((I13-5)*(6/10)))</f>
        <v>0.47999999999999987</v>
      </c>
      <c r="L13" s="886">
        <f>I13-K13</f>
        <v>5.32</v>
      </c>
      <c r="M13" s="887">
        <f>IF(I13&lt;=5,(1+(5-H13)/5),(J13/K13))</f>
        <v>0.54166666666666641</v>
      </c>
      <c r="N13" s="1674">
        <f>(((G13/C13)*M13)+((G14/C13)*M14))</f>
        <v>0.61315254599914404</v>
      </c>
      <c r="O13" s="1676">
        <f>IF((((G13/C13)*M13)+((G14/C13)*M14))&gt;=1,3.57148,IF((((G13/C13)*M13)+((G14/C13)*M14))&lt;=0,0, (((G13/C13)*M13)+((G14/C13)*M14))*3.571428))</f>
        <v>2.1898301710526309</v>
      </c>
      <c r="P13" s="1678">
        <f>O13/3.571428</f>
        <v>0.61315254599914404</v>
      </c>
      <c r="Q13" s="888" t="s">
        <v>99</v>
      </c>
      <c r="R13" s="199" t="s">
        <v>643</v>
      </c>
      <c r="S13" s="200"/>
      <c r="V13" s="876">
        <v>0.02</v>
      </c>
      <c r="W13" s="877" t="e">
        <f>(#REF!-(#REF!*V13))</f>
        <v>#REF!</v>
      </c>
      <c r="X13" s="877" t="e">
        <f>(W11-(V12*W11))-((W11-(V12*W11))*0.02)-(((W11-(V12*W11))-((W11-(V12*W11))*0.02))*0.02)-(((W11-(V12*W11))-((W11-(V12*W11))*0.02)-(((W11-(V12*W11))-((W11-(V12*W11))*0.02))*0.02))*0.02)</f>
        <v>#REF!</v>
      </c>
      <c r="Y13" s="889" t="e">
        <f>(W11-W14)/W11</f>
        <v>#REF!</v>
      </c>
      <c r="Z13" s="864"/>
    </row>
    <row r="14" spans="1:27" ht="33" customHeight="1" thickBot="1" x14ac:dyDescent="0.5">
      <c r="A14" s="1669"/>
      <c r="B14" s="1671"/>
      <c r="C14" s="1673"/>
      <c r="D14" s="865" t="s">
        <v>274</v>
      </c>
      <c r="E14" s="890">
        <f>$C$13/2</f>
        <v>1.7857142857142858</v>
      </c>
      <c r="F14" s="891" t="s">
        <v>8</v>
      </c>
      <c r="G14" s="892">
        <f>E14/1</f>
        <v>1.7857142857142858</v>
      </c>
      <c r="H14" s="1399">
        <v>75</v>
      </c>
      <c r="I14" s="1400">
        <v>59</v>
      </c>
      <c r="J14" s="895">
        <f>H14-I14</f>
        <v>16</v>
      </c>
      <c r="K14" s="896">
        <f>(0.95*(100-I14))*6/10</f>
        <v>23.369999999999997</v>
      </c>
      <c r="L14" s="897">
        <f>K14+I14</f>
        <v>82.37</v>
      </c>
      <c r="M14" s="898">
        <f>IF(K14&lt;&gt;0,J14/K14,"1%")</f>
        <v>0.68463842533162178</v>
      </c>
      <c r="N14" s="1675"/>
      <c r="O14" s="1677"/>
      <c r="P14" s="1679"/>
      <c r="Q14" s="899" t="s">
        <v>100</v>
      </c>
      <c r="R14" s="201" t="s">
        <v>644</v>
      </c>
      <c r="S14" s="202" t="s">
        <v>645</v>
      </c>
      <c r="V14" s="900">
        <v>0.02</v>
      </c>
      <c r="W14" s="901" t="e">
        <f>(#REF!-(#REF!*V14))</f>
        <v>#REF!</v>
      </c>
      <c r="X14" s="901"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02" t="e">
        <f>W11-X14</f>
        <v>#REF!</v>
      </c>
      <c r="Z14" s="903"/>
    </row>
    <row r="15" spans="1:27" ht="22.25" customHeight="1" x14ac:dyDescent="0.45">
      <c r="A15" s="1710">
        <v>3</v>
      </c>
      <c r="B15" s="1711" t="s">
        <v>9</v>
      </c>
      <c r="C15" s="1713">
        <f>M5</f>
        <v>3.5714285714285716</v>
      </c>
      <c r="D15" s="1711" t="s">
        <v>113</v>
      </c>
      <c r="E15" s="1713">
        <f>$C$15/1</f>
        <v>3.5714285714285716</v>
      </c>
      <c r="F15" s="904" t="s">
        <v>221</v>
      </c>
      <c r="G15" s="905">
        <f>$E$15/3</f>
        <v>1.1904761904761905</v>
      </c>
      <c r="H15" s="1401">
        <v>78</v>
      </c>
      <c r="I15" s="1402">
        <v>69</v>
      </c>
      <c r="J15" s="908">
        <f>H15-I15</f>
        <v>9</v>
      </c>
      <c r="K15" s="909">
        <f>(0.5*I15)*6/10</f>
        <v>20.7</v>
      </c>
      <c r="L15" s="858">
        <f>I15+K15</f>
        <v>89.7</v>
      </c>
      <c r="M15" s="859">
        <f>IF(K15&lt;&gt;0,J15/K15,"0%")</f>
        <v>0.43478260869565216</v>
      </c>
      <c r="N15" s="1715">
        <f>(((G15/C15)*M15)+((G16/C15)*M16)+((G17/C15)*M17))</f>
        <v>0.63075648030010589</v>
      </c>
      <c r="O15" s="1702">
        <f>IF((((G15/C15)*M15)+((G16/C15)*M16)+((G17/C15)*M17))&gt;=1,3.571428,IF((((G15/C15)*M15)+((G16/C15)*M16)+((G17/C15)*M17))&lt;=0,0,(((G15/C15)*M15)+((G16/C15)*M16)+((G17/C15)*M17))*3.571428))</f>
        <v>2.2527013549252466</v>
      </c>
      <c r="P15" s="1678">
        <f>O15/3.571428</f>
        <v>0.63075648030010589</v>
      </c>
      <c r="Q15" s="910" t="s">
        <v>101</v>
      </c>
      <c r="R15" s="1257" t="s">
        <v>646</v>
      </c>
      <c r="S15" s="196" t="s">
        <v>647</v>
      </c>
    </row>
    <row r="16" spans="1:27" ht="23.25" x14ac:dyDescent="0.45">
      <c r="A16" s="1710"/>
      <c r="B16" s="1711"/>
      <c r="C16" s="1713"/>
      <c r="D16" s="1711"/>
      <c r="E16" s="1713"/>
      <c r="F16" s="911" t="s">
        <v>220</v>
      </c>
      <c r="G16" s="912">
        <f t="shared" ref="G16:G17" si="0">$E$15/3</f>
        <v>1.1904761904761905</v>
      </c>
      <c r="H16" s="1403">
        <v>63.67</v>
      </c>
      <c r="I16" s="1404">
        <v>44.3</v>
      </c>
      <c r="J16" s="913">
        <f>H16-I16</f>
        <v>19.370000000000005</v>
      </c>
      <c r="K16" s="914">
        <f>(0.5*I16)*6/10</f>
        <v>13.289999999999997</v>
      </c>
      <c r="L16" s="915">
        <f t="shared" ref="L16:L17" si="1">I16+K16</f>
        <v>57.589999999999996</v>
      </c>
      <c r="M16" s="916">
        <f>IF(K16&lt;&gt;0,J16/K16,"0%")</f>
        <v>1.4574868322046657</v>
      </c>
      <c r="N16" s="1716"/>
      <c r="O16" s="1700"/>
      <c r="P16" s="1703"/>
      <c r="Q16" s="917" t="s">
        <v>95</v>
      </c>
      <c r="R16" s="203" t="s">
        <v>648</v>
      </c>
      <c r="S16" s="204"/>
    </row>
    <row r="17" spans="1:19" ht="25.25" customHeight="1" thickBot="1" x14ac:dyDescent="0.5">
      <c r="A17" s="1710"/>
      <c r="B17" s="1712"/>
      <c r="C17" s="1714"/>
      <c r="D17" s="1712"/>
      <c r="E17" s="1714"/>
      <c r="F17" s="918" t="s">
        <v>10</v>
      </c>
      <c r="G17" s="919">
        <f t="shared" si="0"/>
        <v>1.1904761904761905</v>
      </c>
      <c r="H17" s="1405">
        <v>42.64</v>
      </c>
      <c r="I17" s="1406"/>
      <c r="J17" s="920">
        <f>H17-I17</f>
        <v>42.64</v>
      </c>
      <c r="K17" s="921">
        <f>(0.5*I17)*6/10</f>
        <v>0</v>
      </c>
      <c r="L17" s="873">
        <f t="shared" si="1"/>
        <v>0</v>
      </c>
      <c r="M17" s="874" t="str">
        <f>IF(K17&lt;&gt;0,J17/K17,"0%")</f>
        <v>0%</v>
      </c>
      <c r="N17" s="1717"/>
      <c r="O17" s="1701"/>
      <c r="P17" s="1703"/>
      <c r="Q17" s="922" t="s">
        <v>162</v>
      </c>
      <c r="R17" s="664"/>
      <c r="S17" s="198"/>
    </row>
    <row r="18" spans="1:19" ht="21.4" thickBot="1" x14ac:dyDescent="0.7">
      <c r="A18" s="14"/>
      <c r="B18" s="1704" t="s">
        <v>11</v>
      </c>
      <c r="C18" s="1705"/>
      <c r="D18" s="1705"/>
      <c r="E18" s="1705"/>
      <c r="F18" s="1706"/>
      <c r="G18" s="923"/>
      <c r="H18" s="1368"/>
      <c r="I18" s="1369"/>
      <c r="J18" s="924"/>
      <c r="K18" s="924"/>
      <c r="L18" s="924"/>
      <c r="M18" s="925"/>
      <c r="N18" s="833">
        <f>N19</f>
        <v>0.32806519046383487</v>
      </c>
      <c r="O18" s="834">
        <f>O19</f>
        <v>1.1716612070478729</v>
      </c>
      <c r="P18" s="835">
        <f>O18/3.571428</f>
        <v>0.32806519046383487</v>
      </c>
      <c r="Q18" s="924"/>
      <c r="R18" s="740"/>
      <c r="S18" s="666"/>
    </row>
    <row r="19" spans="1:19" ht="34.25" customHeight="1" x14ac:dyDescent="0.45">
      <c r="A19" s="1669">
        <v>4</v>
      </c>
      <c r="B19" s="1687" t="s">
        <v>12</v>
      </c>
      <c r="C19" s="1691">
        <f>M5</f>
        <v>3.5714285714285716</v>
      </c>
      <c r="D19" s="926" t="s">
        <v>114</v>
      </c>
      <c r="E19" s="853">
        <f>$C$19/4</f>
        <v>0.8928571428571429</v>
      </c>
      <c r="F19" s="927" t="s">
        <v>222</v>
      </c>
      <c r="G19" s="905">
        <f>E19/1</f>
        <v>0.8928571428571429</v>
      </c>
      <c r="H19" s="1407">
        <v>78.099999999999994</v>
      </c>
      <c r="I19" s="1407">
        <v>65.599999999999994</v>
      </c>
      <c r="J19" s="930">
        <f>H19-I19</f>
        <v>12.5</v>
      </c>
      <c r="K19" s="909">
        <f>(2*I19)*6/10</f>
        <v>78.72</v>
      </c>
      <c r="L19" s="931">
        <f t="shared" ref="L19:L22" si="2">K19+I19</f>
        <v>144.32</v>
      </c>
      <c r="M19" s="859">
        <f>IF(K19&lt;&gt;0,J19/K19,"0%")</f>
        <v>0.15879065040650406</v>
      </c>
      <c r="N19" s="1695">
        <f>(((G19/C19)*M19)+((G20/C19)*M20)+((G21/C19)*M21)+((G22/C19)*M22))</f>
        <v>0.32806519046383487</v>
      </c>
      <c r="O19" s="1699">
        <f>IF((((G19/C19)*M19)+((G20/C19)*M20)+((G21/C19)*M21)+((G22/C19)*M22))&gt;=1,3.571428,IF((((G19/C19)*M19)+((G20/C19)*M20)+((G21/C19)*M21)+((G22/C19)*M22))&lt;=0,0,((((G19/C19)*M19)+((G20/C19)*M20)+((G21/C19)*M21)+((G22/C19)*M22))*3.571428)))</f>
        <v>1.1716612070478729</v>
      </c>
      <c r="P19" s="1678">
        <f>O19/3.571428</f>
        <v>0.32806519046383487</v>
      </c>
      <c r="Q19" s="932" t="s">
        <v>163</v>
      </c>
      <c r="R19" s="741" t="s">
        <v>649</v>
      </c>
      <c r="S19" s="196"/>
    </row>
    <row r="20" spans="1:19" ht="39" customHeight="1" x14ac:dyDescent="0.45">
      <c r="A20" s="1669"/>
      <c r="B20" s="1688"/>
      <c r="C20" s="1692"/>
      <c r="D20" s="933" t="s">
        <v>152</v>
      </c>
      <c r="E20" s="934">
        <f>($C$19/4)</f>
        <v>0.8928571428571429</v>
      </c>
      <c r="F20" s="935" t="s">
        <v>265</v>
      </c>
      <c r="G20" s="912">
        <f>E20/1</f>
        <v>0.8928571428571429</v>
      </c>
      <c r="H20" s="1407">
        <v>91.37</v>
      </c>
      <c r="I20" s="1407">
        <v>86</v>
      </c>
      <c r="J20" s="936">
        <f t="shared" ref="J20:J24" si="3">H20-I20</f>
        <v>5.3700000000000045</v>
      </c>
      <c r="K20" s="914">
        <f>(100-I20)*(6/10)</f>
        <v>8.4</v>
      </c>
      <c r="L20" s="937">
        <f t="shared" si="2"/>
        <v>94.4</v>
      </c>
      <c r="M20" s="916">
        <f>IF(K20&lt;&gt;0,J20/K20,"0%")</f>
        <v>0.63928571428571479</v>
      </c>
      <c r="N20" s="1696"/>
      <c r="O20" s="1700"/>
      <c r="P20" s="1703"/>
      <c r="Q20" s="938" t="s">
        <v>164</v>
      </c>
      <c r="R20" s="486" t="s">
        <v>650</v>
      </c>
      <c r="S20" s="204" t="s">
        <v>651</v>
      </c>
    </row>
    <row r="21" spans="1:19" ht="56.45" customHeight="1" x14ac:dyDescent="0.45">
      <c r="A21" s="1669"/>
      <c r="B21" s="1688"/>
      <c r="C21" s="1692"/>
      <c r="D21" s="933" t="s">
        <v>153</v>
      </c>
      <c r="E21" s="934">
        <f t="shared" ref="E21:E22" si="4">($C$19/4)</f>
        <v>0.8928571428571429</v>
      </c>
      <c r="F21" s="935" t="s">
        <v>155</v>
      </c>
      <c r="G21" s="912">
        <f>E21/1</f>
        <v>0.8928571428571429</v>
      </c>
      <c r="H21" s="1408"/>
      <c r="I21" s="1408"/>
      <c r="J21" s="936">
        <f t="shared" si="3"/>
        <v>0</v>
      </c>
      <c r="K21" s="914">
        <f>(0.3*I21)*6/10</f>
        <v>0</v>
      </c>
      <c r="L21" s="937">
        <f t="shared" si="2"/>
        <v>0</v>
      </c>
      <c r="M21" s="916" t="str">
        <f>IF(K21&lt;&gt;0,J21/K21,"0%")</f>
        <v>0%</v>
      </c>
      <c r="N21" s="1696"/>
      <c r="O21" s="1700"/>
      <c r="P21" s="1703"/>
      <c r="Q21" s="938" t="s">
        <v>165</v>
      </c>
      <c r="R21" s="486"/>
      <c r="S21" s="204"/>
    </row>
    <row r="22" spans="1:19" ht="36.6" customHeight="1" thickBot="1" x14ac:dyDescent="0.5">
      <c r="A22" s="1669"/>
      <c r="B22" s="1707"/>
      <c r="C22" s="1708"/>
      <c r="D22" s="891" t="s">
        <v>154</v>
      </c>
      <c r="E22" s="939">
        <f t="shared" si="4"/>
        <v>0.8928571428571429</v>
      </c>
      <c r="F22" s="940" t="s">
        <v>156</v>
      </c>
      <c r="G22" s="941">
        <f>E22/1</f>
        <v>0.8928571428571429</v>
      </c>
      <c r="H22" s="1407">
        <v>51.25</v>
      </c>
      <c r="I22" s="1407">
        <v>29.5</v>
      </c>
      <c r="J22" s="943">
        <f t="shared" si="3"/>
        <v>21.75</v>
      </c>
      <c r="K22" s="921">
        <f>(100-I22)*(6/10)</f>
        <v>42.3</v>
      </c>
      <c r="L22" s="944">
        <f t="shared" si="2"/>
        <v>71.8</v>
      </c>
      <c r="M22" s="874">
        <f>IF(K22&lt;&gt;0,J22/K22,"100%")</f>
        <v>0.51418439716312059</v>
      </c>
      <c r="N22" s="1709"/>
      <c r="O22" s="1701"/>
      <c r="P22" s="1679"/>
      <c r="Q22" s="945" t="s">
        <v>95</v>
      </c>
      <c r="R22" s="742" t="s">
        <v>650</v>
      </c>
      <c r="S22" s="204" t="s">
        <v>651</v>
      </c>
    </row>
    <row r="23" spans="1:19" ht="20.45" customHeight="1" thickBot="1" x14ac:dyDescent="0.5">
      <c r="B23" s="1684" t="s">
        <v>13</v>
      </c>
      <c r="C23" s="1685"/>
      <c r="D23" s="1685"/>
      <c r="E23" s="1685"/>
      <c r="F23" s="1686"/>
      <c r="G23" s="923"/>
      <c r="H23" s="1368"/>
      <c r="I23" s="1369"/>
      <c r="J23" s="946"/>
      <c r="K23" s="947"/>
      <c r="L23" s="947"/>
      <c r="M23" s="925"/>
      <c r="N23" s="833">
        <f>N24</f>
        <v>0.63688673722181433</v>
      </c>
      <c r="O23" s="834">
        <f>O24</f>
        <v>2.2745951261426298</v>
      </c>
      <c r="P23" s="835">
        <f>O23/3.571428</f>
        <v>0.63688673722181433</v>
      </c>
      <c r="Q23" s="924"/>
      <c r="R23" s="685"/>
      <c r="S23" s="685"/>
    </row>
    <row r="24" spans="1:19" ht="36" customHeight="1" thickBot="1" x14ac:dyDescent="0.5">
      <c r="A24" s="1669">
        <v>5</v>
      </c>
      <c r="B24" s="1687" t="s">
        <v>14</v>
      </c>
      <c r="C24" s="1691">
        <f>M5</f>
        <v>3.5714285714285716</v>
      </c>
      <c r="D24" s="926" t="s">
        <v>115</v>
      </c>
      <c r="E24" s="853">
        <f>$C$24/4</f>
        <v>0.8928571428571429</v>
      </c>
      <c r="F24" s="926" t="s">
        <v>280</v>
      </c>
      <c r="G24" s="853">
        <f>E24/1</f>
        <v>0.8928571428571429</v>
      </c>
      <c r="H24" s="1409"/>
      <c r="I24" s="1410">
        <v>15.2</v>
      </c>
      <c r="J24" s="949">
        <f t="shared" si="3"/>
        <v>-15.2</v>
      </c>
      <c r="K24" s="909">
        <f>(0.3*I24)*6/10</f>
        <v>2.7359999999999998</v>
      </c>
      <c r="L24" s="931">
        <f>K24+I24</f>
        <v>17.936</v>
      </c>
      <c r="M24" s="859" t="str">
        <f>IF(H24=0,"0%",J24/K24)</f>
        <v>0%</v>
      </c>
      <c r="N24" s="1695">
        <f>(((G24/C24)*M24)+((G25/C24)*M25)+ ((G26/C24)*M26)+((G27/C24)*M27)+((G28/C24)*M28)+((G29/C24)*M29)+((G30/C24)*M30)+((G31/C24)*M31))</f>
        <v>0.63688673722181433</v>
      </c>
      <c r="O24" s="1699">
        <f>IF((((G24/C24)*M24)+((G25/C24)*M25)+ ((G26/C24)*M26)+((G27/C24)*M27)+((G28/C24)*M28)+((G29/C24)*M29)+((G30/C24)*M30)+((G31/C24)*M31))&gt;=1,3.571428,IF((((G24/C24)*M24)+((G25/C24)*M25)+ ((G26/C24)*M26)+((G27/C24)*M27)+((G28/C24)*M28)+((G29/C24)*M29)+((G30/C24)*M30)+((G31/C24)*M31))&lt;=0,0,((((G24/C24)*M24)+((G25/C24)*M25)+ ((G26/C24)*M26)+((G27/C24)*M27)+((G28/C24)*M28)+((G29/C24)*M29)+((G30/C24)*M30)+((G31/C24)*M31))*3.571428)))</f>
        <v>2.2745951261426298</v>
      </c>
      <c r="P24" s="1678">
        <f>O24/3.571428</f>
        <v>0.63688673722181433</v>
      </c>
      <c r="Q24" s="950" t="s">
        <v>166</v>
      </c>
      <c r="R24" s="513" t="s">
        <v>652</v>
      </c>
      <c r="S24" s="194"/>
    </row>
    <row r="25" spans="1:19" ht="19.8" customHeight="1" thickBot="1" x14ac:dyDescent="0.5">
      <c r="A25" s="1669"/>
      <c r="B25" s="1688"/>
      <c r="C25" s="1692"/>
      <c r="D25" s="1721" t="s">
        <v>158</v>
      </c>
      <c r="E25" s="1723">
        <v>0.9</v>
      </c>
      <c r="F25" s="933" t="s">
        <v>15</v>
      </c>
      <c r="G25" s="934">
        <f>$E$25/3</f>
        <v>0.3</v>
      </c>
      <c r="H25" s="1411">
        <v>474</v>
      </c>
      <c r="I25" s="1412">
        <v>593</v>
      </c>
      <c r="J25" s="951">
        <f t="shared" ref="J25:J30" si="5">I25-H25</f>
        <v>119</v>
      </c>
      <c r="K25" s="914">
        <f>(0.5*I25)*6/10</f>
        <v>177.9</v>
      </c>
      <c r="L25" s="937">
        <f t="shared" ref="L25:L30" si="6">I25-K25</f>
        <v>415.1</v>
      </c>
      <c r="M25" s="916">
        <f t="shared" ref="M25:M29" si="7">IF(K25&lt;&gt;0,J25/K25,"0%")</f>
        <v>0.66891512085441251</v>
      </c>
      <c r="N25" s="1696"/>
      <c r="O25" s="1700"/>
      <c r="P25" s="1703"/>
      <c r="Q25" s="952" t="s">
        <v>167</v>
      </c>
      <c r="R25" s="513" t="s">
        <v>652</v>
      </c>
      <c r="S25" s="229"/>
    </row>
    <row r="26" spans="1:19" ht="19.8" customHeight="1" thickBot="1" x14ac:dyDescent="0.5">
      <c r="A26" s="1669"/>
      <c r="B26" s="1688"/>
      <c r="C26" s="1692"/>
      <c r="D26" s="1722"/>
      <c r="E26" s="1693"/>
      <c r="F26" s="933" t="s">
        <v>16</v>
      </c>
      <c r="G26" s="934">
        <f t="shared" ref="G26:G27" si="8">$E$25/3</f>
        <v>0.3</v>
      </c>
      <c r="H26" s="1413"/>
      <c r="I26" s="1412">
        <v>20</v>
      </c>
      <c r="J26" s="951">
        <f t="shared" si="5"/>
        <v>20</v>
      </c>
      <c r="K26" s="914">
        <f>(0.8*I26)*6/10</f>
        <v>9.6</v>
      </c>
      <c r="L26" s="937">
        <f t="shared" si="6"/>
        <v>10.4</v>
      </c>
      <c r="M26" s="859" t="str">
        <f>IF(H26=0,"0%",J26/K26)</f>
        <v>0%</v>
      </c>
      <c r="N26" s="1696"/>
      <c r="O26" s="1700"/>
      <c r="P26" s="1703"/>
      <c r="Q26" s="952" t="s">
        <v>168</v>
      </c>
      <c r="R26" s="513" t="s">
        <v>652</v>
      </c>
      <c r="S26" s="229"/>
    </row>
    <row r="27" spans="1:19" ht="19.8" customHeight="1" x14ac:dyDescent="0.45">
      <c r="A27" s="1669"/>
      <c r="B27" s="1688"/>
      <c r="C27" s="1692"/>
      <c r="D27" s="1722"/>
      <c r="E27" s="1693"/>
      <c r="F27" s="933" t="s">
        <v>17</v>
      </c>
      <c r="G27" s="934">
        <f t="shared" si="8"/>
        <v>0.3</v>
      </c>
      <c r="H27" s="1411">
        <v>70</v>
      </c>
      <c r="I27" s="1414">
        <v>67</v>
      </c>
      <c r="J27" s="951">
        <f t="shared" si="5"/>
        <v>-3</v>
      </c>
      <c r="K27" s="914">
        <f>(0.5*I27)*(6/10)</f>
        <v>20.099999999999998</v>
      </c>
      <c r="L27" s="937">
        <f t="shared" si="6"/>
        <v>46.900000000000006</v>
      </c>
      <c r="M27" s="916">
        <f t="shared" si="7"/>
        <v>-0.1492537313432836</v>
      </c>
      <c r="N27" s="1696"/>
      <c r="O27" s="1700"/>
      <c r="P27" s="1703"/>
      <c r="Q27" s="952" t="s">
        <v>169</v>
      </c>
      <c r="R27" s="513" t="s">
        <v>652</v>
      </c>
      <c r="S27" s="229"/>
    </row>
    <row r="28" spans="1:19" ht="30.6" customHeight="1" x14ac:dyDescent="0.45">
      <c r="A28" s="16"/>
      <c r="B28" s="1688"/>
      <c r="C28" s="1692"/>
      <c r="D28" s="1721" t="s">
        <v>116</v>
      </c>
      <c r="E28" s="1723">
        <f t="shared" ref="E28:E31" si="9">$C$24/4</f>
        <v>0.8928571428571429</v>
      </c>
      <c r="F28" s="933" t="s">
        <v>148</v>
      </c>
      <c r="G28" s="934">
        <f>$E$28/3</f>
        <v>0.29761904761904762</v>
      </c>
      <c r="H28" s="1415">
        <v>1.36</v>
      </c>
      <c r="I28" s="1416">
        <v>2.38</v>
      </c>
      <c r="J28" s="951">
        <f t="shared" si="5"/>
        <v>1.0199999999999998</v>
      </c>
      <c r="K28" s="914">
        <f>(0.5*I28)*(6/10)</f>
        <v>0.71399999999999997</v>
      </c>
      <c r="L28" s="937">
        <f t="shared" si="6"/>
        <v>1.6659999999999999</v>
      </c>
      <c r="M28" s="916">
        <f t="shared" si="7"/>
        <v>1.4285714285714284</v>
      </c>
      <c r="N28" s="1697"/>
      <c r="O28" s="1700"/>
      <c r="P28" s="1703"/>
      <c r="Q28" s="952" t="s">
        <v>170</v>
      </c>
      <c r="R28" s="169"/>
      <c r="S28" s="229"/>
    </row>
    <row r="29" spans="1:19" ht="20.45" customHeight="1" x14ac:dyDescent="0.45">
      <c r="A29" s="16"/>
      <c r="B29" s="1688"/>
      <c r="C29" s="1692"/>
      <c r="D29" s="1722"/>
      <c r="E29" s="1693"/>
      <c r="F29" s="933" t="s">
        <v>149</v>
      </c>
      <c r="G29" s="934">
        <f t="shared" ref="G29:G30" si="10">$E$28/3</f>
        <v>0.29761904761904762</v>
      </c>
      <c r="H29" s="1415">
        <v>3.98</v>
      </c>
      <c r="I29" s="1417">
        <v>5.65</v>
      </c>
      <c r="J29" s="951">
        <f t="shared" si="5"/>
        <v>1.6700000000000004</v>
      </c>
      <c r="K29" s="914">
        <f>(0.5*I29)*(6/10)</f>
        <v>1.6950000000000001</v>
      </c>
      <c r="L29" s="937">
        <f t="shared" si="6"/>
        <v>3.9550000000000001</v>
      </c>
      <c r="M29" s="916">
        <f t="shared" si="7"/>
        <v>0.98525073746312708</v>
      </c>
      <c r="N29" s="1697"/>
      <c r="O29" s="1700"/>
      <c r="P29" s="1703"/>
      <c r="Q29" s="952" t="s">
        <v>171</v>
      </c>
      <c r="R29" s="169"/>
      <c r="S29" s="229"/>
    </row>
    <row r="30" spans="1:19" ht="20.45" customHeight="1" thickBot="1" x14ac:dyDescent="0.5">
      <c r="A30" s="16"/>
      <c r="B30" s="1689"/>
      <c r="C30" s="1693"/>
      <c r="D30" s="1722"/>
      <c r="E30" s="1693"/>
      <c r="F30" s="933" t="s">
        <v>150</v>
      </c>
      <c r="G30" s="934">
        <f t="shared" si="10"/>
        <v>0.29761904761904762</v>
      </c>
      <c r="H30" s="1418">
        <v>0</v>
      </c>
      <c r="I30" s="1417">
        <v>3.5999999999999999E-7</v>
      </c>
      <c r="J30" s="951">
        <f t="shared" si="5"/>
        <v>3.5999999999999999E-7</v>
      </c>
      <c r="K30" s="914">
        <f>(0.5*I30)*(6/10)</f>
        <v>1.0799999999999999E-7</v>
      </c>
      <c r="L30" s="937">
        <f t="shared" si="6"/>
        <v>2.5199999999999998E-7</v>
      </c>
      <c r="M30" s="916">
        <f>IF(I30&lt;0.1,100%,J30/K30)</f>
        <v>1</v>
      </c>
      <c r="N30" s="1697"/>
      <c r="O30" s="1700"/>
      <c r="P30" s="1703"/>
      <c r="Q30" s="952" t="s">
        <v>172</v>
      </c>
      <c r="R30" s="169"/>
      <c r="S30" s="229"/>
    </row>
    <row r="31" spans="1:19" ht="34.9" customHeight="1" thickBot="1" x14ac:dyDescent="0.5">
      <c r="A31" s="16"/>
      <c r="B31" s="1690"/>
      <c r="C31" s="1694"/>
      <c r="D31" s="953" t="s">
        <v>117</v>
      </c>
      <c r="E31" s="868">
        <f t="shared" si="9"/>
        <v>0.8928571428571429</v>
      </c>
      <c r="F31" s="954" t="s">
        <v>223</v>
      </c>
      <c r="G31" s="868">
        <f>E31/1</f>
        <v>0.8928571428571429</v>
      </c>
      <c r="H31" s="1419">
        <v>74.099999999999994</v>
      </c>
      <c r="I31" s="1420"/>
      <c r="J31" s="955">
        <f t="shared" ref="J31" si="11">H31-I31</f>
        <v>74.099999999999994</v>
      </c>
      <c r="K31" s="921">
        <f>(100-I31)*(6/10)</f>
        <v>60</v>
      </c>
      <c r="L31" s="944">
        <f>K31+I31</f>
        <v>60</v>
      </c>
      <c r="M31" s="859">
        <f>IF(H31=0,"0%",J31/K31)</f>
        <v>1.2349999999999999</v>
      </c>
      <c r="N31" s="1698"/>
      <c r="O31" s="1701"/>
      <c r="P31" s="1679"/>
      <c r="Q31" s="956" t="s">
        <v>95</v>
      </c>
      <c r="R31" s="183" t="s">
        <v>653</v>
      </c>
      <c r="S31" s="674"/>
    </row>
    <row r="32" spans="1:19" ht="20.45" customHeight="1" thickBot="1" x14ac:dyDescent="0.5">
      <c r="B32" s="1724" t="s">
        <v>18</v>
      </c>
      <c r="C32" s="1725"/>
      <c r="D32" s="1725"/>
      <c r="E32" s="1725"/>
      <c r="F32" s="1726"/>
      <c r="G32" s="923"/>
      <c r="H32" s="1373"/>
      <c r="I32" s="1374"/>
      <c r="J32" s="957"/>
      <c r="K32" s="958"/>
      <c r="L32" s="959"/>
      <c r="M32" s="960"/>
      <c r="N32" s="833">
        <f>(N33+N34+N35+N36)/4</f>
        <v>0.67096332785987967</v>
      </c>
      <c r="O32" s="834">
        <f>(O33+O34+O35+O36)</f>
        <v>3.571428</v>
      </c>
      <c r="P32" s="835">
        <f>O32/14.285712</f>
        <v>0.25</v>
      </c>
      <c r="Q32" s="924"/>
      <c r="R32" s="666"/>
      <c r="S32" s="666"/>
    </row>
    <row r="33" spans="1:19" ht="33.6" customHeight="1" thickBot="1" x14ac:dyDescent="0.5">
      <c r="A33" s="16">
        <v>6</v>
      </c>
      <c r="B33" s="961" t="s">
        <v>19</v>
      </c>
      <c r="C33" s="962">
        <f>$M$5</f>
        <v>3.5714285714285716</v>
      </c>
      <c r="D33" s="963" t="s">
        <v>287</v>
      </c>
      <c r="E33" s="964">
        <f>C33/1</f>
        <v>3.5714285714285716</v>
      </c>
      <c r="F33" s="961" t="s">
        <v>288</v>
      </c>
      <c r="G33" s="962">
        <f>E33/1</f>
        <v>3.5714285714285716</v>
      </c>
      <c r="H33" s="99">
        <v>2.4</v>
      </c>
      <c r="I33" s="186">
        <v>2.8</v>
      </c>
      <c r="J33" s="965">
        <f>IF(H33&lt;7,(H33-7),(H33-I33))</f>
        <v>-4.5999999999999996</v>
      </c>
      <c r="K33" s="966">
        <f>IF((7-H33&gt;=0),(7-H33),0)</f>
        <v>4.5999999999999996</v>
      </c>
      <c r="L33" s="967">
        <f>IF((I33&lt;7),7,I33)</f>
        <v>7</v>
      </c>
      <c r="M33" s="968">
        <f>IF(K33&lt;&gt;0,J33/7,(1+((H33-I33)/I33)))</f>
        <v>-0.65714285714285714</v>
      </c>
      <c r="N33" s="969">
        <f>((G33/C33)*M33)</f>
        <v>-0.65714285714285714</v>
      </c>
      <c r="O33" s="970">
        <f>IF(((G33/C33)*M33)&gt;=1,3.571428,IF(((G33/C33)*M33)&lt;=0,0,((G33/C33)*M33)*3.571428))</f>
        <v>0</v>
      </c>
      <c r="P33" s="835">
        <f>O33/3.571428</f>
        <v>0</v>
      </c>
      <c r="Q33" s="971" t="s">
        <v>97</v>
      </c>
      <c r="R33" s="529" t="s">
        <v>654</v>
      </c>
      <c r="S33" s="529"/>
    </row>
    <row r="34" spans="1:19" ht="51" customHeight="1" thickBot="1" x14ac:dyDescent="0.5">
      <c r="A34" s="16">
        <v>7</v>
      </c>
      <c r="B34" s="961" t="s">
        <v>20</v>
      </c>
      <c r="C34" s="962">
        <f t="shared" ref="C34:C36" si="12">$M$5</f>
        <v>3.5714285714285716</v>
      </c>
      <c r="D34" s="961" t="s">
        <v>118</v>
      </c>
      <c r="E34" s="964">
        <f t="shared" ref="E34:E36" si="13">C34/1</f>
        <v>3.5714285714285716</v>
      </c>
      <c r="F34" s="961" t="s">
        <v>21</v>
      </c>
      <c r="G34" s="962">
        <f>E34/1</f>
        <v>3.5714285714285716</v>
      </c>
      <c r="H34" s="973">
        <v>6</v>
      </c>
      <c r="I34" s="1207">
        <v>2.9</v>
      </c>
      <c r="J34" s="975">
        <f>H34-I34</f>
        <v>3.1</v>
      </c>
      <c r="K34" s="976">
        <f>(0.5*I34)*(6/10)</f>
        <v>0.87</v>
      </c>
      <c r="L34" s="977">
        <f>K34+I34</f>
        <v>3.77</v>
      </c>
      <c r="M34" s="968">
        <f>IF(K34&lt;&gt;0,J34/K34,"0%")</f>
        <v>3.563218390804598</v>
      </c>
      <c r="N34" s="969">
        <f>((G34/C34)*M34)</f>
        <v>3.563218390804598</v>
      </c>
      <c r="O34" s="970">
        <f>IF(((G34/C34)*M34)&gt;=1,3.571428,IF(((G34/C34)*M34)&lt;=0,0,((G34/C34)*M34)*3.571428))</f>
        <v>3.571428</v>
      </c>
      <c r="P34" s="835">
        <f t="shared" ref="P34:P36" si="14">O34/3.571428</f>
        <v>1</v>
      </c>
      <c r="Q34" s="971" t="s">
        <v>173</v>
      </c>
      <c r="R34" s="187" t="s">
        <v>655</v>
      </c>
      <c r="S34" s="93"/>
    </row>
    <row r="35" spans="1:19" ht="40.799999999999997" customHeight="1" thickBot="1" x14ac:dyDescent="0.5">
      <c r="A35" s="16">
        <v>8</v>
      </c>
      <c r="B35" s="961" t="s">
        <v>22</v>
      </c>
      <c r="C35" s="962">
        <f t="shared" si="12"/>
        <v>3.5714285714285716</v>
      </c>
      <c r="D35" s="961" t="s">
        <v>119</v>
      </c>
      <c r="E35" s="964">
        <f t="shared" si="13"/>
        <v>3.5714285714285716</v>
      </c>
      <c r="F35" s="961" t="s">
        <v>23</v>
      </c>
      <c r="G35" s="962">
        <f>E35/1</f>
        <v>3.5714285714285716</v>
      </c>
      <c r="H35" s="678"/>
      <c r="I35" s="680"/>
      <c r="J35" s="978">
        <f>H35-I35</f>
        <v>0</v>
      </c>
      <c r="K35" s="979">
        <f>IF((I35&gt;=1),0,((1-I35)*0.6))</f>
        <v>0.6</v>
      </c>
      <c r="L35" s="967">
        <f>I35+K35</f>
        <v>0.6</v>
      </c>
      <c r="M35" s="968">
        <f>IF(K35&lt;&gt;0,J35/K35,"0%")</f>
        <v>0</v>
      </c>
      <c r="N35" s="969">
        <f>((G35/C35)*M35)</f>
        <v>0</v>
      </c>
      <c r="O35" s="970">
        <f>IF(((G35/C35)*M35)&gt;=1,3.571428,IF(((G35/C35)*M35)&lt;=0,0,((G35/C35)*M35)*3.571428))</f>
        <v>0</v>
      </c>
      <c r="P35" s="835">
        <f t="shared" si="14"/>
        <v>0</v>
      </c>
      <c r="Q35" s="971" t="s">
        <v>174</v>
      </c>
      <c r="R35" s="187"/>
      <c r="S35" s="155" t="s">
        <v>656</v>
      </c>
    </row>
    <row r="36" spans="1:19" ht="32.450000000000003" customHeight="1" thickBot="1" x14ac:dyDescent="0.5">
      <c r="A36" s="16">
        <v>9</v>
      </c>
      <c r="B36" s="961" t="s">
        <v>24</v>
      </c>
      <c r="C36" s="962">
        <f t="shared" si="12"/>
        <v>3.5714285714285716</v>
      </c>
      <c r="D36" s="961" t="s">
        <v>275</v>
      </c>
      <c r="E36" s="964">
        <f t="shared" si="13"/>
        <v>3.5714285714285716</v>
      </c>
      <c r="F36" s="980" t="s">
        <v>25</v>
      </c>
      <c r="G36" s="962">
        <f>E36/1</f>
        <v>3.5714285714285716</v>
      </c>
      <c r="H36" s="99">
        <v>2.6</v>
      </c>
      <c r="I36" s="186">
        <v>3</v>
      </c>
      <c r="J36" s="981">
        <f>H36-I36</f>
        <v>-0.39999999999999991</v>
      </c>
      <c r="K36" s="982">
        <f>(1*I36)*(6/10)</f>
        <v>1.7999999999999998</v>
      </c>
      <c r="L36" s="983">
        <f>I36+K36</f>
        <v>4.8</v>
      </c>
      <c r="M36" s="968">
        <f>IF(K36&lt;&gt;0,J36/K36,"0%")</f>
        <v>-0.22222222222222218</v>
      </c>
      <c r="N36" s="969">
        <f>((G36/C36)*M36)</f>
        <v>-0.22222222222222218</v>
      </c>
      <c r="O36" s="970">
        <f>IF(((G36/C36)*M36)&gt;=1,3.571428,IF(((G36/C36)*M36)&lt;=0,0,((G36/C36)*M36)*3.571428))</f>
        <v>0</v>
      </c>
      <c r="P36" s="835">
        <f t="shared" si="14"/>
        <v>0</v>
      </c>
      <c r="Q36" s="984" t="s">
        <v>175</v>
      </c>
      <c r="R36" s="232" t="s">
        <v>657</v>
      </c>
      <c r="S36" s="1363" t="s">
        <v>658</v>
      </c>
    </row>
    <row r="37" spans="1:19" ht="30.6" customHeight="1" thickBot="1" x14ac:dyDescent="0.5">
      <c r="B37" s="1718" t="s">
        <v>26</v>
      </c>
      <c r="C37" s="1719"/>
      <c r="D37" s="1719"/>
      <c r="E37" s="1719"/>
      <c r="F37" s="1720"/>
      <c r="G37" s="985"/>
      <c r="H37" s="1368"/>
      <c r="I37" s="1369"/>
      <c r="J37" s="986"/>
      <c r="K37" s="987"/>
      <c r="L37" s="987"/>
      <c r="M37" s="988"/>
      <c r="N37" s="833">
        <f>N38</f>
        <v>2.1576477084483709</v>
      </c>
      <c r="O37" s="834">
        <f>O38</f>
        <v>3.5714800000000002</v>
      </c>
      <c r="P37" s="835">
        <f>O37/3.571428</f>
        <v>1.0000145600023296</v>
      </c>
      <c r="Q37" s="989"/>
      <c r="R37" s="666"/>
      <c r="S37" s="666"/>
    </row>
    <row r="38" spans="1:19" ht="25.8" customHeight="1" x14ac:dyDescent="0.45">
      <c r="A38" s="1669">
        <v>10</v>
      </c>
      <c r="B38" s="1687" t="s">
        <v>27</v>
      </c>
      <c r="C38" s="1691">
        <f>M5</f>
        <v>3.5714285714285716</v>
      </c>
      <c r="D38" s="904" t="s">
        <v>120</v>
      </c>
      <c r="E38" s="853">
        <f>$C$38/2</f>
        <v>1.7857142857142858</v>
      </c>
      <c r="F38" s="990" t="s">
        <v>224</v>
      </c>
      <c r="G38" s="905">
        <f>E38/1</f>
        <v>1.7857142857142858</v>
      </c>
      <c r="H38" s="1421">
        <v>650000</v>
      </c>
      <c r="I38" s="1422">
        <v>181100</v>
      </c>
      <c r="J38" s="1232">
        <f>H38-I38</f>
        <v>468900</v>
      </c>
      <c r="K38" s="992">
        <f>(1*I38)*(6/10)</f>
        <v>108660</v>
      </c>
      <c r="L38" s="993">
        <f>I38+K38</f>
        <v>289760</v>
      </c>
      <c r="M38" s="859">
        <f>IF(K38&lt;&gt;0,J38/K38,"0%")</f>
        <v>4.3152954168967419</v>
      </c>
      <c r="N38" s="1715">
        <f>(((G38/C38)*M38)+((G39/C38)*M39))</f>
        <v>2.1576477084483709</v>
      </c>
      <c r="O38" s="1676">
        <f>IF((((G38/C38)*M38)+((G39/C38)*M39))&gt;=1,3.57148,IF((((G38/C38)*M38)+((G39/C38)*M39))&lt;=0,0, (((G38/C38)*M38)+((G39/C38)*M39))*3.571428))</f>
        <v>3.5714800000000002</v>
      </c>
      <c r="P38" s="1678">
        <f>O38/3.571428</f>
        <v>1.0000145600023296</v>
      </c>
      <c r="Q38" s="1423" t="s">
        <v>176</v>
      </c>
      <c r="R38" s="194"/>
      <c r="S38" s="196" t="s">
        <v>659</v>
      </c>
    </row>
    <row r="39" spans="1:19" ht="35.25" thickBot="1" x14ac:dyDescent="0.5">
      <c r="A39" s="1669"/>
      <c r="B39" s="1688"/>
      <c r="C39" s="1692"/>
      <c r="D39" s="911" t="s">
        <v>157</v>
      </c>
      <c r="E39" s="868">
        <f>$C$38/2</f>
        <v>1.7857142857142858</v>
      </c>
      <c r="F39" s="995" t="s">
        <v>225</v>
      </c>
      <c r="G39" s="912">
        <f>E39/1</f>
        <v>1.7857142857142858</v>
      </c>
      <c r="H39" s="1424"/>
      <c r="I39" s="1425"/>
      <c r="J39" s="1233">
        <f>H39-I39</f>
        <v>0</v>
      </c>
      <c r="K39" s="997">
        <f>IF(AND(I39&gt;=10,H39&gt;=I39),0,((10-H39)*(6/10)))</f>
        <v>6</v>
      </c>
      <c r="L39" s="998">
        <f>I39+K39</f>
        <v>6</v>
      </c>
      <c r="M39" s="874">
        <f>IF(K39&lt;&gt;0,J39/K39,"0%")</f>
        <v>0</v>
      </c>
      <c r="N39" s="1716"/>
      <c r="O39" s="1677"/>
      <c r="P39" s="1679"/>
      <c r="Q39" s="1426" t="s">
        <v>95</v>
      </c>
      <c r="R39" s="198" t="s">
        <v>660</v>
      </c>
      <c r="S39" s="355" t="s">
        <v>661</v>
      </c>
    </row>
    <row r="40" spans="1:19" ht="20.45" customHeight="1" thickBot="1" x14ac:dyDescent="0.5">
      <c r="B40" s="1730" t="s">
        <v>28</v>
      </c>
      <c r="C40" s="1731"/>
      <c r="D40" s="1731"/>
      <c r="E40" s="1732"/>
      <c r="F40" s="1733"/>
      <c r="G40" s="985"/>
      <c r="H40" s="1375"/>
      <c r="I40" s="1376"/>
      <c r="J40" s="1000"/>
      <c r="K40" s="1001"/>
      <c r="L40" s="1001"/>
      <c r="M40" s="1002"/>
      <c r="N40" s="833">
        <f>N41</f>
        <v>0</v>
      </c>
      <c r="O40" s="834">
        <f>O41</f>
        <v>0</v>
      </c>
      <c r="P40" s="835">
        <f>O40/3.571428</f>
        <v>0</v>
      </c>
      <c r="Q40" s="1003"/>
      <c r="R40" s="1427"/>
      <c r="S40" s="666"/>
    </row>
    <row r="41" spans="1:19" ht="34.9" x14ac:dyDescent="0.45">
      <c r="A41" s="1669">
        <v>11</v>
      </c>
      <c r="B41" s="1734" t="s">
        <v>29</v>
      </c>
      <c r="C41" s="1736">
        <f>M5</f>
        <v>3.5714285714285716</v>
      </c>
      <c r="D41" s="1004" t="s">
        <v>121</v>
      </c>
      <c r="E41" s="1005">
        <f>$C$41/2</f>
        <v>1.7857142857142858</v>
      </c>
      <c r="F41" s="880" t="s">
        <v>30</v>
      </c>
      <c r="G41" s="1006">
        <f>E41/1</f>
        <v>1.7857142857142858</v>
      </c>
      <c r="H41" s="389"/>
      <c r="I41" s="400"/>
      <c r="J41" s="1007">
        <f>H41-I41</f>
        <v>0</v>
      </c>
      <c r="K41" s="1008">
        <f>(0.5*I41)*(6/10)</f>
        <v>0</v>
      </c>
      <c r="L41" s="1009">
        <f>I41+K41</f>
        <v>0</v>
      </c>
      <c r="M41" s="859" t="str">
        <f>IF(K41&lt;&gt;0,J41/K41,"0%")</f>
        <v>0%</v>
      </c>
      <c r="N41" s="1738">
        <f>(((G41/C41)*M41)+(G42/C41)*M42)</f>
        <v>0</v>
      </c>
      <c r="O41" s="1676">
        <f>IF((((G41/C41)*M41)+((G42/C41)*M42))&gt;=1,3.57148,IF((((G41/C41)*M41)+((G42/C41)*M42))&lt;=0,0, (((G41/C41)*M41)+((G42/C41)*M42))*3.571428))</f>
        <v>0</v>
      </c>
      <c r="P41" s="1678">
        <f>O41/3.571428</f>
        <v>0</v>
      </c>
      <c r="Q41" s="1428" t="s">
        <v>177</v>
      </c>
      <c r="R41" s="1429"/>
      <c r="S41" s="1430"/>
    </row>
    <row r="42" spans="1:19" ht="23.65" thickBot="1" x14ac:dyDescent="0.5">
      <c r="A42" s="1669"/>
      <c r="B42" s="1735"/>
      <c r="C42" s="1737"/>
      <c r="D42" s="1011" t="s">
        <v>122</v>
      </c>
      <c r="E42" s="939">
        <f>$C$41/2</f>
        <v>1.7857142857142858</v>
      </c>
      <c r="F42" s="891" t="s">
        <v>31</v>
      </c>
      <c r="G42" s="1012">
        <f>E42/1</f>
        <v>1.7857142857142858</v>
      </c>
      <c r="H42" s="387"/>
      <c r="I42" s="388"/>
      <c r="J42" s="1013">
        <f>H42-I42</f>
        <v>0</v>
      </c>
      <c r="K42" s="896">
        <f>(0.5*I42)*(6/10)</f>
        <v>0</v>
      </c>
      <c r="L42" s="1014">
        <f>I42+K42</f>
        <v>0</v>
      </c>
      <c r="M42" s="874" t="str">
        <f>IF(K42&lt;&gt;0,J42/K42,"0%")</f>
        <v>0%</v>
      </c>
      <c r="N42" s="1738"/>
      <c r="O42" s="1677"/>
      <c r="P42" s="1679"/>
      <c r="Q42" s="1428" t="s">
        <v>95</v>
      </c>
      <c r="R42" s="226"/>
      <c r="S42" s="1431"/>
    </row>
    <row r="43" spans="1:19" ht="30.6" customHeight="1" thickBot="1" x14ac:dyDescent="0.5">
      <c r="B43" s="1704" t="s">
        <v>32</v>
      </c>
      <c r="C43" s="1705"/>
      <c r="D43" s="1705"/>
      <c r="E43" s="1705"/>
      <c r="F43" s="1706"/>
      <c r="G43" s="923"/>
      <c r="H43" s="1379"/>
      <c r="I43" s="1380"/>
      <c r="J43" s="1015"/>
      <c r="K43" s="1016"/>
      <c r="L43" s="1016"/>
      <c r="M43" s="948"/>
      <c r="N43" s="833">
        <f>N44</f>
        <v>0</v>
      </c>
      <c r="O43" s="834">
        <f>O44</f>
        <v>0</v>
      </c>
      <c r="P43" s="835">
        <f>O43/3.571428</f>
        <v>0</v>
      </c>
      <c r="Q43" s="1017"/>
      <c r="R43" s="666"/>
      <c r="S43" s="666"/>
    </row>
    <row r="44" spans="1:19" ht="37.799999999999997" customHeight="1" thickBot="1" x14ac:dyDescent="0.5">
      <c r="A44" s="1669">
        <v>12</v>
      </c>
      <c r="B44" s="1727" t="s">
        <v>33</v>
      </c>
      <c r="C44" s="1691">
        <f>M5</f>
        <v>3.5714285714285716</v>
      </c>
      <c r="D44" s="926" t="s">
        <v>123</v>
      </c>
      <c r="E44" s="1018">
        <f>C44/2</f>
        <v>1.7857142857142858</v>
      </c>
      <c r="F44" s="926" t="s">
        <v>34</v>
      </c>
      <c r="G44" s="905">
        <f>$E$44/1</f>
        <v>1.7857142857142858</v>
      </c>
      <c r="H44" s="373"/>
      <c r="I44" s="179"/>
      <c r="J44" s="1019">
        <f>IF(I44=H44,(H44-30),H44-I44)</f>
        <v>-30</v>
      </c>
      <c r="K44" s="909">
        <f>IF(I44&gt;=30,0,((30-I44)*(6/10)))</f>
        <v>18</v>
      </c>
      <c r="L44" s="1020">
        <f>I44+K44</f>
        <v>18</v>
      </c>
      <c r="M44" s="916" t="str">
        <f>IF(H44=0,"0%",J44/K44)</f>
        <v>0%</v>
      </c>
      <c r="N44" s="1715">
        <f>(((G44/C44)*M44)+((G45/C44)*M45))</f>
        <v>0</v>
      </c>
      <c r="O44" s="1676">
        <f>IF((((G44/C44)*M44)+((G45/C44)*M45))&gt;=1,3.57148,IF((((G44/C44)*M44)+((G45/C44)*M45))&lt;=0,0, (((G44/C44)*M44)+((G45/C44)*M45))*3.571428))</f>
        <v>0</v>
      </c>
      <c r="P44" s="1678">
        <f>O44/3.571428</f>
        <v>0</v>
      </c>
      <c r="Q44" s="910" t="s">
        <v>178</v>
      </c>
      <c r="R44" s="753" t="s">
        <v>592</v>
      </c>
      <c r="S44" s="230" t="s">
        <v>662</v>
      </c>
    </row>
    <row r="45" spans="1:19" ht="35.25" thickBot="1" x14ac:dyDescent="0.5">
      <c r="A45" s="1669"/>
      <c r="B45" s="1728"/>
      <c r="C45" s="1729"/>
      <c r="D45" s="953" t="s">
        <v>124</v>
      </c>
      <c r="E45" s="1021">
        <f>(C44/2)</f>
        <v>1.7857142857142858</v>
      </c>
      <c r="F45" s="953" t="s">
        <v>35</v>
      </c>
      <c r="G45" s="919">
        <f>$E$45/1</f>
        <v>1.7857142857142858</v>
      </c>
      <c r="H45" s="94">
        <v>4.0999999999999996</v>
      </c>
      <c r="I45" s="370"/>
      <c r="J45" s="1022">
        <f>IF(I45=H45,(H45-17),H45-I45)</f>
        <v>4.0999999999999996</v>
      </c>
      <c r="K45" s="1023">
        <f>IF(I45&gt;=17,0,((17-I45)*(6/10)))</f>
        <v>10.199999999999999</v>
      </c>
      <c r="L45" s="1024">
        <f>I45+K45</f>
        <v>10.199999999999999</v>
      </c>
      <c r="M45" s="874" t="str">
        <f>IF(I45=0,"0%",J45/K45)</f>
        <v>0%</v>
      </c>
      <c r="N45" s="1717"/>
      <c r="O45" s="1677"/>
      <c r="P45" s="1679"/>
      <c r="Q45" s="922" t="s">
        <v>179</v>
      </c>
      <c r="R45" s="754"/>
      <c r="S45" s="663" t="s">
        <v>663</v>
      </c>
    </row>
    <row r="46" spans="1:19" ht="30.6" customHeight="1" thickBot="1" x14ac:dyDescent="0.5">
      <c r="B46" s="1743" t="s">
        <v>36</v>
      </c>
      <c r="C46" s="1744"/>
      <c r="D46" s="1744"/>
      <c r="E46" s="1744"/>
      <c r="F46" s="1745"/>
      <c r="G46" s="1025"/>
      <c r="H46" s="1381"/>
      <c r="I46" s="1382"/>
      <c r="J46" s="1026"/>
      <c r="K46" s="1027"/>
      <c r="L46" s="1027"/>
      <c r="M46" s="1028"/>
      <c r="N46" s="833">
        <f>(N47+N50+N52)/3</f>
        <v>0.58451421188630492</v>
      </c>
      <c r="O46" s="834">
        <f>(O47+O50+O52)</f>
        <v>3.8816992681860465</v>
      </c>
      <c r="P46" s="835">
        <f>O46/10.714284</f>
        <v>0.36229198966408271</v>
      </c>
      <c r="Q46" s="1029"/>
      <c r="R46" s="692"/>
      <c r="S46" s="692"/>
    </row>
    <row r="47" spans="1:19" ht="20.45" customHeight="1" thickBot="1" x14ac:dyDescent="0.5">
      <c r="B47" s="1684" t="s">
        <v>37</v>
      </c>
      <c r="C47" s="1685"/>
      <c r="D47" s="1685"/>
      <c r="E47" s="1685"/>
      <c r="F47" s="1686"/>
      <c r="G47" s="1030"/>
      <c r="H47" s="1383"/>
      <c r="I47" s="1384"/>
      <c r="J47" s="1031"/>
      <c r="K47" s="1032"/>
      <c r="L47" s="1032"/>
      <c r="M47" s="923"/>
      <c r="N47" s="833">
        <f>N48</f>
        <v>0</v>
      </c>
      <c r="O47" s="834">
        <f>O48</f>
        <v>0</v>
      </c>
      <c r="P47" s="835">
        <f>O47/3.571428</f>
        <v>0</v>
      </c>
      <c r="Q47" s="1017"/>
      <c r="R47" s="685"/>
      <c r="S47" s="685"/>
    </row>
    <row r="48" spans="1:19" ht="37.799999999999997" customHeight="1" thickBot="1" x14ac:dyDescent="0.5">
      <c r="A48" s="1669">
        <v>13</v>
      </c>
      <c r="B48" s="1727" t="s">
        <v>38</v>
      </c>
      <c r="C48" s="1691">
        <f>M5</f>
        <v>3.5714285714285716</v>
      </c>
      <c r="D48" s="926" t="s">
        <v>125</v>
      </c>
      <c r="E48" s="853">
        <f>$C$48/2</f>
        <v>1.7857142857142858</v>
      </c>
      <c r="F48" s="1033" t="s">
        <v>289</v>
      </c>
      <c r="G48" s="853">
        <f>E48/1</f>
        <v>1.7857142857142858</v>
      </c>
      <c r="H48" s="362"/>
      <c r="I48" s="375"/>
      <c r="J48" s="1034">
        <f>H48-I48</f>
        <v>0</v>
      </c>
      <c r="K48" s="1035">
        <f>(0.5*I48)* (6/10)</f>
        <v>0</v>
      </c>
      <c r="L48" s="1036">
        <f>I48-K48</f>
        <v>0</v>
      </c>
      <c r="M48" s="887" t="str">
        <f>IF(K48&lt;&gt;0,J48/K48,"0%")</f>
        <v>0%</v>
      </c>
      <c r="N48" s="1746">
        <f>(((G48/C48)*M48)+((G49/C48)*M49))</f>
        <v>0</v>
      </c>
      <c r="O48" s="1676">
        <f>IF((((G48/C48)*M48)+((G49/C48)*M49))&gt;=1,3.57148,IF((((G48/C48)*M48)+((G49/C48)*M49))&lt;=0,0, (((G48/C48)*M48)+((G49/C48)*M49))*3.571428))</f>
        <v>0</v>
      </c>
      <c r="P48" s="1678">
        <f>O48/3.571428</f>
        <v>0</v>
      </c>
      <c r="Q48" s="950" t="s">
        <v>95</v>
      </c>
      <c r="R48" s="745"/>
      <c r="S48" s="663" t="s">
        <v>664</v>
      </c>
    </row>
    <row r="49" spans="1:19" ht="30.6" customHeight="1" thickBot="1" x14ac:dyDescent="0.5">
      <c r="A49" s="1669"/>
      <c r="B49" s="1728"/>
      <c r="C49" s="1729"/>
      <c r="D49" s="953" t="s">
        <v>126</v>
      </c>
      <c r="E49" s="868">
        <f>$C$48/2</f>
        <v>1.7857142857142858</v>
      </c>
      <c r="F49" s="953" t="s">
        <v>290</v>
      </c>
      <c r="G49" s="868">
        <f>E49/1</f>
        <v>1.7857142857142858</v>
      </c>
      <c r="H49" s="383"/>
      <c r="I49" s="401"/>
      <c r="J49" s="955">
        <f>H49-I49</f>
        <v>0</v>
      </c>
      <c r="K49" s="1037">
        <f>(2*I49)*(6/10)</f>
        <v>0</v>
      </c>
      <c r="L49" s="1038">
        <f>I49+K49</f>
        <v>0</v>
      </c>
      <c r="M49" s="874" t="str">
        <f>IF(K49&lt;&gt;0,J49/K49,"0%")</f>
        <v>0%</v>
      </c>
      <c r="N49" s="1747"/>
      <c r="O49" s="1677"/>
      <c r="P49" s="1679"/>
      <c r="Q49" s="956" t="s">
        <v>95</v>
      </c>
      <c r="R49" s="755"/>
      <c r="S49" s="663" t="s">
        <v>664</v>
      </c>
    </row>
    <row r="50" spans="1:19" ht="15" customHeight="1" thickBot="1" x14ac:dyDescent="0.5">
      <c r="B50" s="1704" t="s">
        <v>39</v>
      </c>
      <c r="C50" s="1705"/>
      <c r="D50" s="1705"/>
      <c r="E50" s="1705"/>
      <c r="F50" s="1706"/>
      <c r="G50" s="1039"/>
      <c r="H50" s="1385"/>
      <c r="I50" s="1386"/>
      <c r="J50" s="1040"/>
      <c r="K50" s="1040"/>
      <c r="L50" s="1040"/>
      <c r="M50" s="1041"/>
      <c r="N50" s="833">
        <f>N51</f>
        <v>1.6666666666666667</v>
      </c>
      <c r="O50" s="834">
        <f>O51</f>
        <v>3.571428</v>
      </c>
      <c r="P50" s="835">
        <f>O50/3.571428</f>
        <v>1</v>
      </c>
      <c r="Q50" s="1042"/>
      <c r="R50" s="696"/>
      <c r="S50" s="696"/>
    </row>
    <row r="51" spans="1:19" ht="30.6" customHeight="1" thickBot="1" x14ac:dyDescent="0.5">
      <c r="A51" s="15">
        <v>14</v>
      </c>
      <c r="B51" s="1043" t="s">
        <v>226</v>
      </c>
      <c r="C51" s="1044">
        <f>M5</f>
        <v>3.5714285714285716</v>
      </c>
      <c r="D51" s="1045" t="s">
        <v>272</v>
      </c>
      <c r="E51" s="1046">
        <f>C51</f>
        <v>3.5714285714285716</v>
      </c>
      <c r="F51" s="1047" t="s">
        <v>266</v>
      </c>
      <c r="G51" s="1048">
        <f>E51/1</f>
        <v>3.5714285714285716</v>
      </c>
      <c r="H51" s="82">
        <v>100</v>
      </c>
      <c r="I51" s="87">
        <v>0</v>
      </c>
      <c r="J51" s="1049">
        <f>H51-I51</f>
        <v>100</v>
      </c>
      <c r="K51" s="1050">
        <f>(100-I51)*(6/10)</f>
        <v>60</v>
      </c>
      <c r="L51" s="1051">
        <f>I51+K51</f>
        <v>60</v>
      </c>
      <c r="M51" s="898">
        <f>IF(K51&lt;&gt;0,J51/K51,"100%")</f>
        <v>1.6666666666666667</v>
      </c>
      <c r="N51" s="969">
        <f>((G51/C51)*M51)</f>
        <v>1.6666666666666667</v>
      </c>
      <c r="O51" s="970">
        <f>IF(((G51/C51)*M51)&gt;=1,3.571428,IF(((G51/C51)*M51)&lt;=0,0,((G51/C51)*M51)*3.571428))</f>
        <v>3.571428</v>
      </c>
      <c r="P51" s="835">
        <f>O51/3.571428</f>
        <v>1</v>
      </c>
      <c r="Q51" s="1052" t="s">
        <v>95</v>
      </c>
      <c r="R51" s="350"/>
      <c r="S51" s="1363" t="s">
        <v>665</v>
      </c>
    </row>
    <row r="52" spans="1:19" ht="20.45" customHeight="1" thickBot="1" x14ac:dyDescent="0.5">
      <c r="B52" s="1704" t="s">
        <v>40</v>
      </c>
      <c r="C52" s="1705"/>
      <c r="D52" s="1705"/>
      <c r="E52" s="1705"/>
      <c r="F52" s="1706"/>
      <c r="G52" s="1030"/>
      <c r="H52" s="1379"/>
      <c r="I52" s="1380"/>
      <c r="J52" s="1031"/>
      <c r="K52" s="1032"/>
      <c r="L52" s="1032"/>
      <c r="M52" s="948"/>
      <c r="N52" s="833">
        <f>N53</f>
        <v>8.6875968992248073E-2</v>
      </c>
      <c r="O52" s="834">
        <f>O53</f>
        <v>0.31027126818604656</v>
      </c>
      <c r="P52" s="835">
        <f>O52/3.571428</f>
        <v>8.6875968992248073E-2</v>
      </c>
      <c r="Q52" s="1053"/>
      <c r="R52" s="696"/>
      <c r="S52" s="696"/>
    </row>
    <row r="53" spans="1:19" ht="43.8" customHeight="1" x14ac:dyDescent="0.45">
      <c r="A53" s="1669">
        <v>15</v>
      </c>
      <c r="B53" s="1687" t="s">
        <v>108</v>
      </c>
      <c r="C53" s="1691">
        <f>M5</f>
        <v>3.5714285714285716</v>
      </c>
      <c r="D53" s="1054" t="s">
        <v>127</v>
      </c>
      <c r="E53" s="1055">
        <f>$C$53/5</f>
        <v>0.7142857142857143</v>
      </c>
      <c r="F53" s="1056" t="s">
        <v>41</v>
      </c>
      <c r="G53" s="905">
        <f>E53/1</f>
        <v>0.7142857142857143</v>
      </c>
      <c r="H53" s="1432"/>
      <c r="I53" s="1433"/>
      <c r="J53" s="930">
        <f>H53-I53</f>
        <v>0</v>
      </c>
      <c r="K53" s="1035">
        <f>(100-I53)*(6/10)</f>
        <v>60</v>
      </c>
      <c r="L53" s="993">
        <f t="shared" ref="L53:L58" si="15">I53+K53</f>
        <v>60</v>
      </c>
      <c r="M53" s="859" t="str">
        <f>IF(K53&lt;&gt;0,"0%",J53/K53)</f>
        <v>0%</v>
      </c>
      <c r="N53" s="1740">
        <f>(((G53/C53)*M53)+((G54/C53)*M54)+((G55/C53)*M55)+((G56/C53)*M56)+((G57/C53)*M57)+((G58/C53)*M58))</f>
        <v>8.6875968992248073E-2</v>
      </c>
      <c r="O53" s="1751">
        <f>IF((((G53/C53)*M53)+((G54/C53)*M54)+((G55/C53)*M55)+((G56/C53)*M56)+((G57/C53)*M57)+((G58/C53)*M58))&gt;=1,3.571428,IF((((G53/C53)*M53)+((G54/C53)*M54)+((G55/C53)*M55)+((G56/C53)*M56)+((G57/C53)*M57)+((G58/C53)*M58))&lt;=0,0,((((G53/C53)*M53)+((G54/C53)*M54)+((G55/C53)*M55)+((G56/C53)*M56)+((G57/C53)*M57)+((G58/C53)*M58))*3.571428)))</f>
        <v>0.31027126818604656</v>
      </c>
      <c r="P53" s="1678">
        <f>O53/3.571428</f>
        <v>8.6875968992248073E-2</v>
      </c>
      <c r="Q53" s="1057" t="s">
        <v>95</v>
      </c>
      <c r="R53" s="761"/>
      <c r="S53" s="761"/>
    </row>
    <row r="54" spans="1:19" ht="35.450000000000003" customHeight="1" x14ac:dyDescent="0.45">
      <c r="A54" s="1669"/>
      <c r="B54" s="1688"/>
      <c r="C54" s="1692"/>
      <c r="D54" s="1058" t="s">
        <v>128</v>
      </c>
      <c r="E54" s="1059">
        <f t="shared" ref="E54:E57" si="16">$C$53/5</f>
        <v>0.7142857142857143</v>
      </c>
      <c r="F54" s="1060" t="s">
        <v>42</v>
      </c>
      <c r="G54" s="912">
        <f>E54/1</f>
        <v>0.7142857142857143</v>
      </c>
      <c r="H54" s="1434"/>
      <c r="I54" s="1435"/>
      <c r="J54" s="936">
        <f>H54-I54</f>
        <v>0</v>
      </c>
      <c r="K54" s="997">
        <f>(100-I54)*(6/6)</f>
        <v>100</v>
      </c>
      <c r="L54" s="998">
        <f>I54+K54</f>
        <v>100</v>
      </c>
      <c r="M54" s="916">
        <f t="shared" ref="M54:M55" si="17">IF(K54&lt;&gt;0,J54/K54,"0%")</f>
        <v>0</v>
      </c>
      <c r="N54" s="1741"/>
      <c r="O54" s="1700"/>
      <c r="P54" s="1703"/>
      <c r="Q54" s="1061" t="s">
        <v>95</v>
      </c>
      <c r="R54" s="354"/>
      <c r="S54" s="607"/>
    </row>
    <row r="55" spans="1:19" ht="25.9" customHeight="1" x14ac:dyDescent="0.45">
      <c r="A55" s="1669"/>
      <c r="B55" s="1688"/>
      <c r="C55" s="1692"/>
      <c r="D55" s="1058" t="s">
        <v>129</v>
      </c>
      <c r="E55" s="1059">
        <f t="shared" si="16"/>
        <v>0.7142857142857143</v>
      </c>
      <c r="F55" s="1060" t="s">
        <v>43</v>
      </c>
      <c r="G55" s="912">
        <f>E55/1</f>
        <v>0.7142857142857143</v>
      </c>
      <c r="H55" s="1436"/>
      <c r="I55" s="1435"/>
      <c r="J55" s="936">
        <f>H55-I55</f>
        <v>0</v>
      </c>
      <c r="K55" s="997">
        <f>(10-I55)*(6/10)</f>
        <v>6</v>
      </c>
      <c r="L55" s="998">
        <f t="shared" si="15"/>
        <v>6</v>
      </c>
      <c r="M55" s="916">
        <f t="shared" si="17"/>
        <v>0</v>
      </c>
      <c r="N55" s="1741"/>
      <c r="O55" s="1700"/>
      <c r="P55" s="1703"/>
      <c r="Q55" s="1061" t="s">
        <v>95</v>
      </c>
      <c r="R55" s="354"/>
      <c r="S55" s="354"/>
    </row>
    <row r="56" spans="1:19" ht="43.5" customHeight="1" x14ac:dyDescent="0.45">
      <c r="A56" s="1669"/>
      <c r="B56" s="1688"/>
      <c r="C56" s="1692"/>
      <c r="D56" s="1058" t="s">
        <v>130</v>
      </c>
      <c r="E56" s="1059">
        <f t="shared" si="16"/>
        <v>0.7142857142857143</v>
      </c>
      <c r="F56" s="1060" t="s">
        <v>44</v>
      </c>
      <c r="G56" s="912">
        <f>E56/1</f>
        <v>0.7142857142857143</v>
      </c>
      <c r="H56" s="365">
        <v>1020.1</v>
      </c>
      <c r="I56" s="366">
        <v>860</v>
      </c>
      <c r="J56" s="936">
        <f>H56-I56</f>
        <v>160.10000000000002</v>
      </c>
      <c r="K56" s="1062">
        <f>(0.5*I56)*(6/7)</f>
        <v>368.57142857142856</v>
      </c>
      <c r="L56" s="998">
        <f t="shared" si="15"/>
        <v>1228.5714285714284</v>
      </c>
      <c r="M56" s="916">
        <f>IF(K56&lt;&gt;0,J56/K56,"0%")</f>
        <v>0.43437984496124038</v>
      </c>
      <c r="N56" s="1741"/>
      <c r="O56" s="1700"/>
      <c r="P56" s="1703"/>
      <c r="Q56" s="1061" t="s">
        <v>101</v>
      </c>
      <c r="R56" s="204" t="s">
        <v>666</v>
      </c>
      <c r="S56" s="1437" t="s">
        <v>667</v>
      </c>
    </row>
    <row r="57" spans="1:19" ht="61.5" customHeight="1" x14ac:dyDescent="0.45">
      <c r="A57" s="1669"/>
      <c r="B57" s="1688"/>
      <c r="C57" s="1692"/>
      <c r="D57" s="1753" t="s">
        <v>131</v>
      </c>
      <c r="E57" s="1755">
        <f t="shared" si="16"/>
        <v>0.7142857142857143</v>
      </c>
      <c r="F57" s="1060" t="s">
        <v>45</v>
      </c>
      <c r="G57" s="912">
        <f>$E$57/2</f>
        <v>0.35714285714285715</v>
      </c>
      <c r="H57" s="365">
        <v>873375</v>
      </c>
      <c r="I57" s="366"/>
      <c r="J57" s="936">
        <f t="shared" ref="J57:J58" si="18">H57-I57</f>
        <v>873375</v>
      </c>
      <c r="K57" s="1064">
        <f>(1*I57)*(6/10)</f>
        <v>0</v>
      </c>
      <c r="L57" s="998">
        <f t="shared" si="15"/>
        <v>0</v>
      </c>
      <c r="M57" s="916" t="str">
        <f>IF(K57&lt;&gt;0,J57/K57,"0%")</f>
        <v>0%</v>
      </c>
      <c r="N57" s="1741"/>
      <c r="O57" s="1700"/>
      <c r="P57" s="1703"/>
      <c r="Q57" s="1061" t="s">
        <v>180</v>
      </c>
      <c r="R57" s="354"/>
      <c r="S57" s="1438" t="s">
        <v>668</v>
      </c>
    </row>
    <row r="58" spans="1:19" ht="15" customHeight="1" thickBot="1" x14ac:dyDescent="0.5">
      <c r="A58" s="1669"/>
      <c r="B58" s="1739"/>
      <c r="C58" s="1729"/>
      <c r="D58" s="1754"/>
      <c r="E58" s="1756"/>
      <c r="F58" s="867" t="s">
        <v>46</v>
      </c>
      <c r="G58" s="919">
        <f>$E$57/2</f>
        <v>0.35714285714285715</v>
      </c>
      <c r="H58" s="1419"/>
      <c r="I58" s="1439"/>
      <c r="J58" s="943">
        <f t="shared" si="18"/>
        <v>0</v>
      </c>
      <c r="K58" s="1037">
        <f>(1*I58)*(6/10)</f>
        <v>0</v>
      </c>
      <c r="L58" s="1065">
        <f t="shared" si="15"/>
        <v>0</v>
      </c>
      <c r="M58" s="874" t="str">
        <f>IF(K58&lt;&gt;0,J58/K58,"0%")</f>
        <v>0%</v>
      </c>
      <c r="N58" s="1742"/>
      <c r="O58" s="1701"/>
      <c r="P58" s="1679"/>
      <c r="Q58" s="1066" t="s">
        <v>95</v>
      </c>
      <c r="R58" s="355" t="s">
        <v>669</v>
      </c>
      <c r="S58" s="355"/>
    </row>
    <row r="59" spans="1:19" ht="23.45" customHeight="1" thickBot="1" x14ac:dyDescent="0.5">
      <c r="B59" s="1743" t="s">
        <v>47</v>
      </c>
      <c r="C59" s="1744"/>
      <c r="D59" s="1744"/>
      <c r="E59" s="1744"/>
      <c r="F59" s="1745"/>
      <c r="G59" s="1067"/>
      <c r="H59" s="1381"/>
      <c r="I59" s="1382"/>
      <c r="J59" s="1068"/>
      <c r="K59" s="1068"/>
      <c r="L59" s="1068"/>
      <c r="M59" s="1028"/>
      <c r="N59" s="833">
        <f>(N60+N67)/2</f>
        <v>4.1666666666666664E-2</v>
      </c>
      <c r="O59" s="834">
        <f>(O60+O67)</f>
        <v>0.29761899999999997</v>
      </c>
      <c r="P59" s="835">
        <f>O59/7.142856</f>
        <v>4.1666666666666664E-2</v>
      </c>
      <c r="Q59" s="1069"/>
      <c r="R59" s="763"/>
      <c r="S59" s="708"/>
    </row>
    <row r="60" spans="1:19" ht="22.25" customHeight="1" thickBot="1" x14ac:dyDescent="0.5">
      <c r="B60" s="1704" t="s">
        <v>48</v>
      </c>
      <c r="C60" s="1705"/>
      <c r="D60" s="1705"/>
      <c r="E60" s="1705"/>
      <c r="F60" s="1706"/>
      <c r="G60" s="923"/>
      <c r="H60" s="1379"/>
      <c r="I60" s="1380"/>
      <c r="J60" s="946"/>
      <c r="K60" s="947"/>
      <c r="L60" s="947"/>
      <c r="M60" s="923"/>
      <c r="N60" s="833">
        <f>N61</f>
        <v>8.3333333333333329E-2</v>
      </c>
      <c r="O60" s="834">
        <f>O61</f>
        <v>0.29761899999999997</v>
      </c>
      <c r="P60" s="835">
        <f>O60/3.571428</f>
        <v>8.3333333333333329E-2</v>
      </c>
      <c r="Q60" s="924"/>
      <c r="R60" s="685"/>
      <c r="S60" s="685"/>
    </row>
    <row r="61" spans="1:19" ht="39" customHeight="1" x14ac:dyDescent="0.45">
      <c r="A61" s="1669">
        <v>16</v>
      </c>
      <c r="B61" s="1687" t="s">
        <v>49</v>
      </c>
      <c r="C61" s="1691">
        <f>M5</f>
        <v>3.5714285714285716</v>
      </c>
      <c r="D61" s="926" t="s">
        <v>133</v>
      </c>
      <c r="E61" s="853">
        <f>$C$61/4</f>
        <v>0.8928571428571429</v>
      </c>
      <c r="F61" s="926" t="s">
        <v>50</v>
      </c>
      <c r="G61" s="905">
        <f>E61/1</f>
        <v>0.8928571428571429</v>
      </c>
      <c r="H61" s="373"/>
      <c r="I61" s="179"/>
      <c r="J61" s="1019">
        <f>IF(I61=H61,(H61-70),H61-I61)</f>
        <v>-70</v>
      </c>
      <c r="K61" s="909">
        <f>IF(I61&gt;=70,0,((70-I61)*(6/10)))</f>
        <v>42</v>
      </c>
      <c r="L61" s="1070">
        <f t="shared" ref="L61:L66" si="19">I61+K61</f>
        <v>42</v>
      </c>
      <c r="M61" s="916" t="str">
        <f>IF(H61=0,"0%",J61/K61)</f>
        <v>0%</v>
      </c>
      <c r="N61" s="1748">
        <f>(((G61/C61)*M61)+((G62/C61)*M62)+((G63/C61)*M63)+((G64/C61)*M64)+((G65/C61)*M65)+((G66/C61)*M66))</f>
        <v>8.3333333333333329E-2</v>
      </c>
      <c r="O61" s="1751">
        <f>IF((((G61/C61)*M61)+((G62/C61)*M62)+((G63/C61)*M63)+((G64/C61)*M64)+((G65/C61)*M65)+((G66/C61)*M66))&gt;=1,3.571428,IF((((G61/C61)*M61)+((G62/C61)*M62)+((G63/C61)*M63)+((G64/C61)*M64)+((G65/C61)*M65)+((G66/C61)*M66))&lt;=0,0,((((G61/C61)*M61)+((G62/C61)*M62)+((G63/C61)*M63)+((G64/C61)*M64)+((G65/C61)*M65)+((G66/C61)*M66))*3.571428)))</f>
        <v>0.29761899999999997</v>
      </c>
      <c r="P61" s="1678">
        <f>O61/3.571428</f>
        <v>8.3333333333333329E-2</v>
      </c>
      <c r="Q61" s="994" t="s">
        <v>181</v>
      </c>
      <c r="R61" s="745"/>
      <c r="S61" s="1284" t="s">
        <v>670</v>
      </c>
    </row>
    <row r="62" spans="1:19" ht="58.25" customHeight="1" thickBot="1" x14ac:dyDescent="0.5">
      <c r="A62" s="1669"/>
      <c r="B62" s="1688"/>
      <c r="C62" s="1692"/>
      <c r="D62" s="933" t="s">
        <v>134</v>
      </c>
      <c r="E62" s="934">
        <f t="shared" ref="E62:E63" si="20">$C$61/4</f>
        <v>0.8928571428571429</v>
      </c>
      <c r="F62" s="1058" t="s">
        <v>276</v>
      </c>
      <c r="G62" s="912">
        <f>$E$62/1</f>
        <v>0.8928571428571429</v>
      </c>
      <c r="H62" s="101">
        <v>0</v>
      </c>
      <c r="I62" s="104">
        <v>0</v>
      </c>
      <c r="J62" s="1071">
        <f>IF(I62=H62,(H62-70),H62-I62)</f>
        <v>-70</v>
      </c>
      <c r="K62" s="914">
        <f t="shared" ref="K62:K63" si="21">IF(I62&gt;=70,0,((70-I62)*(6/10)))</f>
        <v>42</v>
      </c>
      <c r="L62" s="1072">
        <f t="shared" si="19"/>
        <v>42</v>
      </c>
      <c r="M62" s="916" t="str">
        <f>IF(H62=0,"0%",J62/K62)</f>
        <v>0%</v>
      </c>
      <c r="N62" s="1749"/>
      <c r="O62" s="1700"/>
      <c r="P62" s="1703"/>
      <c r="Q62" s="999" t="s">
        <v>182</v>
      </c>
      <c r="R62" s="182"/>
      <c r="S62" s="1291" t="s">
        <v>671</v>
      </c>
    </row>
    <row r="63" spans="1:19" ht="26.45" customHeight="1" x14ac:dyDescent="0.45">
      <c r="A63" s="1669"/>
      <c r="B63" s="1688"/>
      <c r="C63" s="1692"/>
      <c r="D63" s="933" t="s">
        <v>135</v>
      </c>
      <c r="E63" s="934">
        <f t="shared" si="20"/>
        <v>0.8928571428571429</v>
      </c>
      <c r="F63" s="933" t="s">
        <v>51</v>
      </c>
      <c r="G63" s="912">
        <f>E63/1</f>
        <v>0.8928571428571429</v>
      </c>
      <c r="H63" s="101">
        <v>0</v>
      </c>
      <c r="I63" s="366"/>
      <c r="J63" s="1071">
        <f>IF(I63=H63,(H63-70),H63-I63)</f>
        <v>-70</v>
      </c>
      <c r="K63" s="914">
        <f t="shared" si="21"/>
        <v>42</v>
      </c>
      <c r="L63" s="1072">
        <f t="shared" si="19"/>
        <v>42</v>
      </c>
      <c r="M63" s="916" t="str">
        <f>IF(H63=0,"0%",J63/K63)</f>
        <v>0%</v>
      </c>
      <c r="N63" s="1749"/>
      <c r="O63" s="1700"/>
      <c r="P63" s="1703"/>
      <c r="Q63" s="999" t="s">
        <v>95</v>
      </c>
      <c r="R63" s="182"/>
      <c r="S63" s="1440" t="s">
        <v>672</v>
      </c>
    </row>
    <row r="64" spans="1:19" ht="15" customHeight="1" x14ac:dyDescent="0.45">
      <c r="A64" s="1669"/>
      <c r="B64" s="1688"/>
      <c r="C64" s="1692"/>
      <c r="D64" s="1721" t="s">
        <v>136</v>
      </c>
      <c r="E64" s="1723">
        <f>$C$61/4</f>
        <v>0.8928571428571429</v>
      </c>
      <c r="F64" s="1073" t="s">
        <v>52</v>
      </c>
      <c r="G64" s="1074">
        <f>$E$64/3</f>
        <v>0.29761904761904762</v>
      </c>
      <c r="H64" s="101">
        <v>100</v>
      </c>
      <c r="I64" s="104">
        <v>100</v>
      </c>
      <c r="J64" s="1075">
        <f t="shared" ref="J64:J66" si="22">H64-I64</f>
        <v>0</v>
      </c>
      <c r="K64" s="1076">
        <f>(100-I64)*(6/10)</f>
        <v>0</v>
      </c>
      <c r="L64" s="1072">
        <f t="shared" si="19"/>
        <v>100</v>
      </c>
      <c r="M64" s="916" t="str">
        <f t="shared" ref="M64:M66" si="23">IF(K64&lt;&gt;0,J64/K64,"100%")</f>
        <v>100%</v>
      </c>
      <c r="N64" s="1749"/>
      <c r="O64" s="1700"/>
      <c r="P64" s="1703"/>
      <c r="Q64" s="999" t="s">
        <v>95</v>
      </c>
      <c r="R64" s="169"/>
      <c r="S64" s="1441" t="s">
        <v>673</v>
      </c>
    </row>
    <row r="65" spans="1:19" ht="23.65" thickBot="1" x14ac:dyDescent="0.5">
      <c r="A65" s="1669"/>
      <c r="B65" s="1688"/>
      <c r="C65" s="1692"/>
      <c r="D65" s="1721"/>
      <c r="E65" s="1723"/>
      <c r="F65" s="1073" t="s">
        <v>53</v>
      </c>
      <c r="G65" s="1074">
        <f t="shared" ref="G65:G66" si="24">$E$64/3</f>
        <v>0.29761904761904762</v>
      </c>
      <c r="H65" s="101">
        <v>0</v>
      </c>
      <c r="I65" s="104">
        <v>0</v>
      </c>
      <c r="J65" s="1075">
        <f t="shared" si="22"/>
        <v>0</v>
      </c>
      <c r="K65" s="1076">
        <f>(100-I65)*(6/10)</f>
        <v>60</v>
      </c>
      <c r="L65" s="1072">
        <f t="shared" si="19"/>
        <v>60</v>
      </c>
      <c r="M65" s="916">
        <f t="shared" si="23"/>
        <v>0</v>
      </c>
      <c r="N65" s="1749"/>
      <c r="O65" s="1700"/>
      <c r="P65" s="1703"/>
      <c r="Q65" s="999" t="s">
        <v>95</v>
      </c>
      <c r="R65" s="182"/>
      <c r="S65" s="1441" t="s">
        <v>674</v>
      </c>
    </row>
    <row r="66" spans="1:19" ht="27.6" customHeight="1" thickBot="1" x14ac:dyDescent="0.5">
      <c r="A66" s="1669"/>
      <c r="B66" s="1739"/>
      <c r="C66" s="1729"/>
      <c r="D66" s="1728"/>
      <c r="E66" s="1752"/>
      <c r="F66" s="1077" t="s">
        <v>54</v>
      </c>
      <c r="G66" s="1078">
        <f t="shared" si="24"/>
        <v>0.29761904761904762</v>
      </c>
      <c r="H66" s="1442"/>
      <c r="I66" s="1443"/>
      <c r="J66" s="1079">
        <f t="shared" si="22"/>
        <v>0</v>
      </c>
      <c r="K66" s="1080">
        <f>(100-I66)*(6/10)</f>
        <v>60</v>
      </c>
      <c r="L66" s="1081">
        <f t="shared" si="19"/>
        <v>60</v>
      </c>
      <c r="M66" s="874">
        <f t="shared" si="23"/>
        <v>0</v>
      </c>
      <c r="N66" s="1750"/>
      <c r="O66" s="1701"/>
      <c r="P66" s="1679"/>
      <c r="Q66" s="1082" t="s">
        <v>95</v>
      </c>
      <c r="R66" s="755"/>
      <c r="S66" s="1284" t="s">
        <v>670</v>
      </c>
    </row>
    <row r="67" spans="1:19" ht="27" customHeight="1" thickBot="1" x14ac:dyDescent="0.5">
      <c r="B67" s="1684" t="s">
        <v>55</v>
      </c>
      <c r="C67" s="1685"/>
      <c r="D67" s="1685"/>
      <c r="E67" s="1685"/>
      <c r="F67" s="1686"/>
      <c r="G67" s="1015"/>
      <c r="H67" s="1375"/>
      <c r="I67" s="1376"/>
      <c r="J67" s="1015"/>
      <c r="K67" s="1016"/>
      <c r="L67" s="1016"/>
      <c r="M67" s="923"/>
      <c r="N67" s="833">
        <f>N68</f>
        <v>0</v>
      </c>
      <c r="O67" s="834">
        <f>O68</f>
        <v>0</v>
      </c>
      <c r="P67" s="835">
        <f>O67/3.571428</f>
        <v>0</v>
      </c>
      <c r="Q67" s="1083"/>
      <c r="R67" s="1387"/>
      <c r="S67" s="1360"/>
    </row>
    <row r="68" spans="1:19" ht="58.5" thickBot="1" x14ac:dyDescent="0.5">
      <c r="A68" s="16">
        <v>17</v>
      </c>
      <c r="B68" s="1084" t="s">
        <v>56</v>
      </c>
      <c r="C68" s="1085">
        <f>M5</f>
        <v>3.5714285714285716</v>
      </c>
      <c r="D68" s="1084" t="s">
        <v>137</v>
      </c>
      <c r="E68" s="1085">
        <f>C68</f>
        <v>3.5714285714285716</v>
      </c>
      <c r="F68" s="1084" t="s">
        <v>57</v>
      </c>
      <c r="G68" s="1086">
        <f>E68/1</f>
        <v>3.5714285714285716</v>
      </c>
      <c r="H68" s="359"/>
      <c r="I68" s="395"/>
      <c r="J68" s="1089">
        <f>IF(I68=H68,(H68-70),I68-H68)</f>
        <v>-70</v>
      </c>
      <c r="K68" s="982">
        <f t="shared" ref="K68" si="25">IF(I68&gt;=70,0,((70-I68)*(6/10)))</f>
        <v>42</v>
      </c>
      <c r="L68" s="1090">
        <f>I68-K68</f>
        <v>-42</v>
      </c>
      <c r="M68" s="916" t="str">
        <f>IF(H68=0,"0%",J68/K68)</f>
        <v>0%</v>
      </c>
      <c r="N68" s="1091">
        <f>((G68/C68)*M68)</f>
        <v>0</v>
      </c>
      <c r="O68" s="970">
        <f>IF(((G68/C68)*M68)&gt;=1,3.571428,IF(((G68/C68)*M68)&lt;=0,0,((G68/C68)*M68)*3.571428))</f>
        <v>0</v>
      </c>
      <c r="P68" s="835">
        <f>O68/3.571428</f>
        <v>0</v>
      </c>
      <c r="Q68" s="1092" t="s">
        <v>132</v>
      </c>
      <c r="R68" s="93" t="s">
        <v>675</v>
      </c>
      <c r="S68" s="1284" t="s">
        <v>670</v>
      </c>
    </row>
    <row r="69" spans="1:19" ht="22.25" customHeight="1" thickBot="1" x14ac:dyDescent="0.5">
      <c r="B69" s="1575" t="s">
        <v>58</v>
      </c>
      <c r="C69" s="1576"/>
      <c r="D69" s="1576"/>
      <c r="E69" s="1576"/>
      <c r="F69" s="1577"/>
      <c r="G69" s="173"/>
      <c r="H69" s="771"/>
      <c r="I69" s="772"/>
      <c r="J69" s="174"/>
      <c r="K69" s="79"/>
      <c r="L69" s="79"/>
      <c r="M69" s="1093"/>
      <c r="N69" s="833">
        <f>(N70+N72+N74)/3</f>
        <v>0</v>
      </c>
      <c r="O69" s="834">
        <f>(O70+O72+O74)</f>
        <v>0</v>
      </c>
      <c r="P69" s="835">
        <f>O69/10.714284</f>
        <v>0</v>
      </c>
      <c r="Q69" s="808"/>
      <c r="R69" s="773"/>
      <c r="S69" s="716"/>
    </row>
    <row r="70" spans="1:19" ht="20.45" customHeight="1" thickBot="1" x14ac:dyDescent="0.5">
      <c r="B70" s="1704" t="s">
        <v>59</v>
      </c>
      <c r="C70" s="1705"/>
      <c r="D70" s="1705"/>
      <c r="E70" s="1705"/>
      <c r="F70" s="1706"/>
      <c r="G70" s="923"/>
      <c r="H70" s="1379"/>
      <c r="I70" s="1380"/>
      <c r="J70" s="924"/>
      <c r="K70" s="924"/>
      <c r="L70" s="924"/>
      <c r="M70" s="1094"/>
      <c r="N70" s="833">
        <f>N71</f>
        <v>0</v>
      </c>
      <c r="O70" s="834">
        <f>O71</f>
        <v>0</v>
      </c>
      <c r="P70" s="835">
        <f t="shared" ref="P70:P78" si="26">O70/3.571428</f>
        <v>0</v>
      </c>
      <c r="Q70" s="1053"/>
      <c r="R70" s="1361"/>
      <c r="S70" s="1361"/>
    </row>
    <row r="71" spans="1:19" ht="52.25" customHeight="1" thickBot="1" x14ac:dyDescent="0.5">
      <c r="A71" s="16">
        <v>18</v>
      </c>
      <c r="B71" s="1095" t="s">
        <v>60</v>
      </c>
      <c r="C71" s="1096">
        <f>M5</f>
        <v>3.5714285714285716</v>
      </c>
      <c r="D71" s="1097" t="s">
        <v>138</v>
      </c>
      <c r="E71" s="1098">
        <f>C71</f>
        <v>3.5714285714285716</v>
      </c>
      <c r="F71" s="1099" t="s">
        <v>61</v>
      </c>
      <c r="G71" s="1108">
        <f>E71/1</f>
        <v>3.5714285714285716</v>
      </c>
      <c r="H71" s="579"/>
      <c r="I71" s="1444"/>
      <c r="J71" s="1243">
        <f>I71-H71</f>
        <v>0</v>
      </c>
      <c r="K71" s="979">
        <f>(0.5*I71)*0.6</f>
        <v>0</v>
      </c>
      <c r="L71" s="1090">
        <f>I71-K71</f>
        <v>0</v>
      </c>
      <c r="M71" s="1116">
        <f>(IF(H71=0,0,(J71/K71)))</f>
        <v>0</v>
      </c>
      <c r="N71" s="1091">
        <f>((G71/C71)*M71)</f>
        <v>0</v>
      </c>
      <c r="O71" s="970">
        <f>IF(((G71/C71)*M71)&gt;=1,3.571428,IF(((G71/C71)*M71)&lt;=0,0,((G71/C71)*M71)*3.571428))</f>
        <v>0</v>
      </c>
      <c r="P71" s="835">
        <f t="shared" si="26"/>
        <v>0</v>
      </c>
      <c r="Q71" s="1102" t="s">
        <v>183</v>
      </c>
      <c r="R71" s="607"/>
      <c r="S71" s="1284" t="s">
        <v>670</v>
      </c>
    </row>
    <row r="72" spans="1:19" ht="20.45" customHeight="1" thickBot="1" x14ac:dyDescent="0.5">
      <c r="B72" s="1730" t="s">
        <v>277</v>
      </c>
      <c r="C72" s="1731"/>
      <c r="D72" s="1731"/>
      <c r="E72" s="1731"/>
      <c r="F72" s="1733"/>
      <c r="G72" s="985"/>
      <c r="H72" s="1375"/>
      <c r="I72" s="1376"/>
      <c r="J72" s="986"/>
      <c r="K72" s="987"/>
      <c r="L72" s="987"/>
      <c r="M72" s="988"/>
      <c r="N72" s="833">
        <f>N73</f>
        <v>0</v>
      </c>
      <c r="O72" s="834">
        <f>O73</f>
        <v>0</v>
      </c>
      <c r="P72" s="835">
        <f t="shared" si="26"/>
        <v>0</v>
      </c>
      <c r="Q72" s="1103"/>
      <c r="R72" s="1361"/>
      <c r="S72" s="1361"/>
    </row>
    <row r="73" spans="1:19" ht="45" customHeight="1" thickBot="1" x14ac:dyDescent="0.5">
      <c r="A73" s="16">
        <v>19</v>
      </c>
      <c r="B73" s="1104" t="s">
        <v>62</v>
      </c>
      <c r="C73" s="1105">
        <f>M5</f>
        <v>3.5714285714285716</v>
      </c>
      <c r="D73" s="1106" t="s">
        <v>139</v>
      </c>
      <c r="E73" s="1105">
        <f>C73</f>
        <v>3.5714285714285716</v>
      </c>
      <c r="F73" s="1107" t="s">
        <v>63</v>
      </c>
      <c r="G73" s="1108">
        <f>E73/1</f>
        <v>3.5714285714285716</v>
      </c>
      <c r="H73" s="358"/>
      <c r="I73" s="395"/>
      <c r="J73" s="1109">
        <f>I73-H73</f>
        <v>0</v>
      </c>
      <c r="K73" s="1110">
        <f>IF(H73&gt;0,(H73),I73)</f>
        <v>0</v>
      </c>
      <c r="L73" s="1111">
        <f>I73-K73</f>
        <v>0</v>
      </c>
      <c r="M73" s="1116">
        <f>(IF(H73=0,0,(J73/K73)))</f>
        <v>0</v>
      </c>
      <c r="N73" s="1091">
        <f>((G73/C73)*M73)</f>
        <v>0</v>
      </c>
      <c r="O73" s="970">
        <f>IF(((G73/C73)*M73)&gt;=1,3.571428,IF(((G73/C73)*M73)&lt;=0,0,((G73/C73)*M73)*3.571428))</f>
        <v>0</v>
      </c>
      <c r="P73" s="835">
        <f t="shared" si="26"/>
        <v>0</v>
      </c>
      <c r="Q73" s="1112" t="s">
        <v>95</v>
      </c>
      <c r="R73" s="93"/>
      <c r="S73" s="1284" t="s">
        <v>670</v>
      </c>
    </row>
    <row r="74" spans="1:19" ht="30.6" customHeight="1" thickBot="1" x14ac:dyDescent="0.5">
      <c r="B74" s="1704" t="s">
        <v>64</v>
      </c>
      <c r="C74" s="1705"/>
      <c r="D74" s="1705"/>
      <c r="E74" s="1705"/>
      <c r="F74" s="1706"/>
      <c r="G74" s="924"/>
      <c r="H74" s="1379"/>
      <c r="I74" s="1380"/>
      <c r="J74" s="924"/>
      <c r="K74" s="924"/>
      <c r="L74" s="924"/>
      <c r="M74" s="923"/>
      <c r="N74" s="833">
        <f>N75</f>
        <v>0</v>
      </c>
      <c r="O74" s="834">
        <f>O75</f>
        <v>0</v>
      </c>
      <c r="P74" s="835">
        <f t="shared" si="26"/>
        <v>0</v>
      </c>
      <c r="Q74" s="1053"/>
      <c r="R74" s="696"/>
      <c r="S74" s="696"/>
    </row>
    <row r="75" spans="1:19" ht="29.45" customHeight="1" thickBot="1" x14ac:dyDescent="0.5">
      <c r="A75" s="16">
        <v>20</v>
      </c>
      <c r="B75" s="1104" t="s">
        <v>65</v>
      </c>
      <c r="C75" s="964">
        <f>M5</f>
        <v>3.5714285714285716</v>
      </c>
      <c r="D75" s="1097" t="s">
        <v>140</v>
      </c>
      <c r="E75" s="1113">
        <f>C75</f>
        <v>3.5714285714285716</v>
      </c>
      <c r="F75" s="1106" t="s">
        <v>66</v>
      </c>
      <c r="G75" s="1108">
        <f>E75/1</f>
        <v>3.5714285714285716</v>
      </c>
      <c r="H75" s="358"/>
      <c r="I75" s="395"/>
      <c r="J75" s="1240">
        <f>H75-I75</f>
        <v>0</v>
      </c>
      <c r="K75" s="1050">
        <f>IF(AND(H75=0,I75=1)," 1",(H75-I75))</f>
        <v>0</v>
      </c>
      <c r="L75" s="1115">
        <f>I75+K75</f>
        <v>0</v>
      </c>
      <c r="M75" s="1116">
        <f>(IF(H75=0,0,(J75/K75)))</f>
        <v>0</v>
      </c>
      <c r="N75" s="1091">
        <f>((G75/C75)*M75)</f>
        <v>0</v>
      </c>
      <c r="O75" s="970">
        <f>IF(((G75/C75)*M75)&gt;=1,3.571428,IF(((G75/C75)*M75)&lt;=0,0,((G75/C75)*M75)*3.571428))</f>
        <v>0</v>
      </c>
      <c r="P75" s="835">
        <f t="shared" si="26"/>
        <v>0</v>
      </c>
      <c r="Q75" s="1117" t="s">
        <v>95</v>
      </c>
      <c r="R75" s="775"/>
      <c r="S75" s="1284" t="s">
        <v>670</v>
      </c>
    </row>
    <row r="76" spans="1:19" ht="20.45" customHeight="1" thickBot="1" x14ac:dyDescent="0.5">
      <c r="B76" s="1763" t="s">
        <v>67</v>
      </c>
      <c r="C76" s="1764"/>
      <c r="D76" s="1764"/>
      <c r="E76" s="1764"/>
      <c r="F76" s="1765"/>
      <c r="G76" s="1118"/>
      <c r="H76" s="1381"/>
      <c r="I76" s="1382"/>
      <c r="J76" s="1119"/>
      <c r="K76" s="807"/>
      <c r="L76" s="807"/>
      <c r="M76" s="1118"/>
      <c r="N76" s="833">
        <f t="shared" ref="N76:O77" si="27">N77</f>
        <v>0</v>
      </c>
      <c r="O76" s="834">
        <f t="shared" si="27"/>
        <v>0</v>
      </c>
      <c r="P76" s="835">
        <f t="shared" si="26"/>
        <v>0</v>
      </c>
      <c r="Q76" s="1120"/>
      <c r="R76" s="724"/>
      <c r="S76" s="724"/>
    </row>
    <row r="77" spans="1:19" ht="20.45" customHeight="1" thickBot="1" x14ac:dyDescent="0.5">
      <c r="B77" s="1704" t="s">
        <v>68</v>
      </c>
      <c r="C77" s="1705"/>
      <c r="D77" s="1705"/>
      <c r="E77" s="1705"/>
      <c r="F77" s="1706"/>
      <c r="G77" s="923"/>
      <c r="H77" s="1379"/>
      <c r="I77" s="1380"/>
      <c r="J77" s="946"/>
      <c r="K77" s="947"/>
      <c r="L77" s="947"/>
      <c r="M77" s="925"/>
      <c r="N77" s="833">
        <f t="shared" si="27"/>
        <v>0</v>
      </c>
      <c r="O77" s="834">
        <f t="shared" si="27"/>
        <v>0</v>
      </c>
      <c r="P77" s="835">
        <f t="shared" si="26"/>
        <v>0</v>
      </c>
      <c r="Q77" s="1053"/>
      <c r="R77" s="696"/>
      <c r="S77" s="696"/>
    </row>
    <row r="78" spans="1:19" ht="35.25" thickBot="1" x14ac:dyDescent="0.5">
      <c r="A78" s="16">
        <v>21</v>
      </c>
      <c r="B78" s="1104" t="s">
        <v>69</v>
      </c>
      <c r="C78" s="1113">
        <f>M5</f>
        <v>3.5714285714285716</v>
      </c>
      <c r="D78" s="1121" t="s">
        <v>141</v>
      </c>
      <c r="E78" s="1113">
        <f>C78</f>
        <v>3.5714285714285716</v>
      </c>
      <c r="F78" s="1121" t="s">
        <v>70</v>
      </c>
      <c r="G78" s="1445">
        <f>E78/1</f>
        <v>3.5714285714285716</v>
      </c>
      <c r="H78" s="358"/>
      <c r="I78" s="395"/>
      <c r="J78" s="1242">
        <f>IF(I78=H78,(H78-60),H78-I78)</f>
        <v>-60</v>
      </c>
      <c r="K78" s="982">
        <f>IF(I78&gt;=60,0,((60-I78)*(6/10)))</f>
        <v>36</v>
      </c>
      <c r="L78" s="1090">
        <f t="shared" ref="L78" si="28">K78+I78</f>
        <v>36</v>
      </c>
      <c r="M78" s="968">
        <f>IF(I78&gt;=60,(1+(H78-60)/60),(H78/L78))</f>
        <v>0</v>
      </c>
      <c r="N78" s="1091">
        <f>((G78/C78)*M78)</f>
        <v>0</v>
      </c>
      <c r="O78" s="970">
        <f>IF(((G78/C78)*M78)&gt;=1,3.571428,IF(((G78/C78)*M78)&lt;=0,0,((G78/C78)*M78)*3.571428))</f>
        <v>0</v>
      </c>
      <c r="P78" s="835">
        <f t="shared" si="26"/>
        <v>0</v>
      </c>
      <c r="Q78" s="1122" t="s">
        <v>95</v>
      </c>
      <c r="R78" s="93"/>
      <c r="S78" s="1284" t="s">
        <v>670</v>
      </c>
    </row>
    <row r="79" spans="1:19" ht="21.6" customHeight="1" thickBot="1" x14ac:dyDescent="0.5">
      <c r="B79" s="1757" t="s">
        <v>71</v>
      </c>
      <c r="C79" s="1758"/>
      <c r="D79" s="1758"/>
      <c r="E79" s="1758"/>
      <c r="F79" s="1759"/>
      <c r="G79" s="1118"/>
      <c r="H79" s="1381"/>
      <c r="I79" s="1382"/>
      <c r="J79" s="1123"/>
      <c r="K79" s="1124"/>
      <c r="L79" s="1124"/>
      <c r="M79" s="1118"/>
      <c r="N79" s="833">
        <f>(N80+N86)/2</f>
        <v>0.17857142857142855</v>
      </c>
      <c r="O79" s="834">
        <f>(O80+O86)</f>
        <v>1.2755099999999999</v>
      </c>
      <c r="P79" s="835">
        <f>O79/10.714284</f>
        <v>0.11904761904761905</v>
      </c>
      <c r="Q79" s="1120"/>
      <c r="R79" s="724"/>
      <c r="S79" s="724"/>
    </row>
    <row r="80" spans="1:19" ht="20.45" customHeight="1" thickBot="1" x14ac:dyDescent="0.5">
      <c r="B80" s="1684" t="s">
        <v>72</v>
      </c>
      <c r="C80" s="1685"/>
      <c r="D80" s="1685"/>
      <c r="E80" s="1685"/>
      <c r="F80" s="1686"/>
      <c r="G80" s="948"/>
      <c r="H80" s="1379"/>
      <c r="I80" s="1380"/>
      <c r="J80" s="924"/>
      <c r="K80" s="924"/>
      <c r="L80" s="924"/>
      <c r="M80" s="948"/>
      <c r="N80" s="833">
        <f>(N81+N83)/2</f>
        <v>0</v>
      </c>
      <c r="O80" s="834">
        <f>(O81+O83)</f>
        <v>0</v>
      </c>
      <c r="P80" s="835">
        <f>O80/7.142856</f>
        <v>0</v>
      </c>
      <c r="Q80" s="1125"/>
      <c r="R80" s="685"/>
      <c r="S80" s="685"/>
    </row>
    <row r="81" spans="1:19" ht="46.5" x14ac:dyDescent="0.45">
      <c r="A81" s="16"/>
      <c r="B81" s="1760" t="s">
        <v>73</v>
      </c>
      <c r="C81" s="1691">
        <f>M5</f>
        <v>3.5714285714285716</v>
      </c>
      <c r="D81" s="926" t="s">
        <v>267</v>
      </c>
      <c r="E81" s="853">
        <f>$C$81/2</f>
        <v>1.7857142857142858</v>
      </c>
      <c r="F81" s="1054" t="s">
        <v>278</v>
      </c>
      <c r="G81" s="905">
        <f>E81/1</f>
        <v>1.7857142857142858</v>
      </c>
      <c r="H81" s="1409"/>
      <c r="I81" s="1446"/>
      <c r="J81" s="1019">
        <f>IF(I81=H81,(H81-50),H81-I81)</f>
        <v>-50</v>
      </c>
      <c r="K81" s="909">
        <f>IF(I81&gt;=50,0,((50-I81)*(6/10)))</f>
        <v>30</v>
      </c>
      <c r="L81" s="1126">
        <f>I81+K81</f>
        <v>30</v>
      </c>
      <c r="M81" s="1447">
        <f>(IF(H81=0,0,(J81/K81)))</f>
        <v>0</v>
      </c>
      <c r="N81" s="1748">
        <f>(((G81/C81)*M81)+((G82/C81)*M82))</f>
        <v>0</v>
      </c>
      <c r="O81" s="1676">
        <f>IF((((G81/C81)*M81)+((G82/C81)*M82))&gt;=1,3.57148,IF((((G81/C81)*M81)+((G82/C81)*M82))&lt;=0,0, (((G81/C81)*M81)+((G82/C81)*M82))*3.571428))</f>
        <v>0</v>
      </c>
      <c r="P81" s="1678">
        <f>O81/3.571428</f>
        <v>0</v>
      </c>
      <c r="Q81" s="1310" t="s">
        <v>279</v>
      </c>
      <c r="R81" s="1429"/>
      <c r="S81" s="1270" t="s">
        <v>670</v>
      </c>
    </row>
    <row r="82" spans="1:19" ht="39.6" customHeight="1" thickBot="1" x14ac:dyDescent="0.5">
      <c r="A82" s="16"/>
      <c r="B82" s="1761"/>
      <c r="C82" s="1762"/>
      <c r="D82" s="953" t="s">
        <v>268</v>
      </c>
      <c r="E82" s="868">
        <f>$C$81/2</f>
        <v>1.7857142857142858</v>
      </c>
      <c r="F82" s="954" t="s">
        <v>74</v>
      </c>
      <c r="G82" s="919">
        <f>E82/1</f>
        <v>1.7857142857142858</v>
      </c>
      <c r="H82" s="1448"/>
      <c r="I82" s="1348">
        <v>18</v>
      </c>
      <c r="J82" s="1128">
        <f>IF(I82=H82,(H82-30),H82-I82)</f>
        <v>-18</v>
      </c>
      <c r="K82" s="921">
        <f>IF(I82&gt;=30,0,((30-I82)*(6/10)))</f>
        <v>7.1999999999999993</v>
      </c>
      <c r="L82" s="1129">
        <f t="shared" ref="L82" si="29">K82+I82</f>
        <v>25.2</v>
      </c>
      <c r="M82" s="874">
        <f>IF(I82&gt;=30,(1+(H82-30)/30),(H82/L82))</f>
        <v>0</v>
      </c>
      <c r="N82" s="1750"/>
      <c r="O82" s="1677"/>
      <c r="P82" s="1679"/>
      <c r="Q82" s="1315" t="s">
        <v>282</v>
      </c>
      <c r="R82" s="1449"/>
      <c r="S82" s="1324" t="s">
        <v>676</v>
      </c>
    </row>
    <row r="83" spans="1:19" ht="60" customHeight="1" thickBot="1" x14ac:dyDescent="0.5">
      <c r="A83" s="16"/>
      <c r="B83" s="1774" t="s">
        <v>142</v>
      </c>
      <c r="C83" s="1776">
        <f>M5</f>
        <v>3.5714285714285716</v>
      </c>
      <c r="D83" s="1131" t="s">
        <v>145</v>
      </c>
      <c r="E83" s="853">
        <f>$C$81/3</f>
        <v>1.1904761904761905</v>
      </c>
      <c r="F83" s="926" t="s">
        <v>143</v>
      </c>
      <c r="G83" s="905">
        <f>E83/1</f>
        <v>1.1904761904761905</v>
      </c>
      <c r="H83" s="1450"/>
      <c r="I83" s="1451">
        <v>85</v>
      </c>
      <c r="J83" s="1132">
        <f>I83-H83</f>
        <v>85</v>
      </c>
      <c r="K83" s="1008">
        <f>(0.2*I83)*(6/10)</f>
        <v>10.199999999999999</v>
      </c>
      <c r="L83" s="1133">
        <f>I83-K83</f>
        <v>74.8</v>
      </c>
      <c r="M83" s="916" t="str">
        <f>IF(H83=0,"0%",J83/K83)</f>
        <v>0%</v>
      </c>
      <c r="N83" s="1779">
        <f>(((G83/C83)*M83)+((G84/C83)*M84)+((G85/C83)*M85))</f>
        <v>0</v>
      </c>
      <c r="O83" s="1702">
        <f>IF((((G83/C83)*M83)+((G84/C83)*M84)+((G85/C83)*M85))&gt;=1,3.571428,IF((((G83/C83)*M83)+((G84/C83)*M84)+((G85/C83)*M85))&lt;=0,0,(((G83/C83)*M83)+((G84/C83)*M84)+((G85/C83)*M85))*3.571428))</f>
        <v>0</v>
      </c>
      <c r="P83" s="1678">
        <f>O83/3.571428</f>
        <v>0</v>
      </c>
      <c r="Q83" s="1134" t="s">
        <v>184</v>
      </c>
      <c r="R83" s="777" t="s">
        <v>677</v>
      </c>
      <c r="S83" s="1452" t="s">
        <v>676</v>
      </c>
    </row>
    <row r="84" spans="1:19" ht="45" customHeight="1" thickBot="1" x14ac:dyDescent="0.5">
      <c r="A84" s="16"/>
      <c r="B84" s="1774"/>
      <c r="C84" s="1777"/>
      <c r="D84" s="1135" t="s">
        <v>146</v>
      </c>
      <c r="E84" s="934">
        <f t="shared" ref="E84:E85" si="30">$C$81/3</f>
        <v>1.1904761904761905</v>
      </c>
      <c r="F84" s="1058" t="s">
        <v>283</v>
      </c>
      <c r="G84" s="912">
        <f>E84/1</f>
        <v>1.1904761904761905</v>
      </c>
      <c r="H84" s="1453"/>
      <c r="I84" s="1454"/>
      <c r="J84" s="1136">
        <f>I84-H84</f>
        <v>0</v>
      </c>
      <c r="K84" s="1008">
        <f>(0.5*I84)*(6/10)</f>
        <v>0</v>
      </c>
      <c r="L84" s="1137">
        <f>I84-K84</f>
        <v>0</v>
      </c>
      <c r="M84" s="916" t="str">
        <f>IF(H84=0,"0%",J84/K84)</f>
        <v>0%</v>
      </c>
      <c r="N84" s="1780"/>
      <c r="O84" s="1700"/>
      <c r="P84" s="1703"/>
      <c r="Q84" s="1138" t="s">
        <v>185</v>
      </c>
      <c r="R84" s="1455"/>
      <c r="S84" s="1284" t="s">
        <v>670</v>
      </c>
    </row>
    <row r="85" spans="1:19" ht="38.450000000000003" customHeight="1" thickBot="1" x14ac:dyDescent="0.5">
      <c r="A85" s="16"/>
      <c r="B85" s="1775"/>
      <c r="C85" s="1778"/>
      <c r="D85" s="1139" t="s">
        <v>147</v>
      </c>
      <c r="E85" s="868">
        <f t="shared" si="30"/>
        <v>1.1904761904761905</v>
      </c>
      <c r="F85" s="954" t="s">
        <v>144</v>
      </c>
      <c r="G85" s="919">
        <f>E85/1</f>
        <v>1.1904761904761905</v>
      </c>
      <c r="H85" s="1424"/>
      <c r="I85" s="1456"/>
      <c r="J85" s="1140">
        <f>H85-I85</f>
        <v>0</v>
      </c>
      <c r="K85" s="1141">
        <f>(100-I85)*(6/10)</f>
        <v>60</v>
      </c>
      <c r="L85" s="1142">
        <f>I85+K85</f>
        <v>60</v>
      </c>
      <c r="M85" s="898">
        <f>IF(H85&gt;=100,167%, IF(K85&lt;&gt;0,J85/K85,"0%"))</f>
        <v>0</v>
      </c>
      <c r="N85" s="1781"/>
      <c r="O85" s="1701"/>
      <c r="P85" s="1679"/>
      <c r="Q85" s="1143" t="s">
        <v>284</v>
      </c>
      <c r="R85" s="1457"/>
      <c r="S85" s="1284" t="s">
        <v>670</v>
      </c>
    </row>
    <row r="86" spans="1:19" ht="20.45" customHeight="1" thickBot="1" x14ac:dyDescent="0.5">
      <c r="B86" s="1766" t="s">
        <v>75</v>
      </c>
      <c r="C86" s="1767"/>
      <c r="D86" s="1767"/>
      <c r="E86" s="1767"/>
      <c r="F86" s="1768"/>
      <c r="G86" s="1094"/>
      <c r="H86" s="1375"/>
      <c r="I86" s="1376"/>
      <c r="J86" s="1144"/>
      <c r="K86" s="1145"/>
      <c r="L86" s="1145"/>
      <c r="M86" s="948"/>
      <c r="N86" s="833">
        <f>N87</f>
        <v>0.3571428571428571</v>
      </c>
      <c r="O86" s="834">
        <f>O87</f>
        <v>1.2755099999999999</v>
      </c>
      <c r="P86" s="835">
        <f>O86/3.571428</f>
        <v>0.3571428571428571</v>
      </c>
      <c r="Q86" s="1016"/>
      <c r="R86" s="685"/>
      <c r="S86" s="685"/>
    </row>
    <row r="87" spans="1:19" ht="27.6" customHeight="1" x14ac:dyDescent="0.45">
      <c r="A87" s="1710">
        <v>24</v>
      </c>
      <c r="B87" s="1769" t="s">
        <v>76</v>
      </c>
      <c r="C87" s="1771">
        <f>M5</f>
        <v>3.5714285714285716</v>
      </c>
      <c r="D87" s="1004" t="s">
        <v>159</v>
      </c>
      <c r="E87" s="1005">
        <f>($C$87/3)</f>
        <v>1.1904761904761905</v>
      </c>
      <c r="F87" s="1146" t="s">
        <v>285</v>
      </c>
      <c r="G87" s="1147">
        <f>E87/1</f>
        <v>1.1904761904761905</v>
      </c>
      <c r="H87" s="1458">
        <v>47</v>
      </c>
      <c r="I87" s="1459">
        <v>56</v>
      </c>
      <c r="J87" s="1150">
        <f>I87-H87</f>
        <v>9</v>
      </c>
      <c r="K87" s="1151">
        <f>(0.25*I87)*(6/10)</f>
        <v>8.4</v>
      </c>
      <c r="L87" s="1152">
        <f>I87-K87</f>
        <v>47.6</v>
      </c>
      <c r="M87" s="859">
        <f>IF(K87&lt;&gt;0,J87/K87,"0%")</f>
        <v>1.0714285714285714</v>
      </c>
      <c r="N87" s="1716">
        <f>(((G87/C87)*M87)+((G88/C87)*M88)+((G89/C87)*M89)+((G90/C87)*M90)+((G91/C87)*M91))</f>
        <v>0.3571428571428571</v>
      </c>
      <c r="O87" s="1702">
        <f>IF((((G87/C87)*M87)+((G88/C87)*M88)+((G89/C87)*M89)+((G90/C87)*M90)+((G91/C87)*M91))&gt;=1,3.571428,IF((((G87/C87)*M87)+((G88/C87)*M88)+((G89/C87)*M89)+((G90/C87)*M90)+((G91/C87)*M91))&lt;=0,0,((((G87/C87)*M87)+((G88/C87)*M88)+((G89/C87)*M89)+((G90/C87)*M90)+((G91/C87)*M91))*3.571428)))</f>
        <v>1.2755099999999999</v>
      </c>
      <c r="P87" s="1678">
        <f>O87/3.571428</f>
        <v>0.3571428571428571</v>
      </c>
      <c r="Q87" s="1460" t="s">
        <v>186</v>
      </c>
      <c r="R87" s="219" t="s">
        <v>649</v>
      </c>
    </row>
    <row r="88" spans="1:19" ht="25.8" customHeight="1" x14ac:dyDescent="0.45">
      <c r="A88" s="1710"/>
      <c r="B88" s="1769"/>
      <c r="C88" s="1772"/>
      <c r="D88" s="1782" t="s">
        <v>160</v>
      </c>
      <c r="E88" s="1783">
        <f>C87/3</f>
        <v>1.1904761904761905</v>
      </c>
      <c r="F88" s="935" t="s">
        <v>77</v>
      </c>
      <c r="G88" s="1154">
        <f>$E$88/3</f>
        <v>0.3968253968253968</v>
      </c>
      <c r="H88" s="1413"/>
      <c r="I88" s="1435"/>
      <c r="J88" s="1155">
        <f>I88-H88</f>
        <v>0</v>
      </c>
      <c r="K88" s="1156">
        <f>I88*(6/10)</f>
        <v>0</v>
      </c>
      <c r="L88" s="1157">
        <f>I88-K88</f>
        <v>0</v>
      </c>
      <c r="M88" s="916" t="str">
        <f>IF(K88&lt;&gt;0,J88/K88,"0%")</f>
        <v>0%</v>
      </c>
      <c r="N88" s="1697"/>
      <c r="O88" s="1700"/>
      <c r="P88" s="1703"/>
      <c r="Q88" s="1461" t="s">
        <v>187</v>
      </c>
      <c r="R88" s="1462"/>
      <c r="S88" s="1312" t="s">
        <v>670</v>
      </c>
    </row>
    <row r="89" spans="1:19" ht="59.65" customHeight="1" x14ac:dyDescent="0.45">
      <c r="A89" s="1710"/>
      <c r="B89" s="1769"/>
      <c r="C89" s="1772"/>
      <c r="D89" s="1782"/>
      <c r="E89" s="1783"/>
      <c r="F89" s="935" t="s">
        <v>78</v>
      </c>
      <c r="G89" s="1154">
        <f>$E$88/3</f>
        <v>0.3968253968253968</v>
      </c>
      <c r="H89" s="1434"/>
      <c r="I89" s="1463"/>
      <c r="J89" s="1155">
        <f>I89-H89</f>
        <v>0</v>
      </c>
      <c r="K89" s="1156">
        <f>I89*(6/10)</f>
        <v>0</v>
      </c>
      <c r="L89" s="1157">
        <f>I89-K89</f>
        <v>0</v>
      </c>
      <c r="M89" s="916" t="str">
        <f>IF(K89&lt;&gt;0,J89/K89,"0%")</f>
        <v>0%</v>
      </c>
      <c r="N89" s="1697"/>
      <c r="O89" s="1700"/>
      <c r="P89" s="1703"/>
      <c r="Q89" s="1461" t="s">
        <v>188</v>
      </c>
      <c r="R89" s="1462"/>
      <c r="S89" s="1312" t="s">
        <v>670</v>
      </c>
    </row>
    <row r="90" spans="1:19" ht="26.45" customHeight="1" x14ac:dyDescent="0.45">
      <c r="A90" s="1710"/>
      <c r="B90" s="1769"/>
      <c r="C90" s="1772"/>
      <c r="D90" s="1782"/>
      <c r="E90" s="1783"/>
      <c r="F90" s="935" t="s">
        <v>79</v>
      </c>
      <c r="G90" s="1154">
        <f>$E$88/3</f>
        <v>0.3968253968253968</v>
      </c>
      <c r="H90" s="1464"/>
      <c r="I90" s="1465"/>
      <c r="J90" s="1155">
        <f>I90-H90</f>
        <v>0</v>
      </c>
      <c r="K90" s="1159">
        <f>(I90)*(6/10)</f>
        <v>0</v>
      </c>
      <c r="L90" s="1160">
        <f>I90-K90</f>
        <v>0</v>
      </c>
      <c r="M90" s="1116">
        <f>(IF(H90=0,0,(J90/K90)))</f>
        <v>0</v>
      </c>
      <c r="N90" s="1697"/>
      <c r="O90" s="1700"/>
      <c r="P90" s="1703"/>
      <c r="Q90" s="1466" t="s">
        <v>189</v>
      </c>
      <c r="R90" s="1462"/>
      <c r="S90" s="1312" t="s">
        <v>670</v>
      </c>
    </row>
    <row r="91" spans="1:19" ht="40.799999999999997" customHeight="1" thickBot="1" x14ac:dyDescent="0.5">
      <c r="A91" s="1710"/>
      <c r="B91" s="1770"/>
      <c r="C91" s="1773"/>
      <c r="D91" s="918" t="s">
        <v>161</v>
      </c>
      <c r="E91" s="868">
        <f>$C$87/3</f>
        <v>1.1904761904761905</v>
      </c>
      <c r="F91" s="1162" t="s">
        <v>80</v>
      </c>
      <c r="G91" s="1163">
        <f>E91/1</f>
        <v>1.1904761904761905</v>
      </c>
      <c r="H91" s="1424"/>
      <c r="I91" s="1420"/>
      <c r="J91" s="1164">
        <f>H91-I91</f>
        <v>0</v>
      </c>
      <c r="K91" s="1141">
        <f>(100-I91)*(6/10)</f>
        <v>60</v>
      </c>
      <c r="L91" s="1165">
        <f>I91+K91</f>
        <v>60</v>
      </c>
      <c r="M91" s="874">
        <f>IF(I91&gt;=60,(1+(H91-60)/60),(H91/L91))</f>
        <v>0</v>
      </c>
      <c r="N91" s="1698"/>
      <c r="O91" s="1701"/>
      <c r="P91" s="1679"/>
      <c r="Q91" s="1467" t="s">
        <v>95</v>
      </c>
      <c r="R91" s="1468"/>
      <c r="S91" s="1324" t="s">
        <v>670</v>
      </c>
    </row>
    <row r="92" spans="1:19" ht="14.65" thickBot="1" x14ac:dyDescent="0.5">
      <c r="B92" s="1535" t="s">
        <v>81</v>
      </c>
      <c r="C92" s="1536"/>
      <c r="D92" s="1536"/>
      <c r="E92" s="1536"/>
      <c r="F92" s="1537"/>
      <c r="G92" s="11"/>
      <c r="H92" s="1469"/>
      <c r="I92" s="1470"/>
      <c r="J92" s="175"/>
      <c r="K92" s="11"/>
      <c r="L92" s="11"/>
      <c r="M92" s="173"/>
      <c r="N92" s="833">
        <f>(N93+N97)/2</f>
        <v>0</v>
      </c>
      <c r="O92" s="834">
        <f>(O93+O97)</f>
        <v>0</v>
      </c>
      <c r="P92" s="835">
        <f>O92/14.285712</f>
        <v>0</v>
      </c>
      <c r="Q92" s="1029"/>
      <c r="R92" s="692"/>
      <c r="S92" s="692"/>
    </row>
    <row r="93" spans="1:19" ht="20.45" customHeight="1" thickBot="1" x14ac:dyDescent="0.5">
      <c r="B93" s="1684" t="s">
        <v>82</v>
      </c>
      <c r="C93" s="1685"/>
      <c r="D93" s="1685"/>
      <c r="E93" s="1685"/>
      <c r="F93" s="1686"/>
      <c r="G93" s="923"/>
      <c r="H93" s="1379"/>
      <c r="I93" s="1380"/>
      <c r="J93" s="947"/>
      <c r="K93" s="947"/>
      <c r="L93" s="947"/>
      <c r="M93" s="948"/>
      <c r="N93" s="833">
        <f>N94</f>
        <v>0</v>
      </c>
      <c r="O93" s="834">
        <f>O94</f>
        <v>0</v>
      </c>
      <c r="P93" s="835">
        <f>O93/3.571428</f>
        <v>0</v>
      </c>
      <c r="Q93" s="1017"/>
      <c r="R93" s="685"/>
      <c r="S93" s="696"/>
    </row>
    <row r="94" spans="1:19" ht="34.799999999999997" customHeight="1" thickBot="1" x14ac:dyDescent="0.5">
      <c r="A94" s="1669">
        <v>25</v>
      </c>
      <c r="B94" s="1687" t="s">
        <v>83</v>
      </c>
      <c r="C94" s="1784">
        <f>M5</f>
        <v>3.5714285714285716</v>
      </c>
      <c r="D94" s="1727" t="s">
        <v>214</v>
      </c>
      <c r="E94" s="1018">
        <f>$C$94/3</f>
        <v>1.1904761904761905</v>
      </c>
      <c r="F94" s="926" t="s">
        <v>269</v>
      </c>
      <c r="G94" s="1167">
        <f>E94/1</f>
        <v>1.1904761904761905</v>
      </c>
      <c r="H94" s="1409"/>
      <c r="I94" s="1471"/>
      <c r="J94" s="1168">
        <f>H94-I94</f>
        <v>0</v>
      </c>
      <c r="K94" s="1169">
        <f>(100-I94)*(6/10)</f>
        <v>60</v>
      </c>
      <c r="L94" s="1170">
        <f>I94+K94</f>
        <v>60</v>
      </c>
      <c r="M94" s="859">
        <f>IF(K94&lt;&gt;0,J94/K94,"100%")</f>
        <v>0</v>
      </c>
      <c r="N94" s="1748">
        <f>(((G94/C94)*M94)+((G95/C94)*M95)+((G96/C94)*M96))</f>
        <v>0</v>
      </c>
      <c r="O94" s="1702">
        <f>IF((((G94/C94)*M94)+((G95/C94)*M95)+((G96/C94)*M96))&gt;=1,3.571428,IF((((G94/C94)*M94)+((G95/C94)*M95)+((G96/C94)*M96))&lt;=0,0,(((G94/C94)*M94)+((G95/C94)*M95)+((G96/C94)*M96))*3.571428))</f>
        <v>0</v>
      </c>
      <c r="P94" s="1678">
        <f>O94/3.571428</f>
        <v>0</v>
      </c>
      <c r="Q94" s="1171" t="s">
        <v>190</v>
      </c>
      <c r="R94" s="194"/>
      <c r="S94" s="1324" t="s">
        <v>670</v>
      </c>
    </row>
    <row r="95" spans="1:19" ht="39.6" customHeight="1" thickBot="1" x14ac:dyDescent="0.5">
      <c r="A95" s="1669"/>
      <c r="B95" s="1688"/>
      <c r="C95" s="1785"/>
      <c r="D95" s="1721"/>
      <c r="E95" s="1172">
        <f t="shared" ref="E95:E96" si="31">$C$94/3</f>
        <v>1.1904761904761905</v>
      </c>
      <c r="F95" s="1058" t="s">
        <v>270</v>
      </c>
      <c r="G95" s="1154">
        <f>E95/1</f>
        <v>1.1904761904761905</v>
      </c>
      <c r="H95" s="1436"/>
      <c r="I95" s="1472"/>
      <c r="J95" s="1155">
        <f>IF(AND(I95&gt;1,(H95-I95=0)),(H95-1),(H95-I95))</f>
        <v>0</v>
      </c>
      <c r="K95" s="997">
        <f>IF(AND(I95&gt;=1,H95&gt;=1),"0",((1-I95)*(6/10)))</f>
        <v>0.6</v>
      </c>
      <c r="L95" s="1173">
        <f t="shared" ref="L95:L96" si="32">I95+K95</f>
        <v>0.6</v>
      </c>
      <c r="M95" s="916">
        <f>IF(I95&gt;=1,(1+(H95-1)/1),(J95/K95))</f>
        <v>0</v>
      </c>
      <c r="N95" s="1749"/>
      <c r="O95" s="1700"/>
      <c r="P95" s="1703"/>
      <c r="Q95" s="1174" t="s">
        <v>191</v>
      </c>
      <c r="R95" s="229"/>
      <c r="S95" s="1324" t="s">
        <v>670</v>
      </c>
    </row>
    <row r="96" spans="1:19" ht="41.45" customHeight="1" thickBot="1" x14ac:dyDescent="0.5">
      <c r="A96" s="1669"/>
      <c r="B96" s="1739"/>
      <c r="C96" s="1786"/>
      <c r="D96" s="1728"/>
      <c r="E96" s="1021">
        <f t="shared" si="31"/>
        <v>1.1904761904761905</v>
      </c>
      <c r="F96" s="953" t="s">
        <v>84</v>
      </c>
      <c r="G96" s="1163">
        <f>E96/1</f>
        <v>1.1904761904761905</v>
      </c>
      <c r="H96" s="1347">
        <v>0</v>
      </c>
      <c r="I96" s="1473"/>
      <c r="J96" s="1164">
        <f>H96-I96</f>
        <v>0</v>
      </c>
      <c r="K96" s="1141">
        <f>(100-I96)*(6/10)</f>
        <v>60</v>
      </c>
      <c r="L96" s="1165">
        <f t="shared" si="32"/>
        <v>60</v>
      </c>
      <c r="M96" s="874">
        <f>IF(K96&lt;&gt;0,J96/K96,"100%")</f>
        <v>0</v>
      </c>
      <c r="N96" s="1750"/>
      <c r="O96" s="1701"/>
      <c r="P96" s="1679"/>
      <c r="Q96" s="1175" t="s">
        <v>95</v>
      </c>
      <c r="R96" s="226"/>
      <c r="S96" s="1291" t="s">
        <v>678</v>
      </c>
    </row>
    <row r="97" spans="1:19" ht="18" customHeight="1" thickBot="1" x14ac:dyDescent="0.5">
      <c r="B97" s="1787" t="s">
        <v>85</v>
      </c>
      <c r="C97" s="1788"/>
      <c r="D97" s="1788"/>
      <c r="E97" s="1788"/>
      <c r="F97" s="1789"/>
      <c r="G97" s="1176"/>
      <c r="H97" s="1474"/>
      <c r="I97" s="1475"/>
      <c r="J97" s="1176"/>
      <c r="K97" s="1177"/>
      <c r="L97" s="1177"/>
      <c r="M97" s="1178"/>
      <c r="N97" s="1179">
        <f>(N98+N99+N100)/3</f>
        <v>0</v>
      </c>
      <c r="O97" s="1180">
        <f>(O98+O99+O100)</f>
        <v>0</v>
      </c>
      <c r="P97" s="835">
        <f>O97/10.714284</f>
        <v>0</v>
      </c>
      <c r="Q97" s="1181"/>
      <c r="R97" s="737"/>
      <c r="S97" s="737"/>
    </row>
    <row r="98" spans="1:19" ht="29.45" customHeight="1" thickBot="1" x14ac:dyDescent="0.5">
      <c r="A98" s="16">
        <v>26</v>
      </c>
      <c r="B98" s="961" t="s">
        <v>86</v>
      </c>
      <c r="C98" s="962">
        <f>$M$5</f>
        <v>3.5714285714285716</v>
      </c>
      <c r="D98" s="961" t="s">
        <v>215</v>
      </c>
      <c r="E98" s="962">
        <f>C98/1</f>
        <v>3.5714285714285716</v>
      </c>
      <c r="F98" s="1095" t="s">
        <v>291</v>
      </c>
      <c r="G98" s="962">
        <f>E98/1</f>
        <v>3.5714285714285716</v>
      </c>
      <c r="H98" s="1476">
        <v>0</v>
      </c>
      <c r="I98" s="1477"/>
      <c r="J98" s="1182">
        <f>IF(I98=H98,(H98-10),H98-I98)</f>
        <v>-10</v>
      </c>
      <c r="K98" s="982">
        <f>IF(I98&gt;=10,0,((10-I98)*(6/10)))</f>
        <v>6</v>
      </c>
      <c r="L98" s="1090">
        <f>I98+K98</f>
        <v>6</v>
      </c>
      <c r="M98" s="1116">
        <f>(IF(H98=0,0,(J98/K98)))</f>
        <v>0</v>
      </c>
      <c r="N98" s="1091">
        <f>((G98/C98)*M98)</f>
        <v>0</v>
      </c>
      <c r="O98" s="970">
        <f>IF(((G98/C98)*M98)&gt;=1,3.571428,IF(((G98/C98)*M98)&lt;=0,0,((G98/C98)*M98)*3.571428))</f>
        <v>0</v>
      </c>
      <c r="P98" s="835">
        <f>O98/3.571428</f>
        <v>0</v>
      </c>
      <c r="Q98" s="1478" t="s">
        <v>95</v>
      </c>
      <c r="R98" s="1479"/>
      <c r="S98" s="1284" t="s">
        <v>678</v>
      </c>
    </row>
    <row r="99" spans="1:19" ht="35.25" thickBot="1" x14ac:dyDescent="0.5">
      <c r="A99" s="16">
        <v>27</v>
      </c>
      <c r="B99" s="961" t="s">
        <v>87</v>
      </c>
      <c r="C99" s="962">
        <f>$M$5</f>
        <v>3.5714285714285716</v>
      </c>
      <c r="D99" s="961" t="s">
        <v>216</v>
      </c>
      <c r="E99" s="962">
        <f>C99/1</f>
        <v>3.5714285714285716</v>
      </c>
      <c r="F99" s="1095" t="s">
        <v>271</v>
      </c>
      <c r="G99" s="962">
        <f>E99/1</f>
        <v>3.5714285714285716</v>
      </c>
      <c r="H99" s="1480"/>
      <c r="I99" s="1481"/>
      <c r="J99" s="1182">
        <f>IF(I99=H99,(H99-75),H99-I99)</f>
        <v>-75</v>
      </c>
      <c r="K99" s="982">
        <f>IF(I99&gt;=75,0,((75-I99)*(6/10)))</f>
        <v>45</v>
      </c>
      <c r="L99" s="1115">
        <f>I99+K99</f>
        <v>45</v>
      </c>
      <c r="M99" s="1116">
        <f>(IF(H99=0,0,(J99/K99)))</f>
        <v>0</v>
      </c>
      <c r="N99" s="1091">
        <f>((G99/C99)*M99)</f>
        <v>0</v>
      </c>
      <c r="O99" s="970">
        <f>IF(((G99/C99)*M99)&gt;=1,3.571428,IF(((G99/C99)*M99)&lt;=0,0,((G99/C99)*M99)*3.571428))</f>
        <v>0</v>
      </c>
      <c r="P99" s="835">
        <f>O99/3.571428</f>
        <v>0</v>
      </c>
      <c r="Q99" s="1478" t="s">
        <v>192</v>
      </c>
      <c r="R99" s="1482" t="s">
        <v>607</v>
      </c>
      <c r="S99" s="1291" t="s">
        <v>670</v>
      </c>
    </row>
    <row r="100" spans="1:19" ht="30.4" x14ac:dyDescent="0.45">
      <c r="A100" s="1669">
        <v>28</v>
      </c>
      <c r="B100" s="1790" t="s">
        <v>88</v>
      </c>
      <c r="C100" s="1792">
        <f>M5</f>
        <v>3.5714285714285716</v>
      </c>
      <c r="D100" s="1790" t="s">
        <v>217</v>
      </c>
      <c r="E100" s="1792">
        <f>C100/1</f>
        <v>3.5714285714285716</v>
      </c>
      <c r="F100" s="1054" t="s">
        <v>89</v>
      </c>
      <c r="G100" s="853">
        <f>$E$100/2</f>
        <v>1.7857142857142858</v>
      </c>
      <c r="H100" s="1409"/>
      <c r="I100" s="1483"/>
      <c r="J100" s="1185">
        <f>IF(I100=H100,(25-H100),I100-H100)</f>
        <v>25</v>
      </c>
      <c r="K100" s="1035">
        <f>IF(I100&lt;=25,0,((0.25*I100)*(6/10)))</f>
        <v>0</v>
      </c>
      <c r="L100" s="1186">
        <f>I100-K100</f>
        <v>0</v>
      </c>
      <c r="M100" s="1116">
        <f>(IF(H100=0,0,(J100/K100)))</f>
        <v>0</v>
      </c>
      <c r="N100" s="1795">
        <f>((G100/$C$100)*M100)+((G101/$C$100)*M101)</f>
        <v>0</v>
      </c>
      <c r="O100" s="1676">
        <f>IF((((G100/C100)*M100)+((G101/C100)*M101))&gt;=1,3.57148,IF((((G100/C100)*M100)+((G101/C100)*M101))&lt;=0,0, (((G100/C100)*M100)+((G101/C100)*M101))*3.571428))</f>
        <v>0</v>
      </c>
      <c r="P100" s="1678">
        <f>O100/3.571428</f>
        <v>0</v>
      </c>
      <c r="Q100" s="1484" t="s">
        <v>193</v>
      </c>
      <c r="R100" s="1485"/>
      <c r="S100" s="1291" t="s">
        <v>670</v>
      </c>
    </row>
    <row r="101" spans="1:19" ht="38.450000000000003" customHeight="1" thickBot="1" x14ac:dyDescent="0.5">
      <c r="A101" s="1669"/>
      <c r="B101" s="1791"/>
      <c r="C101" s="1793"/>
      <c r="D101" s="1791"/>
      <c r="E101" s="1794"/>
      <c r="F101" s="953" t="s">
        <v>90</v>
      </c>
      <c r="G101" s="868">
        <f>$E$100/2</f>
        <v>1.7857142857142858</v>
      </c>
      <c r="H101" s="1448"/>
      <c r="I101" s="1425"/>
      <c r="J101" s="1188">
        <f>IF(I101=H101,(H101-25),H101-I101)</f>
        <v>-25</v>
      </c>
      <c r="K101" s="921">
        <f>IF(I101&gt;=25,0,((25-I101)*(6/10)))</f>
        <v>15</v>
      </c>
      <c r="L101" s="1189">
        <f t="shared" ref="L101" si="33">K101+I101</f>
        <v>15</v>
      </c>
      <c r="M101" s="1116">
        <f>(IF(H101=0,0,(J101/K101)))</f>
        <v>0</v>
      </c>
      <c r="N101" s="1796"/>
      <c r="O101" s="1677"/>
      <c r="P101" s="1679"/>
      <c r="Q101" s="1486" t="s">
        <v>95</v>
      </c>
      <c r="R101" s="1485"/>
      <c r="S101" s="230" t="s">
        <v>670</v>
      </c>
    </row>
    <row r="102" spans="1:19" ht="34.25" customHeight="1" thickBot="1" x14ac:dyDescent="0.5">
      <c r="B102" s="1191" t="s">
        <v>194</v>
      </c>
      <c r="C102" s="1192">
        <f>C11+C13+C15+C19+C24+C33+C34+C35+C36+C38+C41+C44+C48+C51+C53+C61+C68+C71+C73+C75+C78+C81+C83+C87+C94+C98+C99+C100</f>
        <v>99.999999999999972</v>
      </c>
      <c r="D102" s="1193"/>
      <c r="E102" s="1192">
        <f>E11+E12+E13+E14+E15+E19+E20+E21+E22+E24+E25+E28+E31+E33+E34+E35+E36+E38+E39+E41+E42+E44+E45+E48+E49++E51+E53+E54+E55+E56+E57+E61+E62+E63+E64+E68+E71+E73+E75+E78+E81++E82+E83+E84+E85+E87+E88+E91+E94+E95+E96+E98+E99+E100</f>
        <v>100.00714285714285</v>
      </c>
      <c r="F102" s="1194"/>
      <c r="G102" s="1192">
        <f>G11+G12+G13+G14+G15+G16+G17+G19+G20+G21+G22+G24+G25+G26+G27+G28+G29+G30+G31+G33+G34+G35+G36+G38+G39+G41+G42+G44+G45+G48+G49+G51+G53+G54+G55+G56+G57+G58+G61+G62+G63+G64+G65+G66+G68+G71+G73+G75+G78+G81+G82+G83+G84+G85+G87+G88+G89+G90+G91+G94+G95+G96+G98+G99+G100+G101</f>
        <v>100.00714285714285</v>
      </c>
      <c r="H102" s="1195"/>
      <c r="I102" s="1196"/>
      <c r="J102" s="1195"/>
      <c r="K102" s="1197"/>
      <c r="L102" s="1194"/>
      <c r="M102" s="1198"/>
      <c r="N102" s="1199"/>
      <c r="O102" s="1200"/>
      <c r="P102" s="1200"/>
      <c r="Q102" s="1201"/>
      <c r="R102" s="1487"/>
      <c r="S102" s="1488"/>
    </row>
    <row r="104" spans="1:19" ht="15.75" x14ac:dyDescent="0.5">
      <c r="B104" s="19"/>
    </row>
    <row r="107" spans="1:19" ht="15.75" x14ac:dyDescent="0.5">
      <c r="B107" s="19"/>
    </row>
    <row r="108" spans="1:19" x14ac:dyDescent="0.45">
      <c r="B108" s="20"/>
    </row>
    <row r="109" spans="1:19" x14ac:dyDescent="0.45">
      <c r="B109" s="20"/>
    </row>
    <row r="111" spans="1:19" x14ac:dyDescent="0.45">
      <c r="E111"/>
      <c r="F111" s="1202" t="s">
        <v>196</v>
      </c>
    </row>
    <row r="112" spans="1:19" x14ac:dyDescent="0.45">
      <c r="E112" s="1203">
        <v>1</v>
      </c>
      <c r="F112" s="1203" t="s">
        <v>197</v>
      </c>
    </row>
    <row r="113" spans="5:6" x14ac:dyDescent="0.45">
      <c r="E113" s="1203">
        <v>2</v>
      </c>
      <c r="F113" s="1203" t="s">
        <v>227</v>
      </c>
    </row>
    <row r="114" spans="5:6" x14ac:dyDescent="0.45">
      <c r="E114" s="1203">
        <v>3</v>
      </c>
      <c r="F114" s="1203" t="s">
        <v>228</v>
      </c>
    </row>
    <row r="115" spans="5:6" x14ac:dyDescent="0.45">
      <c r="E115" s="1203">
        <v>4</v>
      </c>
      <c r="F115" s="1203" t="s">
        <v>229</v>
      </c>
    </row>
    <row r="116" spans="5:6" x14ac:dyDescent="0.45">
      <c r="E116" s="1203">
        <v>5</v>
      </c>
      <c r="F116" s="1203" t="s">
        <v>198</v>
      </c>
    </row>
    <row r="117" spans="5:6" x14ac:dyDescent="0.45">
      <c r="E117" s="1203">
        <v>6</v>
      </c>
      <c r="F117" s="1203" t="s">
        <v>230</v>
      </c>
    </row>
    <row r="118" spans="5:6" x14ac:dyDescent="0.45">
      <c r="E118" s="1203">
        <v>7</v>
      </c>
      <c r="F118" s="1203" t="s">
        <v>231</v>
      </c>
    </row>
    <row r="119" spans="5:6" x14ac:dyDescent="0.45">
      <c r="E119" s="1203">
        <v>8</v>
      </c>
      <c r="F119" s="1203" t="s">
        <v>199</v>
      </c>
    </row>
    <row r="120" spans="5:6" x14ac:dyDescent="0.45">
      <c r="E120" s="1203">
        <v>9</v>
      </c>
      <c r="F120" s="1203" t="s">
        <v>200</v>
      </c>
    </row>
    <row r="121" spans="5:6" x14ac:dyDescent="0.45">
      <c r="E121" s="1203">
        <v>10</v>
      </c>
      <c r="F121" s="1203" t="s">
        <v>201</v>
      </c>
    </row>
    <row r="122" spans="5:6" x14ac:dyDescent="0.45">
      <c r="E122" s="1203">
        <v>11</v>
      </c>
      <c r="F122" s="1203" t="s">
        <v>232</v>
      </c>
    </row>
    <row r="123" spans="5:6" x14ac:dyDescent="0.45">
      <c r="E123" s="1203">
        <v>12</v>
      </c>
      <c r="F123" s="1203" t="s">
        <v>202</v>
      </c>
    </row>
    <row r="124" spans="5:6" x14ac:dyDescent="0.45">
      <c r="E124" s="1203">
        <f t="shared" ref="E124:E145" si="34">E123+1</f>
        <v>13</v>
      </c>
      <c r="F124" s="1203" t="s">
        <v>203</v>
      </c>
    </row>
    <row r="125" spans="5:6" x14ac:dyDescent="0.45">
      <c r="E125" s="1203">
        <v>14</v>
      </c>
      <c r="F125" s="1203" t="s">
        <v>233</v>
      </c>
    </row>
    <row r="126" spans="5:6" x14ac:dyDescent="0.45">
      <c r="E126" s="1203">
        <v>15</v>
      </c>
      <c r="F126" s="1203" t="s">
        <v>234</v>
      </c>
    </row>
    <row r="127" spans="5:6" x14ac:dyDescent="0.45">
      <c r="E127" s="1203">
        <v>16</v>
      </c>
      <c r="F127" s="1203" t="s">
        <v>213</v>
      </c>
    </row>
    <row r="128" spans="5:6" x14ac:dyDescent="0.45">
      <c r="E128" s="1203">
        <v>17</v>
      </c>
      <c r="F128" s="1203" t="s">
        <v>235</v>
      </c>
    </row>
    <row r="129" spans="5:6" x14ac:dyDescent="0.45">
      <c r="E129" s="1203">
        <v>18</v>
      </c>
      <c r="F129" s="1203" t="s">
        <v>263</v>
      </c>
    </row>
    <row r="130" spans="5:6" x14ac:dyDescent="0.45">
      <c r="E130" s="1203">
        <v>19</v>
      </c>
      <c r="F130" s="1203" t="s">
        <v>204</v>
      </c>
    </row>
    <row r="131" spans="5:6" x14ac:dyDescent="0.45">
      <c r="E131" s="1203">
        <v>20</v>
      </c>
      <c r="F131" s="1203" t="s">
        <v>236</v>
      </c>
    </row>
    <row r="132" spans="5:6" x14ac:dyDescent="0.45">
      <c r="E132" s="1203">
        <v>21</v>
      </c>
      <c r="F132" s="1203" t="s">
        <v>237</v>
      </c>
    </row>
    <row r="133" spans="5:6" x14ac:dyDescent="0.45">
      <c r="E133" s="1203">
        <v>22</v>
      </c>
      <c r="F133" s="1203" t="s">
        <v>238</v>
      </c>
    </row>
    <row r="134" spans="5:6" x14ac:dyDescent="0.45">
      <c r="E134" s="1203">
        <v>23</v>
      </c>
      <c r="F134" s="1203" t="s">
        <v>205</v>
      </c>
    </row>
    <row r="135" spans="5:6" x14ac:dyDescent="0.45">
      <c r="E135" s="1203">
        <v>24</v>
      </c>
      <c r="F135" s="1203" t="s">
        <v>239</v>
      </c>
    </row>
    <row r="136" spans="5:6" x14ac:dyDescent="0.45">
      <c r="E136" s="1203">
        <v>25</v>
      </c>
      <c r="F136" s="1203" t="s">
        <v>240</v>
      </c>
    </row>
    <row r="137" spans="5:6" x14ac:dyDescent="0.45">
      <c r="E137" s="1203">
        <v>26</v>
      </c>
      <c r="F137" s="1203" t="s">
        <v>241</v>
      </c>
    </row>
    <row r="138" spans="5:6" x14ac:dyDescent="0.45">
      <c r="E138" s="1203">
        <v>27</v>
      </c>
      <c r="F138" s="1203" t="s">
        <v>206</v>
      </c>
    </row>
    <row r="139" spans="5:6" x14ac:dyDescent="0.45">
      <c r="E139" s="1203">
        <v>28</v>
      </c>
      <c r="F139" s="1203" t="s">
        <v>242</v>
      </c>
    </row>
    <row r="140" spans="5:6" x14ac:dyDescent="0.45">
      <c r="E140" s="1203">
        <v>29</v>
      </c>
      <c r="F140" s="1203" t="s">
        <v>243</v>
      </c>
    </row>
    <row r="141" spans="5:6" x14ac:dyDescent="0.45">
      <c r="E141" s="1203">
        <v>30</v>
      </c>
      <c r="F141" s="1203" t="s">
        <v>244</v>
      </c>
    </row>
    <row r="142" spans="5:6" x14ac:dyDescent="0.45">
      <c r="E142" s="1203">
        <v>31</v>
      </c>
      <c r="F142" s="1203" t="s">
        <v>245</v>
      </c>
    </row>
    <row r="143" spans="5:6" x14ac:dyDescent="0.45">
      <c r="E143" s="1203">
        <v>32</v>
      </c>
      <c r="F143" s="1203" t="s">
        <v>246</v>
      </c>
    </row>
    <row r="144" spans="5:6" x14ac:dyDescent="0.45">
      <c r="E144" s="1203">
        <v>33</v>
      </c>
      <c r="F144" s="1203" t="s">
        <v>207</v>
      </c>
    </row>
    <row r="145" spans="5:6" x14ac:dyDescent="0.45">
      <c r="E145" s="1203">
        <f t="shared" si="34"/>
        <v>34</v>
      </c>
      <c r="F145" s="1203" t="s">
        <v>208</v>
      </c>
    </row>
    <row r="146" spans="5:6" x14ac:dyDescent="0.45">
      <c r="E146" s="1203">
        <v>35</v>
      </c>
      <c r="F146" s="1203" t="s">
        <v>247</v>
      </c>
    </row>
    <row r="147" spans="5:6" x14ac:dyDescent="0.45">
      <c r="E147" s="1203">
        <v>36</v>
      </c>
      <c r="F147" s="1203" t="s">
        <v>248</v>
      </c>
    </row>
    <row r="148" spans="5:6" x14ac:dyDescent="0.45">
      <c r="E148" s="1203">
        <v>36</v>
      </c>
      <c r="F148" s="1203" t="s">
        <v>249</v>
      </c>
    </row>
    <row r="149" spans="5:6" x14ac:dyDescent="0.45">
      <c r="E149" s="1203">
        <v>38</v>
      </c>
      <c r="F149" s="1203" t="s">
        <v>250</v>
      </c>
    </row>
    <row r="150" spans="5:6" x14ac:dyDescent="0.45">
      <c r="E150" s="1203">
        <v>39</v>
      </c>
      <c r="F150" s="1203" t="s">
        <v>251</v>
      </c>
    </row>
    <row r="151" spans="5:6" x14ac:dyDescent="0.45">
      <c r="E151" s="1203">
        <v>40</v>
      </c>
      <c r="F151" s="1203" t="s">
        <v>209</v>
      </c>
    </row>
    <row r="152" spans="5:6" x14ac:dyDescent="0.45">
      <c r="E152" s="1203">
        <v>41</v>
      </c>
      <c r="F152" s="1203" t="s">
        <v>264</v>
      </c>
    </row>
    <row r="153" spans="5:6" x14ac:dyDescent="0.45">
      <c r="E153" s="1203">
        <v>42</v>
      </c>
      <c r="F153" s="1203" t="s">
        <v>252</v>
      </c>
    </row>
    <row r="154" spans="5:6" x14ac:dyDescent="0.45">
      <c r="E154" s="1203">
        <v>43</v>
      </c>
      <c r="F154" s="1203" t="s">
        <v>253</v>
      </c>
    </row>
    <row r="155" spans="5:6" x14ac:dyDescent="0.45">
      <c r="E155" s="1203">
        <v>44</v>
      </c>
      <c r="F155" s="1203" t="s">
        <v>254</v>
      </c>
    </row>
    <row r="156" spans="5:6" x14ac:dyDescent="0.45">
      <c r="E156" s="1203">
        <v>45</v>
      </c>
      <c r="F156" s="1203" t="s">
        <v>210</v>
      </c>
    </row>
    <row r="157" spans="5:6" x14ac:dyDescent="0.45">
      <c r="E157" s="1203">
        <v>46</v>
      </c>
      <c r="F157" s="1203" t="s">
        <v>255</v>
      </c>
    </row>
    <row r="158" spans="5:6" x14ac:dyDescent="0.45">
      <c r="E158" s="1203">
        <v>47</v>
      </c>
      <c r="F158" s="1203" t="s">
        <v>211</v>
      </c>
    </row>
    <row r="159" spans="5:6" x14ac:dyDescent="0.45">
      <c r="E159" s="1203">
        <v>48</v>
      </c>
      <c r="F159" s="1203" t="s">
        <v>256</v>
      </c>
    </row>
    <row r="160" spans="5:6" x14ac:dyDescent="0.45">
      <c r="E160" s="1203">
        <v>49</v>
      </c>
      <c r="F160" s="1203" t="s">
        <v>257</v>
      </c>
    </row>
    <row r="161" spans="5:6" x14ac:dyDescent="0.45">
      <c r="E161" s="1203">
        <v>50</v>
      </c>
      <c r="F161" s="1203" t="s">
        <v>260</v>
      </c>
    </row>
    <row r="162" spans="5:6" x14ac:dyDescent="0.45">
      <c r="E162" s="1203">
        <v>51</v>
      </c>
      <c r="F162" s="1203" t="s">
        <v>258</v>
      </c>
    </row>
    <row r="163" spans="5:6" x14ac:dyDescent="0.45">
      <c r="E163" s="1203">
        <v>52</v>
      </c>
      <c r="F163" s="1203" t="s">
        <v>212</v>
      </c>
    </row>
    <row r="164" spans="5:6" x14ac:dyDescent="0.45">
      <c r="E164" s="1203">
        <v>53</v>
      </c>
      <c r="F164" s="1203" t="s">
        <v>259</v>
      </c>
    </row>
    <row r="165" spans="5:6" x14ac:dyDescent="0.45">
      <c r="E165" s="1203">
        <v>54</v>
      </c>
      <c r="F165" s="1203" t="s">
        <v>261</v>
      </c>
    </row>
    <row r="166" spans="5:6" x14ac:dyDescent="0.45">
      <c r="E166" s="1203">
        <v>55</v>
      </c>
      <c r="F166" s="1203" t="s">
        <v>262</v>
      </c>
    </row>
    <row r="167" spans="5:6" x14ac:dyDescent="0.45">
      <c r="E167"/>
      <c r="F167"/>
    </row>
    <row r="168" spans="5:6" x14ac:dyDescent="0.45">
      <c r="E168"/>
      <c r="F168"/>
    </row>
  </sheetData>
  <sheetProtection algorithmName="SHA-512" hashValue="7z8WEP/lFZrD52W+LKRJXXLkUjq87CAXRF55gTzx6WVCZyMrlWTb/Dp0nKR+kqD5ZH2RHDhfKjOqrP6guHWBEQ==" saltValue="wF1tVU+0m/fp1iozagaA3w=="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91088317-0533-4A72-9F5D-157C43279D35}">
      <formula1>$F$112:$F$166</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639368-DFCC-4FE6-9254-C38C5BDDDFF5}">
  <dimension ref="A1"/>
  <sheetViews>
    <sheetView workbookViewId="0">
      <selection activeCell="H20" sqref="H20"/>
    </sheetView>
  </sheetViews>
  <sheetFormatPr defaultRowHeight="14.25" x14ac:dyDescent="0.4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C2922-6970-4C0D-87D4-0D3604ECD696}">
  <dimension ref="A1:AA168"/>
  <sheetViews>
    <sheetView topLeftCell="B1" zoomScale="60" zoomScaleNormal="60" workbookViewId="0">
      <selection activeCell="G11" sqref="G11:G12 C11:C12 M11:M1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793"/>
      <c r="R1" s="3"/>
      <c r="S1" s="4"/>
      <c r="U1" s="794"/>
      <c r="V1" s="794"/>
      <c r="W1" s="794"/>
      <c r="X1" s="794"/>
      <c r="Y1" s="794"/>
      <c r="Z1" s="794"/>
      <c r="AA1" s="794"/>
    </row>
    <row r="2" spans="1:27" ht="30" x14ac:dyDescent="1.1000000000000001">
      <c r="B2" s="795"/>
      <c r="C2" s="796"/>
      <c r="D2" s="797" t="s">
        <v>286</v>
      </c>
      <c r="E2" s="796"/>
      <c r="F2" s="798"/>
      <c r="G2" s="798"/>
      <c r="H2" s="798"/>
      <c r="I2" s="798"/>
      <c r="J2" s="798"/>
      <c r="K2" s="798"/>
      <c r="L2" s="798"/>
      <c r="M2" s="798"/>
      <c r="N2" s="798"/>
      <c r="O2" s="798"/>
      <c r="P2" s="798"/>
      <c r="Q2" s="796"/>
      <c r="R2" s="798"/>
      <c r="S2" s="6"/>
    </row>
    <row r="3" spans="1:27" ht="14.65" thickBot="1" x14ac:dyDescent="0.5">
      <c r="B3" s="799"/>
      <c r="C3" s="800"/>
      <c r="D3" s="800"/>
      <c r="E3" s="800"/>
      <c r="F3" s="801"/>
      <c r="G3" s="801"/>
      <c r="H3" s="801"/>
      <c r="I3" s="801"/>
      <c r="J3" s="801"/>
      <c r="K3" s="801"/>
      <c r="L3" s="801"/>
      <c r="M3" s="801"/>
      <c r="N3" s="801"/>
      <c r="O3" s="801"/>
      <c r="P3" s="801"/>
      <c r="Q3" s="800"/>
      <c r="R3" s="801"/>
      <c r="S3" s="7"/>
    </row>
    <row r="4" spans="1:27" ht="26.45" customHeight="1" thickBot="1" x14ac:dyDescent="0.5">
      <c r="B4" s="799"/>
      <c r="C4" s="800"/>
      <c r="D4" s="802" t="s">
        <v>195</v>
      </c>
      <c r="E4" s="800"/>
      <c r="F4" s="8" t="s">
        <v>244</v>
      </c>
      <c r="G4" s="801"/>
      <c r="H4" s="801"/>
      <c r="I4" s="801"/>
      <c r="J4" s="801"/>
      <c r="K4" s="1652" t="s">
        <v>556</v>
      </c>
      <c r="L4" s="1653"/>
      <c r="M4" s="1654"/>
      <c r="N4" s="803">
        <f>(N9+N46+N59+N69+N76+N79+N92)/7</f>
        <v>0.11706349206349206</v>
      </c>
      <c r="O4" s="804">
        <f>(O9+O46+O59+O69+O76+O79+O92)</f>
        <v>8.0357130000000012</v>
      </c>
      <c r="P4" s="803">
        <f>O4/100</f>
        <v>8.0357130000000013E-2</v>
      </c>
      <c r="Q4" s="800"/>
      <c r="R4" s="801"/>
      <c r="S4" s="7"/>
    </row>
    <row r="5" spans="1:27" ht="18.399999999999999" thickBot="1" x14ac:dyDescent="0.6">
      <c r="B5" s="1655"/>
      <c r="C5" s="1656"/>
      <c r="D5" s="1656"/>
      <c r="E5" s="1656"/>
      <c r="F5" s="1656"/>
      <c r="G5" s="1656"/>
      <c r="H5" s="1656"/>
      <c r="I5" s="1656"/>
      <c r="J5" s="1656"/>
      <c r="K5" s="1656"/>
      <c r="L5" s="58"/>
      <c r="M5" s="805">
        <f>100/28</f>
        <v>3.5714285714285716</v>
      </c>
      <c r="N5" s="9"/>
      <c r="O5" s="561"/>
      <c r="P5" s="561"/>
      <c r="Q5" s="806"/>
      <c r="R5" s="9"/>
      <c r="S5" s="10"/>
    </row>
    <row r="6" spans="1:27" ht="33.6" customHeight="1" thickBot="1" x14ac:dyDescent="0.5">
      <c r="B6" s="1657"/>
      <c r="C6" s="1658"/>
      <c r="D6" s="1658"/>
      <c r="E6" s="1658"/>
      <c r="F6" s="1659"/>
      <c r="G6" s="807"/>
      <c r="H6" s="807"/>
      <c r="I6" s="807"/>
      <c r="J6" s="807"/>
      <c r="K6" s="807"/>
      <c r="L6" s="807"/>
      <c r="M6" s="807"/>
      <c r="N6" s="808"/>
      <c r="O6" s="809"/>
      <c r="P6" s="809"/>
      <c r="Q6" s="808"/>
      <c r="R6" s="12"/>
      <c r="S6" s="13"/>
    </row>
    <row r="7" spans="1:27" ht="55.8" customHeight="1" thickBot="1" x14ac:dyDescent="0.5">
      <c r="B7" s="1660"/>
      <c r="C7" s="1661"/>
      <c r="D7" s="1661"/>
      <c r="E7" s="1661"/>
      <c r="F7" s="1662"/>
      <c r="G7" s="810"/>
      <c r="H7" s="811" t="s">
        <v>218</v>
      </c>
      <c r="I7" s="812" t="s">
        <v>219</v>
      </c>
      <c r="J7" s="813" t="s">
        <v>91</v>
      </c>
      <c r="K7" s="814" t="s">
        <v>107</v>
      </c>
      <c r="L7" s="814" t="s">
        <v>104</v>
      </c>
      <c r="M7" s="814" t="s">
        <v>105</v>
      </c>
      <c r="N7" s="812" t="s">
        <v>106</v>
      </c>
      <c r="O7" s="812" t="s">
        <v>464</v>
      </c>
      <c r="P7" s="815" t="s">
        <v>465</v>
      </c>
      <c r="Q7" s="816" t="s">
        <v>93</v>
      </c>
      <c r="R7" s="817" t="s">
        <v>110</v>
      </c>
      <c r="S7" s="818" t="s">
        <v>103</v>
      </c>
    </row>
    <row r="8" spans="1:27" ht="25.25" customHeight="1" thickBot="1" x14ac:dyDescent="0.5">
      <c r="B8" s="819" t="s">
        <v>2</v>
      </c>
      <c r="C8" s="819" t="s">
        <v>92</v>
      </c>
      <c r="D8" s="819" t="s">
        <v>3</v>
      </c>
      <c r="E8" s="819" t="s">
        <v>94</v>
      </c>
      <c r="F8" s="819" t="s">
        <v>102</v>
      </c>
      <c r="G8" s="819" t="s">
        <v>96</v>
      </c>
      <c r="H8" s="820"/>
      <c r="I8" s="821"/>
      <c r="J8" s="820"/>
      <c r="K8" s="822"/>
      <c r="L8" s="822"/>
      <c r="M8" s="819"/>
      <c r="N8" s="823"/>
      <c r="O8" s="824"/>
      <c r="P8" s="825"/>
      <c r="Q8" s="821"/>
      <c r="R8" s="823"/>
      <c r="S8" s="823"/>
      <c r="V8" s="826" t="s">
        <v>151</v>
      </c>
      <c r="W8" s="827"/>
      <c r="X8" s="827"/>
      <c r="Y8" s="827"/>
      <c r="Z8" s="828"/>
    </row>
    <row r="9" spans="1:27" s="168" customFormat="1" ht="25.25" customHeight="1" thickBot="1" x14ac:dyDescent="0.5">
      <c r="B9" s="1663" t="s">
        <v>0</v>
      </c>
      <c r="C9" s="1664"/>
      <c r="D9" s="1664"/>
      <c r="E9" s="1664"/>
      <c r="F9" s="1665"/>
      <c r="G9" s="829"/>
      <c r="H9" s="830"/>
      <c r="I9" s="831"/>
      <c r="J9" s="832"/>
      <c r="K9" s="832"/>
      <c r="L9" s="832"/>
      <c r="M9" s="829"/>
      <c r="N9" s="833">
        <f>(N10+N18+N23+N32+N37+N40+N43)/7</f>
        <v>0</v>
      </c>
      <c r="O9" s="834">
        <f>(O10+O18+O23+O32+O37+O40+O43)</f>
        <v>0</v>
      </c>
      <c r="P9" s="835">
        <f>O9/42.857136</f>
        <v>0</v>
      </c>
      <c r="Q9" s="832"/>
      <c r="R9" s="836"/>
      <c r="S9" s="836"/>
      <c r="U9" s="837"/>
      <c r="V9" s="838"/>
      <c r="W9" s="839"/>
      <c r="X9" s="839"/>
      <c r="Y9" s="839"/>
      <c r="Z9" s="840"/>
      <c r="AA9" s="837"/>
    </row>
    <row r="10" spans="1:27" s="92" customFormat="1" ht="25.25" customHeight="1" thickBot="1" x14ac:dyDescent="0.5">
      <c r="B10" s="1666" t="s">
        <v>1</v>
      </c>
      <c r="C10" s="1667"/>
      <c r="D10" s="1667"/>
      <c r="E10" s="1667"/>
      <c r="F10" s="1668"/>
      <c r="G10" s="841"/>
      <c r="H10" s="842"/>
      <c r="I10" s="843"/>
      <c r="J10" s="844"/>
      <c r="K10" s="844"/>
      <c r="L10" s="844"/>
      <c r="M10" s="841"/>
      <c r="N10" s="833">
        <f>(N11+N13+N15)/3</f>
        <v>0</v>
      </c>
      <c r="O10" s="834">
        <f>(O11+O13+O15)</f>
        <v>0</v>
      </c>
      <c r="P10" s="835">
        <f>O10/10.714284</f>
        <v>0</v>
      </c>
      <c r="Q10" s="844"/>
      <c r="R10" s="845"/>
      <c r="S10" s="845"/>
      <c r="U10" s="846"/>
      <c r="V10" s="847"/>
      <c r="W10" s="848"/>
      <c r="X10" s="848"/>
      <c r="Y10" s="848"/>
      <c r="Z10" s="849"/>
      <c r="AA10" s="846"/>
    </row>
    <row r="11" spans="1:27" ht="27.6" customHeight="1" thickBot="1" x14ac:dyDescent="0.5">
      <c r="A11" s="1669">
        <v>1</v>
      </c>
      <c r="B11" s="1680" t="s">
        <v>4</v>
      </c>
      <c r="C11" s="1682">
        <f>M5</f>
        <v>3.5714285714285716</v>
      </c>
      <c r="D11" s="850" t="s">
        <v>111</v>
      </c>
      <c r="E11" s="851">
        <f>$C$11/2</f>
        <v>1.7857142857142858</v>
      </c>
      <c r="F11" s="852" t="s">
        <v>5</v>
      </c>
      <c r="G11" s="853">
        <f>E11/1</f>
        <v>1.7857142857142858</v>
      </c>
      <c r="H11" s="562"/>
      <c r="I11" s="563">
        <v>2.4</v>
      </c>
      <c r="J11" s="856">
        <f>(H11-I11)</f>
        <v>-2.4</v>
      </c>
      <c r="K11" s="857">
        <f>(0.3*I11)*6/10</f>
        <v>0.43200000000000005</v>
      </c>
      <c r="L11" s="858">
        <f>I11+K11</f>
        <v>2.8319999999999999</v>
      </c>
      <c r="M11" s="859" t="str">
        <f t="shared" ref="M11:M17" si="0">IF(H11=0,"0%",J11/K11)</f>
        <v>0%</v>
      </c>
      <c r="N11" s="1674">
        <f>(((G11/C11)*M11)+((G12/C11)*M12))</f>
        <v>0</v>
      </c>
      <c r="O11" s="1676">
        <f>IF((((G11/C11)*M11)+((G12/C11)*M12))&gt;=1,3.57148,IF((((G11/C11)*M11)+((G12/C11)*M12))&lt;=-1,-3.57148, (((G11/C11)*M11)+((G12/C11)*M12))*3.571428))</f>
        <v>0</v>
      </c>
      <c r="P11" s="1678">
        <f>O11/3.571428</f>
        <v>0</v>
      </c>
      <c r="Q11" s="860" t="s">
        <v>97</v>
      </c>
      <c r="R11" s="503" t="s">
        <v>293</v>
      </c>
      <c r="S11" s="230" t="s">
        <v>466</v>
      </c>
      <c r="V11" s="861" t="s">
        <v>109</v>
      </c>
      <c r="W11" s="862" t="e">
        <f>#REF!</f>
        <v>#REF!</v>
      </c>
      <c r="X11" s="863"/>
      <c r="Y11" s="863"/>
      <c r="Z11" s="864"/>
    </row>
    <row r="12" spans="1:27" ht="27" customHeight="1" thickBot="1" x14ac:dyDescent="0.5">
      <c r="A12" s="1669"/>
      <c r="B12" s="1681"/>
      <c r="C12" s="1683"/>
      <c r="D12" s="865" t="s">
        <v>112</v>
      </c>
      <c r="E12" s="866">
        <f>$C$11/2</f>
        <v>1.7857142857142858</v>
      </c>
      <c r="F12" s="867" t="s">
        <v>281</v>
      </c>
      <c r="G12" s="868">
        <f>E12/1</f>
        <v>1.7857142857142858</v>
      </c>
      <c r="H12" s="565"/>
      <c r="I12" s="1489">
        <v>1.7</v>
      </c>
      <c r="J12" s="871">
        <f>I12-H12</f>
        <v>1.7</v>
      </c>
      <c r="K12" s="872">
        <f>(0.25*I12)*(6/10)</f>
        <v>0.255</v>
      </c>
      <c r="L12" s="873">
        <f>I12-K12</f>
        <v>1.4449999999999998</v>
      </c>
      <c r="M12" s="859" t="str">
        <f t="shared" si="0"/>
        <v>0%</v>
      </c>
      <c r="N12" s="1675"/>
      <c r="O12" s="1677"/>
      <c r="P12" s="1679"/>
      <c r="Q12" s="875" t="s">
        <v>98</v>
      </c>
      <c r="R12" s="503" t="s">
        <v>294</v>
      </c>
      <c r="S12" s="230" t="s">
        <v>466</v>
      </c>
      <c r="V12" s="876">
        <v>0.02</v>
      </c>
      <c r="W12" s="877" t="e">
        <f>(W11-(W11*V12))</f>
        <v>#REF!</v>
      </c>
      <c r="X12" s="877" t="e">
        <f>W11-(V12*W11)</f>
        <v>#REF!</v>
      </c>
      <c r="Y12" s="863"/>
      <c r="Z12" s="864"/>
    </row>
    <row r="13" spans="1:27" ht="32.450000000000003" customHeight="1" thickBot="1" x14ac:dyDescent="0.5">
      <c r="A13" s="1669">
        <v>2</v>
      </c>
      <c r="B13" s="1670" t="s">
        <v>6</v>
      </c>
      <c r="C13" s="1672">
        <f>M5</f>
        <v>3.5714285714285716</v>
      </c>
      <c r="D13" s="878" t="s">
        <v>273</v>
      </c>
      <c r="E13" s="879">
        <f>$C$13/2</f>
        <v>1.7857142857142858</v>
      </c>
      <c r="F13" s="880" t="s">
        <v>7</v>
      </c>
      <c r="G13" s="881">
        <f>E13/1</f>
        <v>1.7857142857142858</v>
      </c>
      <c r="H13" s="352"/>
      <c r="I13" s="566"/>
      <c r="J13" s="884">
        <f>IF(I13=H13,(5-H13),I13-H13)</f>
        <v>5</v>
      </c>
      <c r="K13" s="885">
        <f>IF(I13&lt;=5,0,((I13-5)*(6/10)))</f>
        <v>0</v>
      </c>
      <c r="L13" s="886">
        <f>I13-K13</f>
        <v>0</v>
      </c>
      <c r="M13" s="859" t="str">
        <f t="shared" si="0"/>
        <v>0%</v>
      </c>
      <c r="N13" s="1674">
        <f>(((G13/C13)*M13)+((G14/C13)*M14))</f>
        <v>0</v>
      </c>
      <c r="O13" s="1676">
        <f>IF((((G13/C13)*M13)+((G14/C13)*M14))&gt;=1,3.57148,IF((((G13/C13)*M13)+((G14/C13)*M14))&lt;=-1,-3.57148, (((G13/C13)*M13)+((G14/C13)*M14))*3.571428))</f>
        <v>0</v>
      </c>
      <c r="P13" s="1678">
        <f>O13/3.571428</f>
        <v>0</v>
      </c>
      <c r="Q13" s="888" t="s">
        <v>99</v>
      </c>
      <c r="R13" s="178"/>
      <c r="S13" s="155" t="s">
        <v>463</v>
      </c>
      <c r="V13" s="876">
        <v>0.02</v>
      </c>
      <c r="W13" s="877" t="e">
        <f>(#REF!-(#REF!*V13))</f>
        <v>#REF!</v>
      </c>
      <c r="X13" s="877" t="e">
        <f>(W11-(V12*W11))-((W11-(V12*W11))*0.02)-(((W11-(V12*W11))-((W11-(V12*W11))*0.02))*0.02)-(((W11-(V12*W11))-((W11-(V12*W11))*0.02)-(((W11-(V12*W11))-((W11-(V12*W11))*0.02))*0.02))*0.02)</f>
        <v>#REF!</v>
      </c>
      <c r="Y13" s="889" t="e">
        <f>(W11-W14)/W11</f>
        <v>#REF!</v>
      </c>
      <c r="Z13" s="864"/>
    </row>
    <row r="14" spans="1:27" ht="33" customHeight="1" thickBot="1" x14ac:dyDescent="0.5">
      <c r="A14" s="1669"/>
      <c r="B14" s="1671"/>
      <c r="C14" s="1673"/>
      <c r="D14" s="865" t="s">
        <v>274</v>
      </c>
      <c r="E14" s="890">
        <f>$C$13/2</f>
        <v>1.7857142857142858</v>
      </c>
      <c r="F14" s="891" t="s">
        <v>8</v>
      </c>
      <c r="G14" s="892">
        <f>E14/1</f>
        <v>1.7857142857142858</v>
      </c>
      <c r="H14" s="404"/>
      <c r="I14" s="1250">
        <v>27.7</v>
      </c>
      <c r="J14" s="895">
        <f>H14-I14</f>
        <v>-27.7</v>
      </c>
      <c r="K14" s="896">
        <f>(0.95*(100-I14))*6/10</f>
        <v>41.210999999999991</v>
      </c>
      <c r="L14" s="897">
        <f>K14+I14</f>
        <v>68.910999999999987</v>
      </c>
      <c r="M14" s="859" t="str">
        <f t="shared" si="0"/>
        <v>0%</v>
      </c>
      <c r="N14" s="1675"/>
      <c r="O14" s="1677"/>
      <c r="P14" s="1679"/>
      <c r="Q14" s="899" t="s">
        <v>100</v>
      </c>
      <c r="R14" s="505" t="s">
        <v>295</v>
      </c>
      <c r="S14" s="230" t="s">
        <v>466</v>
      </c>
      <c r="V14" s="900">
        <v>0.02</v>
      </c>
      <c r="W14" s="901" t="e">
        <f>(#REF!-(#REF!*V14))</f>
        <v>#REF!</v>
      </c>
      <c r="X14" s="901"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02" t="e">
        <f>W11-X14</f>
        <v>#REF!</v>
      </c>
      <c r="Z14" s="903"/>
    </row>
    <row r="15" spans="1:27" ht="22.25" customHeight="1" thickBot="1" x14ac:dyDescent="0.5">
      <c r="A15" s="1710">
        <v>3</v>
      </c>
      <c r="B15" s="1711" t="s">
        <v>9</v>
      </c>
      <c r="C15" s="1713">
        <f>M5</f>
        <v>3.5714285714285716</v>
      </c>
      <c r="D15" s="1711" t="s">
        <v>113</v>
      </c>
      <c r="E15" s="1713">
        <f>$C$15/1</f>
        <v>3.5714285714285716</v>
      </c>
      <c r="F15" s="904" t="s">
        <v>221</v>
      </c>
      <c r="G15" s="905">
        <f>$E$15/3</f>
        <v>1.1904761904761905</v>
      </c>
      <c r="H15" s="567"/>
      <c r="I15" s="1490">
        <v>15.25</v>
      </c>
      <c r="J15" s="908">
        <f>H15-I15</f>
        <v>-15.25</v>
      </c>
      <c r="K15" s="909">
        <f>(0.5*I15)*6/10</f>
        <v>4.5750000000000002</v>
      </c>
      <c r="L15" s="858">
        <f>I15+K15</f>
        <v>19.824999999999999</v>
      </c>
      <c r="M15" s="859" t="str">
        <f t="shared" si="0"/>
        <v>0%</v>
      </c>
      <c r="N15" s="1715">
        <f>(((G15/C15)*M15)+((G16/C15)*M16)+((G17/C15)*M17))</f>
        <v>0</v>
      </c>
      <c r="O15" s="1702">
        <f>IF((((G15/C15)*M15)+((G16/C15)*M16)+((G17/C15)*M17))&gt;=1,3.571428,IF((((G15/C15)*M15)+((G16/C15)*M16)+((G17/C15)*M17))&lt;=-1,-3.571428,(((G15/C15)*M15)+((G16/C15)*M16)+((G17/C15)*M17))*3.571428))</f>
        <v>0</v>
      </c>
      <c r="P15" s="1678">
        <f>O15/3.571428</f>
        <v>0</v>
      </c>
      <c r="Q15" s="910" t="s">
        <v>101</v>
      </c>
      <c r="R15" s="506" t="s">
        <v>296</v>
      </c>
      <c r="S15" s="230" t="s">
        <v>466</v>
      </c>
    </row>
    <row r="16" spans="1:27" ht="35.25" thickBot="1" x14ac:dyDescent="0.5">
      <c r="A16" s="1710"/>
      <c r="B16" s="1711"/>
      <c r="C16" s="1713"/>
      <c r="D16" s="1711"/>
      <c r="E16" s="1713"/>
      <c r="F16" s="911" t="s">
        <v>220</v>
      </c>
      <c r="G16" s="912">
        <f t="shared" ref="G16:G17" si="1">$E$15/3</f>
        <v>1.1904761904761905</v>
      </c>
      <c r="H16" s="557"/>
      <c r="I16" s="568"/>
      <c r="J16" s="913">
        <f>H16-I16</f>
        <v>0</v>
      </c>
      <c r="K16" s="914">
        <f>(0.5*I16)*6/10</f>
        <v>0</v>
      </c>
      <c r="L16" s="915">
        <f t="shared" ref="L16:L17" si="2">I16+K16</f>
        <v>0</v>
      </c>
      <c r="M16" s="859" t="str">
        <f t="shared" si="0"/>
        <v>0%</v>
      </c>
      <c r="N16" s="1716"/>
      <c r="O16" s="1700"/>
      <c r="P16" s="1703"/>
      <c r="Q16" s="917" t="s">
        <v>95</v>
      </c>
      <c r="R16" s="569"/>
      <c r="S16" s="230" t="s">
        <v>466</v>
      </c>
    </row>
    <row r="17" spans="1:19" ht="25.25" customHeight="1" thickBot="1" x14ac:dyDescent="0.5">
      <c r="A17" s="1710"/>
      <c r="B17" s="1712"/>
      <c r="C17" s="1714"/>
      <c r="D17" s="1712"/>
      <c r="E17" s="1714"/>
      <c r="F17" s="918" t="s">
        <v>10</v>
      </c>
      <c r="G17" s="919">
        <f t="shared" si="1"/>
        <v>1.1904761904761905</v>
      </c>
      <c r="H17" s="570"/>
      <c r="I17" s="571">
        <v>0.44</v>
      </c>
      <c r="J17" s="920">
        <f>H17-I17</f>
        <v>-0.44</v>
      </c>
      <c r="K17" s="921">
        <f>(0.5*I17)*6/10</f>
        <v>0.13200000000000001</v>
      </c>
      <c r="L17" s="873">
        <f t="shared" si="2"/>
        <v>0.57200000000000006</v>
      </c>
      <c r="M17" s="859" t="str">
        <f t="shared" si="0"/>
        <v>0%</v>
      </c>
      <c r="N17" s="1717"/>
      <c r="O17" s="1701"/>
      <c r="P17" s="1703"/>
      <c r="Q17" s="922" t="s">
        <v>162</v>
      </c>
      <c r="R17" s="505" t="s">
        <v>297</v>
      </c>
      <c r="S17" s="230" t="s">
        <v>466</v>
      </c>
    </row>
    <row r="18" spans="1:19" ht="21.4" thickBot="1" x14ac:dyDescent="0.7">
      <c r="A18" s="14"/>
      <c r="B18" s="1704" t="s">
        <v>11</v>
      </c>
      <c r="C18" s="1705"/>
      <c r="D18" s="1705"/>
      <c r="E18" s="1705"/>
      <c r="F18" s="1706"/>
      <c r="G18" s="923"/>
      <c r="H18" s="1204"/>
      <c r="I18" s="1204"/>
      <c r="J18" s="924"/>
      <c r="K18" s="924"/>
      <c r="L18" s="924"/>
      <c r="M18" s="925"/>
      <c r="N18" s="833">
        <f>N19</f>
        <v>0</v>
      </c>
      <c r="O18" s="834">
        <f>O19</f>
        <v>0</v>
      </c>
      <c r="P18" s="835">
        <f>O18/3.571428</f>
        <v>0</v>
      </c>
      <c r="Q18" s="924"/>
      <c r="R18" s="249"/>
      <c r="S18" s="250"/>
    </row>
    <row r="19" spans="1:19" ht="34.25" customHeight="1" thickBot="1" x14ac:dyDescent="0.5">
      <c r="A19" s="1669">
        <v>4</v>
      </c>
      <c r="B19" s="1687" t="s">
        <v>12</v>
      </c>
      <c r="C19" s="1691">
        <f>M5</f>
        <v>3.5714285714285716</v>
      </c>
      <c r="D19" s="926" t="s">
        <v>114</v>
      </c>
      <c r="E19" s="853">
        <f>$C$19/4</f>
        <v>0.8928571428571429</v>
      </c>
      <c r="F19" s="927" t="s">
        <v>222</v>
      </c>
      <c r="G19" s="905">
        <f>E19/1</f>
        <v>0.8928571428571429</v>
      </c>
      <c r="H19" s="572"/>
      <c r="I19" s="929">
        <v>11.4</v>
      </c>
      <c r="J19" s="930">
        <f>H19-I19</f>
        <v>-11.4</v>
      </c>
      <c r="K19" s="909">
        <f>(2*I19)*6/10</f>
        <v>13.680000000000001</v>
      </c>
      <c r="L19" s="931">
        <f t="shared" ref="L19:L22" si="3">K19+I19</f>
        <v>25.080000000000002</v>
      </c>
      <c r="M19" s="859" t="str">
        <f>IF(H19=0,"0%",J19/K19)</f>
        <v>0%</v>
      </c>
      <c r="N19" s="1695">
        <f>(((G19/C19)*M19)+((G20/C19)*M20)+((G21/C19)*M21)+((G22/C19)*M22))</f>
        <v>0</v>
      </c>
      <c r="O19" s="1699">
        <f>IF((((G19/C19)*M19)+((G20/C19)*M20)+((G21/C19)*M21)+((G22/C19)*M22))&gt;=1,3.571428,IF((((G19/C19)*M19)+((G20/C19)*M20)+((G21/C19)*M21)+((G22/C19)*M22))&lt;=-1,-3.571428,((((G19/C19)*M19)+((G20/C19)*M20)+((G21/C19)*M21)+((G22/C19)*M22))*3.571428)))</f>
        <v>0</v>
      </c>
      <c r="P19" s="1678">
        <f>O19/3.571428</f>
        <v>0</v>
      </c>
      <c r="Q19" s="932" t="s">
        <v>163</v>
      </c>
      <c r="R19" s="138" t="s">
        <v>467</v>
      </c>
      <c r="S19" s="230" t="s">
        <v>466</v>
      </c>
    </row>
    <row r="20" spans="1:19" ht="39" customHeight="1" thickBot="1" x14ac:dyDescent="0.5">
      <c r="A20" s="1669"/>
      <c r="B20" s="1688"/>
      <c r="C20" s="1692"/>
      <c r="D20" s="933" t="s">
        <v>152</v>
      </c>
      <c r="E20" s="934">
        <f>($C$19/4)</f>
        <v>0.8928571428571429</v>
      </c>
      <c r="F20" s="935" t="s">
        <v>265</v>
      </c>
      <c r="G20" s="912">
        <f>E20/1</f>
        <v>0.8928571428571429</v>
      </c>
      <c r="H20" s="512"/>
      <c r="I20" s="90">
        <v>23.3</v>
      </c>
      <c r="J20" s="936">
        <f t="shared" ref="J20:J24" si="4">H20-I20</f>
        <v>-23.3</v>
      </c>
      <c r="K20" s="914">
        <f>(100-I20)*(6/10)</f>
        <v>46.02</v>
      </c>
      <c r="L20" s="937">
        <f t="shared" si="3"/>
        <v>69.320000000000007</v>
      </c>
      <c r="M20" s="859" t="str">
        <f>IF(H20=0,"0%",J20/K20)</f>
        <v>0%</v>
      </c>
      <c r="N20" s="1696"/>
      <c r="O20" s="1700"/>
      <c r="P20" s="1703"/>
      <c r="Q20" s="938" t="s">
        <v>164</v>
      </c>
      <c r="R20" s="138" t="s">
        <v>468</v>
      </c>
      <c r="S20" s="230" t="s">
        <v>466</v>
      </c>
    </row>
    <row r="21" spans="1:19" ht="56.45" customHeight="1" thickBot="1" x14ac:dyDescent="0.5">
      <c r="A21" s="1669"/>
      <c r="B21" s="1688"/>
      <c r="C21" s="1692"/>
      <c r="D21" s="933" t="s">
        <v>153</v>
      </c>
      <c r="E21" s="934">
        <f t="shared" ref="E21:E22" si="5">($C$19/4)</f>
        <v>0.8928571428571429</v>
      </c>
      <c r="F21" s="935" t="s">
        <v>155</v>
      </c>
      <c r="G21" s="912">
        <f>E21/1</f>
        <v>0.8928571428571429</v>
      </c>
      <c r="H21" s="512"/>
      <c r="I21" s="472"/>
      <c r="J21" s="936">
        <f t="shared" si="4"/>
        <v>0</v>
      </c>
      <c r="K21" s="914">
        <f>(0.3*I21)*6/10</f>
        <v>0</v>
      </c>
      <c r="L21" s="937">
        <f t="shared" si="3"/>
        <v>0</v>
      </c>
      <c r="M21" s="916" t="str">
        <f>IF(K21&lt;&gt;0,J21/K21,"0%")</f>
        <v>0%</v>
      </c>
      <c r="N21" s="1696"/>
      <c r="O21" s="1700"/>
      <c r="P21" s="1703"/>
      <c r="Q21" s="938" t="s">
        <v>165</v>
      </c>
      <c r="R21" s="140"/>
      <c r="S21" s="155" t="s">
        <v>463</v>
      </c>
    </row>
    <row r="22" spans="1:19" ht="36.6" customHeight="1" thickBot="1" x14ac:dyDescent="0.5">
      <c r="A22" s="1669"/>
      <c r="B22" s="1707"/>
      <c r="C22" s="1708"/>
      <c r="D22" s="891" t="s">
        <v>154</v>
      </c>
      <c r="E22" s="939">
        <f t="shared" si="5"/>
        <v>0.8928571428571429</v>
      </c>
      <c r="F22" s="940" t="s">
        <v>156</v>
      </c>
      <c r="G22" s="941">
        <f>E22/1</f>
        <v>0.8928571428571429</v>
      </c>
      <c r="H22" s="573"/>
      <c r="I22" s="473"/>
      <c r="J22" s="943">
        <f t="shared" si="4"/>
        <v>0</v>
      </c>
      <c r="K22" s="921">
        <f>(100-I22)*(6/10)</f>
        <v>60</v>
      </c>
      <c r="L22" s="944">
        <f t="shared" si="3"/>
        <v>60</v>
      </c>
      <c r="M22" s="874">
        <f>IF(K22&lt;&gt;0,J22/K22,"100%")</f>
        <v>0</v>
      </c>
      <c r="N22" s="1709"/>
      <c r="O22" s="1701"/>
      <c r="P22" s="1679"/>
      <c r="Q22" s="945" t="s">
        <v>95</v>
      </c>
      <c r="R22" s="139"/>
      <c r="S22" s="155" t="s">
        <v>463</v>
      </c>
    </row>
    <row r="23" spans="1:19" ht="20.45" customHeight="1" thickBot="1" x14ac:dyDescent="0.5">
      <c r="B23" s="1684" t="s">
        <v>13</v>
      </c>
      <c r="C23" s="1685"/>
      <c r="D23" s="1685"/>
      <c r="E23" s="1685"/>
      <c r="F23" s="1686"/>
      <c r="G23" s="923"/>
      <c r="H23" s="1204"/>
      <c r="I23" s="1204"/>
      <c r="J23" s="946"/>
      <c r="K23" s="947"/>
      <c r="L23" s="947"/>
      <c r="M23" s="948"/>
      <c r="N23" s="833">
        <f>N24</f>
        <v>0</v>
      </c>
      <c r="O23" s="834">
        <f>O24</f>
        <v>0</v>
      </c>
      <c r="P23" s="835">
        <f>O23/3.571428</f>
        <v>0</v>
      </c>
      <c r="Q23" s="924"/>
      <c r="R23" s="255"/>
      <c r="S23" s="255"/>
    </row>
    <row r="24" spans="1:19" ht="36" customHeight="1" thickBot="1" x14ac:dyDescent="0.5">
      <c r="A24" s="1669">
        <v>5</v>
      </c>
      <c r="B24" s="1687" t="s">
        <v>14</v>
      </c>
      <c r="C24" s="1691">
        <f>M5</f>
        <v>3.5714285714285716</v>
      </c>
      <c r="D24" s="926" t="s">
        <v>115</v>
      </c>
      <c r="E24" s="853">
        <f>$C$24/4</f>
        <v>0.8928571428571429</v>
      </c>
      <c r="F24" s="926" t="s">
        <v>280</v>
      </c>
      <c r="G24" s="853">
        <f>E24/1</f>
        <v>0.8928571428571429</v>
      </c>
      <c r="H24" s="574"/>
      <c r="I24" s="1491">
        <v>33</v>
      </c>
      <c r="J24" s="949">
        <f t="shared" si="4"/>
        <v>-33</v>
      </c>
      <c r="K24" s="909">
        <f>(0.3*I24)*6/10</f>
        <v>5.94</v>
      </c>
      <c r="L24" s="931">
        <f>K24+I24</f>
        <v>38.94</v>
      </c>
      <c r="M24" s="859" t="str">
        <f t="shared" ref="M24:M30" si="6">IF(H24=0,"0%",J24/K24)</f>
        <v>0%</v>
      </c>
      <c r="N24" s="1695">
        <f>(((G24/C24)*M24)+((G25/C24)*M25)+ ((G26/C24)*M26)+((G27/C24)*M27)+((G28/C24)*M28)+((G29/C24)*M29)+((G30/C24)*M30)+((G31/C24)*M31))</f>
        <v>0</v>
      </c>
      <c r="O24" s="1699">
        <f>IF((((G24/C24)*M24)+((G25/C24)*M25)+ ((G26/C24)*M26)+((G27/C24)*M27)+((G28/C24)*M28)+((G29/C24)*M29)+((G30/C24)*M30)+((G31/C24)*M31))&gt;=1,3.571428,IF((((G24/C24)*M24)+((G25/C24)*M25)+ ((G26/C24)*M26)+((G27/C24)*M27)+((G28/C24)*M28)+((G29/C24)*M29)+((G30/C24)*M30)+((G31/C24)*M31))&lt;=-1,-3.571428,((((G24/C24)*M24)+((G25/C24)*M25)+ ((G26/C24)*M26)+((G27/C24)*M27)+((G28/C24)*M28)+((G29/C24)*M29)+((G30/C24)*M30)+((G31/C24)*M31))*3.571428)))</f>
        <v>0</v>
      </c>
      <c r="P24" s="1678">
        <f>O24/3.571428</f>
        <v>0</v>
      </c>
      <c r="Q24" s="950" t="s">
        <v>166</v>
      </c>
      <c r="R24" s="138" t="s">
        <v>298</v>
      </c>
      <c r="S24" s="230" t="s">
        <v>466</v>
      </c>
    </row>
    <row r="25" spans="1:19" ht="19.8" customHeight="1" thickBot="1" x14ac:dyDescent="0.5">
      <c r="A25" s="1669"/>
      <c r="B25" s="1688"/>
      <c r="C25" s="1692"/>
      <c r="D25" s="1721" t="s">
        <v>158</v>
      </c>
      <c r="E25" s="1723">
        <v>0.9</v>
      </c>
      <c r="F25" s="933" t="s">
        <v>15</v>
      </c>
      <c r="G25" s="934">
        <f>$E$25/3</f>
        <v>0.3</v>
      </c>
      <c r="H25" s="575"/>
      <c r="I25" s="1492">
        <v>0.47799999999999998</v>
      </c>
      <c r="J25" s="951">
        <f t="shared" ref="J25:J30" si="7">I25-H25</f>
        <v>0.47799999999999998</v>
      </c>
      <c r="K25" s="914">
        <f>(0.5*I25)*6/10</f>
        <v>0.1434</v>
      </c>
      <c r="L25" s="937">
        <f>I25-K25</f>
        <v>0.33460000000000001</v>
      </c>
      <c r="M25" s="859" t="str">
        <f t="shared" si="6"/>
        <v>0%</v>
      </c>
      <c r="N25" s="1696"/>
      <c r="O25" s="1700"/>
      <c r="P25" s="1703"/>
      <c r="Q25" s="952" t="s">
        <v>167</v>
      </c>
      <c r="R25" s="138" t="s">
        <v>299</v>
      </c>
      <c r="S25" s="230" t="s">
        <v>466</v>
      </c>
    </row>
    <row r="26" spans="1:19" ht="19.8" customHeight="1" thickBot="1" x14ac:dyDescent="0.5">
      <c r="A26" s="1669"/>
      <c r="B26" s="1688"/>
      <c r="C26" s="1692"/>
      <c r="D26" s="1722"/>
      <c r="E26" s="1693"/>
      <c r="F26" s="933" t="s">
        <v>16</v>
      </c>
      <c r="G26" s="934">
        <f t="shared" ref="G26:G27" si="8">$E$25/3</f>
        <v>0.3</v>
      </c>
      <c r="H26" s="575"/>
      <c r="I26" s="1492">
        <v>2.6</v>
      </c>
      <c r="J26" s="951">
        <f t="shared" si="7"/>
        <v>2.6</v>
      </c>
      <c r="K26" s="914">
        <f>(0.8*I26)*6/10</f>
        <v>1.248</v>
      </c>
      <c r="L26" s="937">
        <f>I26-K26</f>
        <v>1.3520000000000001</v>
      </c>
      <c r="M26" s="859" t="str">
        <f t="shared" si="6"/>
        <v>0%</v>
      </c>
      <c r="N26" s="1696"/>
      <c r="O26" s="1700"/>
      <c r="P26" s="1703"/>
      <c r="Q26" s="952" t="s">
        <v>168</v>
      </c>
      <c r="R26" s="138" t="s">
        <v>469</v>
      </c>
      <c r="S26" s="230" t="s">
        <v>466</v>
      </c>
    </row>
    <row r="27" spans="1:19" ht="19.8" customHeight="1" thickBot="1" x14ac:dyDescent="0.5">
      <c r="A27" s="1669"/>
      <c r="B27" s="1688"/>
      <c r="C27" s="1692"/>
      <c r="D27" s="1722"/>
      <c r="E27" s="1693"/>
      <c r="F27" s="933" t="s">
        <v>17</v>
      </c>
      <c r="G27" s="934">
        <f t="shared" si="8"/>
        <v>0.3</v>
      </c>
      <c r="H27" s="575"/>
      <c r="I27" s="1493">
        <v>6.2</v>
      </c>
      <c r="J27" s="951">
        <f t="shared" si="7"/>
        <v>6.2</v>
      </c>
      <c r="K27" s="914">
        <f>(0.5*I27)*(6/10)</f>
        <v>1.8599999999999999</v>
      </c>
      <c r="L27" s="937">
        <f>K27+I27</f>
        <v>8.06</v>
      </c>
      <c r="M27" s="859" t="str">
        <f t="shared" si="6"/>
        <v>0%</v>
      </c>
      <c r="N27" s="1696"/>
      <c r="O27" s="1700"/>
      <c r="P27" s="1703"/>
      <c r="Q27" s="952" t="s">
        <v>169</v>
      </c>
      <c r="R27" s="138" t="s">
        <v>300</v>
      </c>
      <c r="S27" s="230" t="s">
        <v>466</v>
      </c>
    </row>
    <row r="28" spans="1:19" ht="30.6" customHeight="1" thickBot="1" x14ac:dyDescent="0.5">
      <c r="A28" s="16"/>
      <c r="B28" s="1688"/>
      <c r="C28" s="1692"/>
      <c r="D28" s="1721" t="s">
        <v>116</v>
      </c>
      <c r="E28" s="1723">
        <f t="shared" ref="E28:E31" si="9">$C$24/4</f>
        <v>0.8928571428571429</v>
      </c>
      <c r="F28" s="933" t="s">
        <v>148</v>
      </c>
      <c r="G28" s="934">
        <f>$E$28/3</f>
        <v>0.29761904761904762</v>
      </c>
      <c r="H28" s="576"/>
      <c r="I28" s="1278">
        <v>367</v>
      </c>
      <c r="J28" s="951">
        <f t="shared" si="7"/>
        <v>367</v>
      </c>
      <c r="K28" s="914">
        <f>(0.5*I28)*(6/10)</f>
        <v>110.1</v>
      </c>
      <c r="L28" s="937">
        <f>I28-K28</f>
        <v>256.89999999999998</v>
      </c>
      <c r="M28" s="859" t="str">
        <f t="shared" si="6"/>
        <v>0%</v>
      </c>
      <c r="N28" s="1697"/>
      <c r="O28" s="1700"/>
      <c r="P28" s="1703"/>
      <c r="Q28" s="952" t="s">
        <v>170</v>
      </c>
      <c r="R28" s="138" t="s">
        <v>470</v>
      </c>
      <c r="S28" s="230" t="s">
        <v>466</v>
      </c>
    </row>
    <row r="29" spans="1:19" ht="20.45" customHeight="1" thickBot="1" x14ac:dyDescent="0.5">
      <c r="A29" s="16"/>
      <c r="B29" s="1688"/>
      <c r="C29" s="1692"/>
      <c r="D29" s="1722"/>
      <c r="E29" s="1693"/>
      <c r="F29" s="933" t="s">
        <v>149</v>
      </c>
      <c r="G29" s="934">
        <f t="shared" ref="G29:G30" si="10">$E$28/3</f>
        <v>0.29761904761904762</v>
      </c>
      <c r="H29" s="576"/>
      <c r="I29" s="577">
        <v>117</v>
      </c>
      <c r="J29" s="951">
        <f t="shared" si="7"/>
        <v>117</v>
      </c>
      <c r="K29" s="914">
        <f>(0.5*I29)*(6/10)</f>
        <v>35.1</v>
      </c>
      <c r="L29" s="937">
        <f>I29-K29</f>
        <v>81.900000000000006</v>
      </c>
      <c r="M29" s="859" t="str">
        <f t="shared" si="6"/>
        <v>0%</v>
      </c>
      <c r="N29" s="1697"/>
      <c r="O29" s="1700"/>
      <c r="P29" s="1703"/>
      <c r="Q29" s="952" t="s">
        <v>171</v>
      </c>
      <c r="R29" s="138" t="s">
        <v>301</v>
      </c>
      <c r="S29" s="230" t="s">
        <v>466</v>
      </c>
    </row>
    <row r="30" spans="1:19" ht="20.45" customHeight="1" thickBot="1" x14ac:dyDescent="0.5">
      <c r="A30" s="16"/>
      <c r="B30" s="1689"/>
      <c r="C30" s="1693"/>
      <c r="D30" s="1722"/>
      <c r="E30" s="1693"/>
      <c r="F30" s="933" t="s">
        <v>150</v>
      </c>
      <c r="G30" s="934">
        <f t="shared" si="10"/>
        <v>0.29761904761904762</v>
      </c>
      <c r="H30" s="549"/>
      <c r="I30" s="577">
        <v>55.2</v>
      </c>
      <c r="J30" s="951">
        <f t="shared" si="7"/>
        <v>55.2</v>
      </c>
      <c r="K30" s="914">
        <f>(0.5*I30)*(6/10)</f>
        <v>16.559999999999999</v>
      </c>
      <c r="L30" s="937">
        <f>I30-K30</f>
        <v>38.64</v>
      </c>
      <c r="M30" s="859" t="str">
        <f t="shared" si="6"/>
        <v>0%</v>
      </c>
      <c r="N30" s="1697"/>
      <c r="O30" s="1700"/>
      <c r="P30" s="1703"/>
      <c r="Q30" s="952" t="s">
        <v>172</v>
      </c>
      <c r="R30" s="138" t="s">
        <v>302</v>
      </c>
      <c r="S30" s="230" t="s">
        <v>466</v>
      </c>
    </row>
    <row r="31" spans="1:19" ht="34.9" customHeight="1" thickBot="1" x14ac:dyDescent="0.5">
      <c r="A31" s="16"/>
      <c r="B31" s="1690"/>
      <c r="C31" s="1694"/>
      <c r="D31" s="953" t="s">
        <v>117</v>
      </c>
      <c r="E31" s="868">
        <f t="shared" si="9"/>
        <v>0.8928571428571429</v>
      </c>
      <c r="F31" s="954" t="s">
        <v>223</v>
      </c>
      <c r="G31" s="868">
        <f>E31/1</f>
        <v>0.8928571428571429</v>
      </c>
      <c r="H31" s="578"/>
      <c r="I31" s="552"/>
      <c r="J31" s="955">
        <f t="shared" ref="J31" si="11">H31-I31</f>
        <v>0</v>
      </c>
      <c r="K31" s="921">
        <f>(100-I31)*(6/10)</f>
        <v>60</v>
      </c>
      <c r="L31" s="944">
        <f>K31+I31</f>
        <v>60</v>
      </c>
      <c r="M31" s="898">
        <f t="shared" ref="M31" si="12">IF(K31&lt;&gt;0,J31/K31,"0%")</f>
        <v>0</v>
      </c>
      <c r="N31" s="1698"/>
      <c r="O31" s="1701"/>
      <c r="P31" s="1679"/>
      <c r="Q31" s="956" t="s">
        <v>95</v>
      </c>
      <c r="R31" s="183"/>
      <c r="S31" s="155" t="s">
        <v>463</v>
      </c>
    </row>
    <row r="32" spans="1:19" ht="20.45" customHeight="1" thickBot="1" x14ac:dyDescent="0.5">
      <c r="B32" s="1724" t="s">
        <v>18</v>
      </c>
      <c r="C32" s="1725"/>
      <c r="D32" s="1725"/>
      <c r="E32" s="1725"/>
      <c r="F32" s="1726"/>
      <c r="G32" s="923"/>
      <c r="H32" s="184"/>
      <c r="I32" s="185"/>
      <c r="J32" s="957"/>
      <c r="K32" s="958"/>
      <c r="L32" s="959"/>
      <c r="M32" s="960"/>
      <c r="N32" s="833">
        <f>(N33+N34+N35+N36)/4</f>
        <v>0</v>
      </c>
      <c r="O32" s="834">
        <f>(O33+O34+O35+O36)</f>
        <v>0</v>
      </c>
      <c r="P32" s="835">
        <f>O32/14.285712</f>
        <v>0</v>
      </c>
      <c r="Q32" s="924"/>
      <c r="R32" s="250"/>
      <c r="S32" s="250"/>
    </row>
    <row r="33" spans="1:19" ht="33.6" customHeight="1" thickBot="1" x14ac:dyDescent="0.5">
      <c r="A33" s="16">
        <v>6</v>
      </c>
      <c r="B33" s="961" t="s">
        <v>19</v>
      </c>
      <c r="C33" s="962">
        <f>$M$5</f>
        <v>3.5714285714285716</v>
      </c>
      <c r="D33" s="963" t="s">
        <v>287</v>
      </c>
      <c r="E33" s="964">
        <f>C33/1</f>
        <v>3.5714285714285716</v>
      </c>
      <c r="F33" s="961" t="s">
        <v>288</v>
      </c>
      <c r="G33" s="962">
        <f>E33/1</f>
        <v>3.5714285714285716</v>
      </c>
      <c r="H33" s="579"/>
      <c r="I33" s="171">
        <v>2.4</v>
      </c>
      <c r="J33" s="965">
        <f>IF(H33&lt;7,(H33-7),(H33-I33))</f>
        <v>-7</v>
      </c>
      <c r="K33" s="966">
        <f>IF((7-H33&gt;=0),(7-H33),0)</f>
        <v>7</v>
      </c>
      <c r="L33" s="967">
        <f>IF((I33&lt;7),7,I33)</f>
        <v>7</v>
      </c>
      <c r="M33" s="859" t="str">
        <f>IF(H33=0,"0%",J33/K33)</f>
        <v>0%</v>
      </c>
      <c r="N33" s="969">
        <f>((G33/C33)*M33)</f>
        <v>0</v>
      </c>
      <c r="O33" s="970">
        <f>IF(((G33/C33)*M33)&gt;=1,3.571428,IF(((G33/C33)*M33)&lt;=-1,-3.571428,((G33/C33)*M33)*3.571428))</f>
        <v>0</v>
      </c>
      <c r="P33" s="835">
        <f>O33/3.571428</f>
        <v>0</v>
      </c>
      <c r="Q33" s="971" t="s">
        <v>97</v>
      </c>
      <c r="R33" s="518" t="s">
        <v>293</v>
      </c>
      <c r="S33" s="230" t="s">
        <v>466</v>
      </c>
    </row>
    <row r="34" spans="1:19" ht="51" customHeight="1" thickBot="1" x14ac:dyDescent="0.5">
      <c r="A34" s="16">
        <v>7</v>
      </c>
      <c r="B34" s="961" t="s">
        <v>20</v>
      </c>
      <c r="C34" s="962">
        <f t="shared" ref="C34:C36" si="13">$M$5</f>
        <v>3.5714285714285716</v>
      </c>
      <c r="D34" s="961" t="s">
        <v>118</v>
      </c>
      <c r="E34" s="964">
        <f t="shared" ref="E34:E36" si="14">C34/1</f>
        <v>3.5714285714285716</v>
      </c>
      <c r="F34" s="961" t="s">
        <v>21</v>
      </c>
      <c r="G34" s="962">
        <f>E34/1</f>
        <v>3.5714285714285716</v>
      </c>
      <c r="H34" s="579"/>
      <c r="I34" s="580"/>
      <c r="J34" s="975">
        <f>H34-I34</f>
        <v>0</v>
      </c>
      <c r="K34" s="976">
        <f>(0.5*I34)*(6/10)</f>
        <v>0</v>
      </c>
      <c r="L34" s="977">
        <f>K34+I34</f>
        <v>0</v>
      </c>
      <c r="M34" s="968" t="str">
        <f>IF(K34&lt;&gt;0,J34/K34,"0%")</f>
        <v>0%</v>
      </c>
      <c r="N34" s="969">
        <f>((G34/C34)*M34)</f>
        <v>0</v>
      </c>
      <c r="O34" s="970">
        <f>IF(((G34/C34)*M34)&gt;=1,3.571428,IF(((G34/C34)*M34)&lt;=-1,-3.571428,((G34/C34)*M34)*3.571428))</f>
        <v>0</v>
      </c>
      <c r="P34" s="835">
        <f t="shared" ref="P34:P36" si="15">O34/3.571428</f>
        <v>0</v>
      </c>
      <c r="Q34" s="971" t="s">
        <v>173</v>
      </c>
      <c r="R34" s="187"/>
      <c r="S34" s="155" t="s">
        <v>463</v>
      </c>
    </row>
    <row r="35" spans="1:19" ht="40.799999999999997" customHeight="1" thickBot="1" x14ac:dyDescent="0.5">
      <c r="A35" s="16">
        <v>8</v>
      </c>
      <c r="B35" s="961" t="s">
        <v>22</v>
      </c>
      <c r="C35" s="962">
        <f t="shared" si="13"/>
        <v>3.5714285714285716</v>
      </c>
      <c r="D35" s="961" t="s">
        <v>119</v>
      </c>
      <c r="E35" s="964">
        <f t="shared" si="14"/>
        <v>3.5714285714285716</v>
      </c>
      <c r="F35" s="961" t="s">
        <v>23</v>
      </c>
      <c r="G35" s="962">
        <f>E35/1</f>
        <v>3.5714285714285716</v>
      </c>
      <c r="H35" s="474"/>
      <c r="I35" s="475"/>
      <c r="J35" s="978">
        <f>H35-I35</f>
        <v>0</v>
      </c>
      <c r="K35" s="979">
        <f>IF((I35&gt;=1),0,((1-I35)*0.6))</f>
        <v>0.6</v>
      </c>
      <c r="L35" s="967">
        <f>I35+K35</f>
        <v>0.6</v>
      </c>
      <c r="M35" s="968">
        <f>IF(K35&lt;&gt;0,J35/K35,"0%")</f>
        <v>0</v>
      </c>
      <c r="N35" s="969">
        <f>((G35/C35)*M35)</f>
        <v>0</v>
      </c>
      <c r="O35" s="970">
        <f>IF(((G35/C35)*M35)&gt;=1,3.571428,IF(((G35/C35)*M35)&lt;=-1,-3.571428,((G35/C35)*M35)*3.571428))</f>
        <v>0</v>
      </c>
      <c r="P35" s="835">
        <f t="shared" si="15"/>
        <v>0</v>
      </c>
      <c r="Q35" s="971" t="s">
        <v>174</v>
      </c>
      <c r="R35" s="187"/>
      <c r="S35" s="155" t="s">
        <v>463</v>
      </c>
    </row>
    <row r="36" spans="1:19" ht="32.450000000000003" customHeight="1" thickBot="1" x14ac:dyDescent="0.5">
      <c r="A36" s="16">
        <v>9</v>
      </c>
      <c r="B36" s="961" t="s">
        <v>24</v>
      </c>
      <c r="C36" s="962">
        <f t="shared" si="13"/>
        <v>3.5714285714285716</v>
      </c>
      <c r="D36" s="961" t="s">
        <v>275</v>
      </c>
      <c r="E36" s="964">
        <f t="shared" si="14"/>
        <v>3.5714285714285716</v>
      </c>
      <c r="F36" s="980" t="s">
        <v>25</v>
      </c>
      <c r="G36" s="962">
        <f>E36/1</f>
        <v>3.5714285714285716</v>
      </c>
      <c r="H36" s="476"/>
      <c r="I36" s="475"/>
      <c r="J36" s="981">
        <f>H36-I36</f>
        <v>0</v>
      </c>
      <c r="K36" s="982">
        <f>(1*I36)*(6/10)</f>
        <v>0</v>
      </c>
      <c r="L36" s="983">
        <f>I36+K36</f>
        <v>0</v>
      </c>
      <c r="M36" s="968" t="str">
        <f>IF(K36&lt;&gt;0,J36/K36,"0%")</f>
        <v>0%</v>
      </c>
      <c r="N36" s="969">
        <f>((G36/C36)*M36)</f>
        <v>0</v>
      </c>
      <c r="O36" s="970">
        <f>IF(((G36/C36)*M36)&gt;=1,3.571428,IF(((G36/C36)*M36)&lt;=-1,-3.571428,((G36/C36)*M36)*3.571428))</f>
        <v>0</v>
      </c>
      <c r="P36" s="835">
        <f t="shared" si="15"/>
        <v>0</v>
      </c>
      <c r="Q36" s="984" t="s">
        <v>175</v>
      </c>
      <c r="R36" s="232"/>
      <c r="S36" s="155" t="s">
        <v>463</v>
      </c>
    </row>
    <row r="37" spans="1:19" ht="30.6" customHeight="1" thickBot="1" x14ac:dyDescent="0.5">
      <c r="B37" s="1718" t="s">
        <v>26</v>
      </c>
      <c r="C37" s="1719"/>
      <c r="D37" s="1719"/>
      <c r="E37" s="1719"/>
      <c r="F37" s="1720"/>
      <c r="G37" s="985"/>
      <c r="H37" s="1208"/>
      <c r="I37" s="1208"/>
      <c r="J37" s="986"/>
      <c r="K37" s="987"/>
      <c r="L37" s="987"/>
      <c r="M37" s="988"/>
      <c r="N37" s="833">
        <f>N38</f>
        <v>0</v>
      </c>
      <c r="O37" s="834">
        <f>O38</f>
        <v>0</v>
      </c>
      <c r="P37" s="835">
        <f>O37/3.571428</f>
        <v>0</v>
      </c>
      <c r="Q37" s="989"/>
      <c r="R37" s="249"/>
      <c r="S37" s="250"/>
    </row>
    <row r="38" spans="1:19" ht="25.8" customHeight="1" thickBot="1" x14ac:dyDescent="0.5">
      <c r="A38" s="1669">
        <v>10</v>
      </c>
      <c r="B38" s="1687" t="s">
        <v>27</v>
      </c>
      <c r="C38" s="1691">
        <f>M5</f>
        <v>3.5714285714285716</v>
      </c>
      <c r="D38" s="904" t="s">
        <v>120</v>
      </c>
      <c r="E38" s="853">
        <f>$C$38/2</f>
        <v>1.7857142857142858</v>
      </c>
      <c r="F38" s="990" t="s">
        <v>224</v>
      </c>
      <c r="G38" s="853">
        <f>E38/1</f>
        <v>1.7857142857142858</v>
      </c>
      <c r="H38" s="393"/>
      <c r="I38" s="394"/>
      <c r="J38" s="991">
        <f>H38-I38</f>
        <v>0</v>
      </c>
      <c r="K38" s="992">
        <f>(1*I38)*(6/10)</f>
        <v>0</v>
      </c>
      <c r="L38" s="993">
        <f>I38+K38</f>
        <v>0</v>
      </c>
      <c r="M38" s="859" t="str">
        <f>IF(K38&lt;&gt;0,J38/K38,"0%")</f>
        <v>0%</v>
      </c>
      <c r="N38" s="1715">
        <f>(((G38/C38)*M38)+((G39/C38)*M39))</f>
        <v>0</v>
      </c>
      <c r="O38" s="1676">
        <f>IF((((G38/C38)*M38)+((G39/C38)*M39))&gt;=1,3.57148,IF((((G38/C38)*M38)+((G39/C38)*M39))&lt;=-1,-3.57148, (((G38/C38)*M38)+((G39/C38)*M39))*3.571428))</f>
        <v>0</v>
      </c>
      <c r="P38" s="1678">
        <f>O38/3.571428</f>
        <v>0</v>
      </c>
      <c r="Q38" s="994" t="s">
        <v>176</v>
      </c>
      <c r="R38" s="262"/>
      <c r="S38" s="155" t="s">
        <v>463</v>
      </c>
    </row>
    <row r="39" spans="1:19" ht="35.25" thickBot="1" x14ac:dyDescent="0.5">
      <c r="A39" s="1669"/>
      <c r="B39" s="1688"/>
      <c r="C39" s="1692"/>
      <c r="D39" s="911" t="s">
        <v>157</v>
      </c>
      <c r="E39" s="868">
        <f>$C$38/2</f>
        <v>1.7857142857142858</v>
      </c>
      <c r="F39" s="995" t="s">
        <v>225</v>
      </c>
      <c r="G39" s="934">
        <f>E39/1</f>
        <v>1.7857142857142858</v>
      </c>
      <c r="H39" s="356"/>
      <c r="I39" s="386"/>
      <c r="J39" s="996">
        <f>H39-I39</f>
        <v>0</v>
      </c>
      <c r="K39" s="997">
        <f>IF(AND(I39&gt;=10,H39&gt;=I39),0,((10-H39)*(6/10)))</f>
        <v>6</v>
      </c>
      <c r="L39" s="998">
        <f>I39+K39</f>
        <v>6</v>
      </c>
      <c r="M39" s="874">
        <f>IF(K39&lt;&gt;0,J39/K39,"0%")</f>
        <v>0</v>
      </c>
      <c r="N39" s="1716"/>
      <c r="O39" s="1677"/>
      <c r="P39" s="1679"/>
      <c r="Q39" s="999" t="s">
        <v>95</v>
      </c>
      <c r="R39" s="258"/>
      <c r="S39" s="155" t="s">
        <v>463</v>
      </c>
    </row>
    <row r="40" spans="1:19" ht="20.45" customHeight="1" thickBot="1" x14ac:dyDescent="0.5">
      <c r="B40" s="1730" t="s">
        <v>28</v>
      </c>
      <c r="C40" s="1731"/>
      <c r="D40" s="1731"/>
      <c r="E40" s="1732"/>
      <c r="F40" s="1733"/>
      <c r="G40" s="985"/>
      <c r="H40" s="189"/>
      <c r="I40" s="189"/>
      <c r="J40" s="1000"/>
      <c r="K40" s="1001"/>
      <c r="L40" s="1001"/>
      <c r="M40" s="1002"/>
      <c r="N40" s="833">
        <f>N41</f>
        <v>0</v>
      </c>
      <c r="O40" s="834">
        <f>O41</f>
        <v>0</v>
      </c>
      <c r="P40" s="835">
        <f>O40/3.571428</f>
        <v>0</v>
      </c>
      <c r="Q40" s="1003"/>
      <c r="R40" s="263"/>
      <c r="S40" s="255"/>
    </row>
    <row r="41" spans="1:19" ht="35.25" thickBot="1" x14ac:dyDescent="0.5">
      <c r="A41" s="1669">
        <v>11</v>
      </c>
      <c r="B41" s="1734" t="s">
        <v>29</v>
      </c>
      <c r="C41" s="1736">
        <f>M5</f>
        <v>3.5714285714285716</v>
      </c>
      <c r="D41" s="1004" t="s">
        <v>121</v>
      </c>
      <c r="E41" s="1005">
        <f>$C$41/2</f>
        <v>1.7857142857142858</v>
      </c>
      <c r="F41" s="880" t="s">
        <v>30</v>
      </c>
      <c r="G41" s="1006">
        <f>E41/1</f>
        <v>1.7857142857142858</v>
      </c>
      <c r="H41" s="364"/>
      <c r="I41" s="581"/>
      <c r="J41" s="1007">
        <f>H41-I41</f>
        <v>0</v>
      </c>
      <c r="K41" s="1008">
        <f>(0.5*I41)*(6/10)</f>
        <v>0</v>
      </c>
      <c r="L41" s="1009">
        <f>I41+K41</f>
        <v>0</v>
      </c>
      <c r="M41" s="859" t="str">
        <f>IF(K41&lt;&gt;0,J41/K41,"0%")</f>
        <v>0%</v>
      </c>
      <c r="N41" s="1738">
        <f>(((G41/C41)*M41)+(G42/C41)*M42)</f>
        <v>0</v>
      </c>
      <c r="O41" s="1676">
        <f>IF((((G41/C41)*M41)+((G42/C41)*M42))&gt;=1,3.57148,IF((((G41/C41)*M41)+((G42/C41)*M42))&lt;=-1,-3.57148, (((G41/C41)*M41)+((G42/C41)*M42))*3.571428))</f>
        <v>0</v>
      </c>
      <c r="P41" s="1678">
        <f>O41/3.571428</f>
        <v>0</v>
      </c>
      <c r="Q41" s="1010" t="s">
        <v>177</v>
      </c>
      <c r="R41" s="487" t="s">
        <v>414</v>
      </c>
      <c r="S41" s="372" t="s">
        <v>438</v>
      </c>
    </row>
    <row r="42" spans="1:19" ht="23.65" thickBot="1" x14ac:dyDescent="0.5">
      <c r="A42" s="1669"/>
      <c r="B42" s="1735"/>
      <c r="C42" s="1737"/>
      <c r="D42" s="1011" t="s">
        <v>122</v>
      </c>
      <c r="E42" s="939">
        <f>$C$41/2</f>
        <v>1.7857142857142858</v>
      </c>
      <c r="F42" s="891" t="s">
        <v>31</v>
      </c>
      <c r="G42" s="1012">
        <f>E42/1</f>
        <v>1.7857142857142858</v>
      </c>
      <c r="H42" s="582"/>
      <c r="I42" s="583"/>
      <c r="J42" s="1013">
        <f>H42-I42</f>
        <v>0</v>
      </c>
      <c r="K42" s="896">
        <f>(0.5*I42)*(6/10)</f>
        <v>0</v>
      </c>
      <c r="L42" s="1014">
        <f>I42+K42</f>
        <v>0</v>
      </c>
      <c r="M42" s="874" t="str">
        <f>IF(K42&lt;&gt;0,J42/K42,"0%")</f>
        <v>0%</v>
      </c>
      <c r="N42" s="1738"/>
      <c r="O42" s="1677"/>
      <c r="P42" s="1679"/>
      <c r="Q42" s="1010" t="s">
        <v>95</v>
      </c>
      <c r="R42" s="488"/>
      <c r="S42" s="372" t="s">
        <v>438</v>
      </c>
    </row>
    <row r="43" spans="1:19" ht="30.6" customHeight="1" thickBot="1" x14ac:dyDescent="0.5">
      <c r="B43" s="1704" t="s">
        <v>32</v>
      </c>
      <c r="C43" s="1705"/>
      <c r="D43" s="1705"/>
      <c r="E43" s="1705"/>
      <c r="F43" s="1706"/>
      <c r="G43" s="923"/>
      <c r="H43" s="190"/>
      <c r="I43" s="190"/>
      <c r="J43" s="1015"/>
      <c r="K43" s="1016"/>
      <c r="L43" s="1016"/>
      <c r="M43" s="923"/>
      <c r="N43" s="833">
        <f>N44</f>
        <v>0</v>
      </c>
      <c r="O43" s="834">
        <f>O44</f>
        <v>0</v>
      </c>
      <c r="P43" s="835">
        <f>O43/3.571428</f>
        <v>0</v>
      </c>
      <c r="Q43" s="1017"/>
      <c r="R43" s="255"/>
      <c r="S43" s="255"/>
    </row>
    <row r="44" spans="1:19" ht="37.799999999999997" customHeight="1" thickBot="1" x14ac:dyDescent="0.5">
      <c r="A44" s="1669">
        <v>12</v>
      </c>
      <c r="B44" s="1727" t="s">
        <v>33</v>
      </c>
      <c r="C44" s="1691">
        <f>M5</f>
        <v>3.5714285714285716</v>
      </c>
      <c r="D44" s="926" t="s">
        <v>123</v>
      </c>
      <c r="E44" s="1018">
        <f>C44/2</f>
        <v>1.7857142857142858</v>
      </c>
      <c r="F44" s="926" t="s">
        <v>34</v>
      </c>
      <c r="G44" s="853">
        <f>$E$44/1</f>
        <v>1.7857142857142858</v>
      </c>
      <c r="H44" s="362"/>
      <c r="I44" s="375"/>
      <c r="J44" s="1019">
        <f>IF(I44=H44,(H44-30),H44-I44)</f>
        <v>-30</v>
      </c>
      <c r="K44" s="909">
        <f>IF(I44&gt;=30,0,((30-I44)*(6/10)))</f>
        <v>18</v>
      </c>
      <c r="L44" s="1020">
        <f>I44+K44</f>
        <v>18</v>
      </c>
      <c r="M44" s="859" t="str">
        <f>IF(H44=0,"0%",J44/K44)</f>
        <v>0%</v>
      </c>
      <c r="N44" s="1715">
        <f>(((G44/C44)*M44)+((G45/C44)*M45))</f>
        <v>0</v>
      </c>
      <c r="O44" s="1676">
        <f>IF((((G44/C44)*M44)+((G45/C44)*M45))&gt;=1,3.57148,IF((((G44/C44)*M44)+((G45/C44)*M45))&lt;=-1,-3.57148, (((G44/C44)*M44)+((G45/C44)*M45))*3.571428))</f>
        <v>0</v>
      </c>
      <c r="P44" s="1678">
        <f>O44/3.571428</f>
        <v>0</v>
      </c>
      <c r="Q44" s="910" t="s">
        <v>178</v>
      </c>
      <c r="R44" s="266"/>
      <c r="S44" s="155" t="s">
        <v>463</v>
      </c>
    </row>
    <row r="45" spans="1:19" ht="35.25" thickBot="1" x14ac:dyDescent="0.5">
      <c r="A45" s="1669"/>
      <c r="B45" s="1728"/>
      <c r="C45" s="1729"/>
      <c r="D45" s="953" t="s">
        <v>124</v>
      </c>
      <c r="E45" s="1021">
        <f>(C44/2)</f>
        <v>1.7857142857142858</v>
      </c>
      <c r="F45" s="953" t="s">
        <v>35</v>
      </c>
      <c r="G45" s="868">
        <f>$E$45/1</f>
        <v>1.7857142857142858</v>
      </c>
      <c r="H45" s="360"/>
      <c r="I45" s="376"/>
      <c r="J45" s="1022">
        <f>IF(I45=H45,(H45-17),H45-I45)</f>
        <v>-17</v>
      </c>
      <c r="K45" s="1023">
        <f>IF(I45&gt;=17,0,((17-I45)*(6/10)))</f>
        <v>10.199999999999999</v>
      </c>
      <c r="L45" s="1024">
        <f>I45+K45</f>
        <v>10.199999999999999</v>
      </c>
      <c r="M45" s="1238" t="str">
        <f>IF(K45&lt;&gt;0,"0%",J45/K45)</f>
        <v>0%</v>
      </c>
      <c r="N45" s="1717"/>
      <c r="O45" s="1677"/>
      <c r="P45" s="1679"/>
      <c r="Q45" s="922" t="s">
        <v>179</v>
      </c>
      <c r="R45" s="267"/>
      <c r="S45" s="155" t="s">
        <v>463</v>
      </c>
    </row>
    <row r="46" spans="1:19" ht="30.6" customHeight="1" thickBot="1" x14ac:dyDescent="0.5">
      <c r="B46" s="1743" t="s">
        <v>36</v>
      </c>
      <c r="C46" s="1744"/>
      <c r="D46" s="1744"/>
      <c r="E46" s="1744"/>
      <c r="F46" s="1745"/>
      <c r="G46" s="1025"/>
      <c r="H46" s="122"/>
      <c r="I46" s="123"/>
      <c r="J46" s="1026"/>
      <c r="K46" s="1027"/>
      <c r="L46" s="1027"/>
      <c r="M46" s="1028"/>
      <c r="N46" s="833">
        <f>(N47+N50+N52)/3</f>
        <v>0.27777777777777779</v>
      </c>
      <c r="O46" s="834">
        <f>(O47+O50+O52)</f>
        <v>2.9761900000000003</v>
      </c>
      <c r="P46" s="835">
        <f>O46/10.714284</f>
        <v>0.27777777777777785</v>
      </c>
      <c r="Q46" s="1029"/>
      <c r="R46" s="268"/>
      <c r="S46" s="268"/>
    </row>
    <row r="47" spans="1:19" ht="20.45" customHeight="1" thickBot="1" x14ac:dyDescent="0.5">
      <c r="B47" s="1684" t="s">
        <v>37</v>
      </c>
      <c r="C47" s="1685"/>
      <c r="D47" s="1685"/>
      <c r="E47" s="1685"/>
      <c r="F47" s="1686"/>
      <c r="G47" s="1030"/>
      <c r="H47" s="189"/>
      <c r="I47" s="189"/>
      <c r="J47" s="1031"/>
      <c r="K47" s="1032"/>
      <c r="L47" s="1032"/>
      <c r="M47" s="923"/>
      <c r="N47" s="833">
        <f>N48</f>
        <v>0</v>
      </c>
      <c r="O47" s="834">
        <f>O48</f>
        <v>0</v>
      </c>
      <c r="P47" s="835">
        <f>O47/3.571428</f>
        <v>0</v>
      </c>
      <c r="Q47" s="1017"/>
      <c r="R47" s="255"/>
      <c r="S47" s="255"/>
    </row>
    <row r="48" spans="1:19" ht="37.799999999999997" customHeight="1" thickBot="1" x14ac:dyDescent="0.5">
      <c r="A48" s="1669">
        <v>13</v>
      </c>
      <c r="B48" s="1727" t="s">
        <v>38</v>
      </c>
      <c r="C48" s="1691">
        <f>M5</f>
        <v>3.5714285714285716</v>
      </c>
      <c r="D48" s="926" t="s">
        <v>125</v>
      </c>
      <c r="E48" s="853">
        <f>$C$48/2</f>
        <v>1.7857142857142858</v>
      </c>
      <c r="F48" s="1033" t="s">
        <v>289</v>
      </c>
      <c r="G48" s="853">
        <f>E48/1</f>
        <v>1.7857142857142858</v>
      </c>
      <c r="H48" s="362"/>
      <c r="I48" s="382"/>
      <c r="J48" s="1034">
        <f>H48-I48</f>
        <v>0</v>
      </c>
      <c r="K48" s="1035">
        <f>(0.5*I48)* (6/10)</f>
        <v>0</v>
      </c>
      <c r="L48" s="1036">
        <f>I48-K48</f>
        <v>0</v>
      </c>
      <c r="M48" s="887" t="str">
        <f>IF(K48&lt;&gt;0,J48/K48,"0%")</f>
        <v>0%</v>
      </c>
      <c r="N48" s="1746">
        <f>(((G48/C48)*M48)+((G49/C48)*M49))</f>
        <v>0</v>
      </c>
      <c r="O48" s="1676">
        <f>IF((((G48/C48)*M48)+((G49/C48)*M49))&gt;=1,3.57148,IF((((G48/C48)*M48)+((G49/C48)*M49))&lt;=-1,-3.57148, (((G48/C48)*M48)+((G49/C48)*M49))*3.571428))</f>
        <v>0</v>
      </c>
      <c r="P48" s="1678">
        <f>O48/3.571428</f>
        <v>0</v>
      </c>
      <c r="Q48" s="950" t="s">
        <v>95</v>
      </c>
      <c r="R48" s="262"/>
      <c r="S48" s="155" t="s">
        <v>463</v>
      </c>
    </row>
    <row r="49" spans="1:19" ht="30.6" customHeight="1" thickBot="1" x14ac:dyDescent="0.5">
      <c r="A49" s="1669"/>
      <c r="B49" s="1728"/>
      <c r="C49" s="1729"/>
      <c r="D49" s="953" t="s">
        <v>126</v>
      </c>
      <c r="E49" s="868">
        <f>$C$48/2</f>
        <v>1.7857142857142858</v>
      </c>
      <c r="F49" s="953" t="s">
        <v>290</v>
      </c>
      <c r="G49" s="868">
        <f>E49/1</f>
        <v>1.7857142857142858</v>
      </c>
      <c r="H49" s="383"/>
      <c r="I49" s="384"/>
      <c r="J49" s="955">
        <f>H49-I49</f>
        <v>0</v>
      </c>
      <c r="K49" s="1037">
        <f>(2*I49)*(6/10)</f>
        <v>0</v>
      </c>
      <c r="L49" s="1038">
        <f>I49+K49</f>
        <v>0</v>
      </c>
      <c r="M49" s="874" t="str">
        <f>IF(K49&lt;&gt;0,J49/K49,"0%")</f>
        <v>0%</v>
      </c>
      <c r="N49" s="1747"/>
      <c r="O49" s="1677"/>
      <c r="P49" s="1679"/>
      <c r="Q49" s="956" t="s">
        <v>95</v>
      </c>
      <c r="R49" s="264" t="s">
        <v>322</v>
      </c>
      <c r="S49" s="155" t="s">
        <v>463</v>
      </c>
    </row>
    <row r="50" spans="1:19" ht="15" customHeight="1" thickBot="1" x14ac:dyDescent="0.5">
      <c r="B50" s="1704" t="s">
        <v>39</v>
      </c>
      <c r="C50" s="1705"/>
      <c r="D50" s="1705"/>
      <c r="E50" s="1705"/>
      <c r="F50" s="1706"/>
      <c r="G50" s="1039"/>
      <c r="H50" s="191"/>
      <c r="I50" s="191"/>
      <c r="J50" s="1040"/>
      <c r="K50" s="1040"/>
      <c r="L50" s="1040"/>
      <c r="M50" s="1041"/>
      <c r="N50" s="833">
        <f>N51</f>
        <v>0.83333333333333337</v>
      </c>
      <c r="O50" s="834">
        <f>O51</f>
        <v>2.9761900000000003</v>
      </c>
      <c r="P50" s="835">
        <f>O50/3.571428</f>
        <v>0.83333333333333337</v>
      </c>
      <c r="Q50" s="1042"/>
      <c r="R50" s="269"/>
      <c r="S50" s="269"/>
    </row>
    <row r="51" spans="1:19" ht="30.6" customHeight="1" thickBot="1" x14ac:dyDescent="0.5">
      <c r="A51" s="15">
        <v>14</v>
      </c>
      <c r="B51" s="1043" t="s">
        <v>226</v>
      </c>
      <c r="C51" s="1044">
        <f>M5</f>
        <v>3.5714285714285716</v>
      </c>
      <c r="D51" s="1045" t="s">
        <v>272</v>
      </c>
      <c r="E51" s="1046">
        <f>C51</f>
        <v>3.5714285714285716</v>
      </c>
      <c r="F51" s="1047" t="s">
        <v>266</v>
      </c>
      <c r="G51" s="1048">
        <f>E51/1</f>
        <v>3.5714285714285716</v>
      </c>
      <c r="H51" s="554">
        <v>50</v>
      </c>
      <c r="I51" s="555">
        <v>0</v>
      </c>
      <c r="J51" s="1049">
        <f>H51-I51</f>
        <v>50</v>
      </c>
      <c r="K51" s="1050">
        <f>(100-I51)*(6/10)</f>
        <v>60</v>
      </c>
      <c r="L51" s="1051">
        <f>I51+K51</f>
        <v>60</v>
      </c>
      <c r="M51" s="898">
        <f>IF(K51&lt;&gt;0,J51/K51,"100%")</f>
        <v>0.83333333333333337</v>
      </c>
      <c r="N51" s="969">
        <f>((G51/C51)*M51)</f>
        <v>0.83333333333333337</v>
      </c>
      <c r="O51" s="970">
        <f>IF(((G51/C51)*M51)&gt;=1,3.571428,IF(((G51/C51)*M51)&lt;=-1,-3.571428,((G51/C51)*M51)*3.571428))</f>
        <v>2.9761900000000003</v>
      </c>
      <c r="P51" s="835">
        <f>O51/3.571428</f>
        <v>0.83333333333333337</v>
      </c>
      <c r="Q51" s="1052" t="s">
        <v>95</v>
      </c>
      <c r="R51" s="270"/>
      <c r="S51" s="556" t="s">
        <v>471</v>
      </c>
    </row>
    <row r="52" spans="1:19" ht="20.45" customHeight="1" thickBot="1" x14ac:dyDescent="0.5">
      <c r="B52" s="1704" t="s">
        <v>40</v>
      </c>
      <c r="C52" s="1705"/>
      <c r="D52" s="1705"/>
      <c r="E52" s="1705"/>
      <c r="F52" s="1706"/>
      <c r="G52" s="1030"/>
      <c r="H52" s="189"/>
      <c r="I52" s="189"/>
      <c r="J52" s="1031"/>
      <c r="K52" s="1032"/>
      <c r="L52" s="1032"/>
      <c r="M52" s="948"/>
      <c r="N52" s="833">
        <f>N53</f>
        <v>0</v>
      </c>
      <c r="O52" s="834">
        <f>O53</f>
        <v>0</v>
      </c>
      <c r="P52" s="835">
        <f>O52/3.571428</f>
        <v>0</v>
      </c>
      <c r="Q52" s="1053"/>
      <c r="R52" s="269"/>
      <c r="S52" s="269"/>
    </row>
    <row r="53" spans="1:19" ht="43.8" customHeight="1" thickBot="1" x14ac:dyDescent="0.5">
      <c r="A53" s="1669">
        <v>15</v>
      </c>
      <c r="B53" s="1687" t="s">
        <v>108</v>
      </c>
      <c r="C53" s="1691">
        <f>M5</f>
        <v>3.5714285714285716</v>
      </c>
      <c r="D53" s="1054" t="s">
        <v>127</v>
      </c>
      <c r="E53" s="1055">
        <f>$C$53/5</f>
        <v>0.7142857142857143</v>
      </c>
      <c r="F53" s="1056" t="s">
        <v>41</v>
      </c>
      <c r="G53" s="905">
        <f>E53/1</f>
        <v>0.7142857142857143</v>
      </c>
      <c r="H53" s="584"/>
      <c r="I53" s="548"/>
      <c r="J53" s="930">
        <f>H53-I53</f>
        <v>0</v>
      </c>
      <c r="K53" s="1035">
        <f>(100-I53)*(6/10)</f>
        <v>60</v>
      </c>
      <c r="L53" s="993">
        <f t="shared" ref="L53:L58" si="16">I53+K53</f>
        <v>60</v>
      </c>
      <c r="M53" s="859">
        <f t="shared" ref="M53:M55" si="17">IF(K53&lt;&gt;0,J53/K53,"0%")</f>
        <v>0</v>
      </c>
      <c r="N53" s="1740">
        <f>(((G53/C53)*M53)+((G54/C53)*M54)+((G55/C53)*M55)+((G56/C53)*M56)+((G57/C53)*M57)+((G58/C53)*M58))</f>
        <v>0</v>
      </c>
      <c r="O53" s="1751">
        <f>IF((((G53/C53)*M53)+((G54/C53)*M54)+((G55/C53)*M55)+((G56/C53)*M56)+((G57/C53)*M57)+((G58/C53)*M58))&gt;=1,3.571428,IF((((G53/C53)*M53)+((G54/C53)*M54)+((G55/C53)*M55)+((G56/C53)*M56)+((G57/C53)*M57)+((G58/C53)*M58))&lt;=-1,-3.571428,((((G53/C53)*M53)+((G54/C53)*M54)+((G55/C53)*M55)+((G56/C53)*M56)+((G57/C53)*M57)+((G58/C53)*M58))*3.571428)))</f>
        <v>0</v>
      </c>
      <c r="P53" s="1678">
        <f>O53/3.571428</f>
        <v>0</v>
      </c>
      <c r="Q53" s="1057" t="s">
        <v>95</v>
      </c>
      <c r="R53" s="490"/>
      <c r="S53" s="155" t="s">
        <v>463</v>
      </c>
    </row>
    <row r="54" spans="1:19" ht="35.450000000000003" customHeight="1" thickBot="1" x14ac:dyDescent="0.5">
      <c r="A54" s="1669"/>
      <c r="B54" s="1688"/>
      <c r="C54" s="1692"/>
      <c r="D54" s="1058" t="s">
        <v>128</v>
      </c>
      <c r="E54" s="1059">
        <f t="shared" ref="E54:E57" si="18">$C$53/5</f>
        <v>0.7142857142857143</v>
      </c>
      <c r="F54" s="1060" t="s">
        <v>42</v>
      </c>
      <c r="G54" s="912">
        <f>E54/1</f>
        <v>0.7142857142857143</v>
      </c>
      <c r="H54" s="549"/>
      <c r="I54" s="550"/>
      <c r="J54" s="936">
        <f>H54-I54</f>
        <v>0</v>
      </c>
      <c r="K54" s="997">
        <f>(100-I54)*(6/6)</f>
        <v>100</v>
      </c>
      <c r="L54" s="998">
        <f>I54+K54</f>
        <v>100</v>
      </c>
      <c r="M54" s="916">
        <f t="shared" si="17"/>
        <v>0</v>
      </c>
      <c r="N54" s="1741"/>
      <c r="O54" s="1700"/>
      <c r="P54" s="1703"/>
      <c r="Q54" s="1061" t="s">
        <v>95</v>
      </c>
      <c r="R54" s="485"/>
      <c r="S54" s="155" t="s">
        <v>463</v>
      </c>
    </row>
    <row r="55" spans="1:19" ht="34.25" customHeight="1" thickBot="1" x14ac:dyDescent="0.5">
      <c r="A55" s="1669"/>
      <c r="B55" s="1688"/>
      <c r="C55" s="1692"/>
      <c r="D55" s="1058" t="s">
        <v>129</v>
      </c>
      <c r="E55" s="1059">
        <f t="shared" si="18"/>
        <v>0.7142857142857143</v>
      </c>
      <c r="F55" s="1060" t="s">
        <v>43</v>
      </c>
      <c r="G55" s="912">
        <f>E55/1</f>
        <v>0.7142857142857143</v>
      </c>
      <c r="H55" s="551"/>
      <c r="I55" s="550"/>
      <c r="J55" s="936">
        <f>H55-I55</f>
        <v>0</v>
      </c>
      <c r="K55" s="997">
        <f>(100-I55)*(6/10)</f>
        <v>60</v>
      </c>
      <c r="L55" s="998">
        <f t="shared" si="16"/>
        <v>60</v>
      </c>
      <c r="M55" s="916">
        <f t="shared" si="17"/>
        <v>0</v>
      </c>
      <c r="N55" s="1741"/>
      <c r="O55" s="1700"/>
      <c r="P55" s="1703"/>
      <c r="Q55" s="1061" t="s">
        <v>95</v>
      </c>
      <c r="R55" s="485"/>
      <c r="S55" s="155" t="s">
        <v>463</v>
      </c>
    </row>
    <row r="56" spans="1:19" ht="37.25" customHeight="1" thickBot="1" x14ac:dyDescent="0.5">
      <c r="A56" s="1669"/>
      <c r="B56" s="1688"/>
      <c r="C56" s="1692"/>
      <c r="D56" s="1058" t="s">
        <v>130</v>
      </c>
      <c r="E56" s="1059">
        <f t="shared" si="18"/>
        <v>0.7142857142857143</v>
      </c>
      <c r="F56" s="1060" t="s">
        <v>44</v>
      </c>
      <c r="G56" s="912">
        <f>E56/1</f>
        <v>0.7142857142857143</v>
      </c>
      <c r="H56" s="575"/>
      <c r="I56" s="1493">
        <v>15.25</v>
      </c>
      <c r="J56" s="936">
        <f>H56-I56</f>
        <v>-15.25</v>
      </c>
      <c r="K56" s="1062">
        <f>(0.5*I56)*(6/7)</f>
        <v>6.5357142857142856</v>
      </c>
      <c r="L56" s="998">
        <f t="shared" si="16"/>
        <v>21.785714285714285</v>
      </c>
      <c r="M56" s="859" t="str">
        <f>IF(H56=0,"0%",J56/K56)</f>
        <v>0%</v>
      </c>
      <c r="N56" s="1741"/>
      <c r="O56" s="1700"/>
      <c r="P56" s="1703"/>
      <c r="Q56" s="1061" t="s">
        <v>101</v>
      </c>
      <c r="R56" s="354" t="s">
        <v>436</v>
      </c>
      <c r="S56" s="230" t="s">
        <v>466</v>
      </c>
    </row>
    <row r="57" spans="1:19" ht="22.8" customHeight="1" thickBot="1" x14ac:dyDescent="0.5">
      <c r="A57" s="1669"/>
      <c r="B57" s="1688"/>
      <c r="C57" s="1692"/>
      <c r="D57" s="1753" t="s">
        <v>131</v>
      </c>
      <c r="E57" s="1755">
        <f t="shared" si="18"/>
        <v>0.7142857142857143</v>
      </c>
      <c r="F57" s="1060" t="s">
        <v>45</v>
      </c>
      <c r="G57" s="912">
        <f>$E$57/2</f>
        <v>0.35714285714285715</v>
      </c>
      <c r="H57" s="585"/>
      <c r="I57" s="577">
        <v>42.2</v>
      </c>
      <c r="J57" s="936">
        <f t="shared" ref="J57:J58" si="19">H57-I57</f>
        <v>-42.2</v>
      </c>
      <c r="K57" s="1064">
        <f>(1*I57)*(6/10)</f>
        <v>25.32</v>
      </c>
      <c r="L57" s="998">
        <f t="shared" si="16"/>
        <v>67.52000000000001</v>
      </c>
      <c r="M57" s="859" t="str">
        <f>IF(H57=0,"0%",J57/K57)</f>
        <v>0%</v>
      </c>
      <c r="N57" s="1741"/>
      <c r="O57" s="1700"/>
      <c r="P57" s="1703"/>
      <c r="Q57" s="1061" t="s">
        <v>180</v>
      </c>
      <c r="R57" s="354"/>
      <c r="S57" s="230" t="s">
        <v>466</v>
      </c>
    </row>
    <row r="58" spans="1:19" ht="15" customHeight="1" thickBot="1" x14ac:dyDescent="0.5">
      <c r="A58" s="1669"/>
      <c r="B58" s="1739"/>
      <c r="C58" s="1729"/>
      <c r="D58" s="1754"/>
      <c r="E58" s="1756"/>
      <c r="F58" s="867" t="s">
        <v>46</v>
      </c>
      <c r="G58" s="919">
        <f>$E$57/2</f>
        <v>0.35714285714285715</v>
      </c>
      <c r="H58" s="385"/>
      <c r="I58" s="376"/>
      <c r="J58" s="943">
        <f t="shared" si="19"/>
        <v>0</v>
      </c>
      <c r="K58" s="1037">
        <f>(1*I58)*(6/10)</f>
        <v>0</v>
      </c>
      <c r="L58" s="1065">
        <f t="shared" si="16"/>
        <v>0</v>
      </c>
      <c r="M58" s="874" t="str">
        <f>IF(K58&lt;&gt;0,J58/K58,"0%")</f>
        <v>0%</v>
      </c>
      <c r="N58" s="1742"/>
      <c r="O58" s="1701"/>
      <c r="P58" s="1679"/>
      <c r="Q58" s="1066" t="s">
        <v>95</v>
      </c>
      <c r="R58" s="355" t="s">
        <v>436</v>
      </c>
      <c r="S58" s="155" t="s">
        <v>463</v>
      </c>
    </row>
    <row r="59" spans="1:19" ht="23.45" customHeight="1" thickBot="1" x14ac:dyDescent="0.5">
      <c r="B59" s="1743" t="s">
        <v>47</v>
      </c>
      <c r="C59" s="1744"/>
      <c r="D59" s="1744"/>
      <c r="E59" s="1744"/>
      <c r="F59" s="1745"/>
      <c r="G59" s="1067"/>
      <c r="H59" s="192"/>
      <c r="I59" s="192"/>
      <c r="J59" s="1068"/>
      <c r="K59" s="1068"/>
      <c r="L59" s="1068"/>
      <c r="M59" s="1028"/>
      <c r="N59" s="833">
        <f>(N60+N67)/2</f>
        <v>0.1388888888888889</v>
      </c>
      <c r="O59" s="834">
        <f>(O60+O67)</f>
        <v>0.99206333333333341</v>
      </c>
      <c r="P59" s="835">
        <f>O59/7.142856</f>
        <v>0.1388888888888889</v>
      </c>
      <c r="Q59" s="1069"/>
      <c r="R59" s="272"/>
      <c r="S59" s="273"/>
    </row>
    <row r="60" spans="1:19" ht="22.25" customHeight="1" thickBot="1" x14ac:dyDescent="0.5">
      <c r="B60" s="1704" t="s">
        <v>48</v>
      </c>
      <c r="C60" s="1705"/>
      <c r="D60" s="1705"/>
      <c r="E60" s="1705"/>
      <c r="F60" s="1706"/>
      <c r="G60" s="923"/>
      <c r="H60" s="396"/>
      <c r="I60" s="396"/>
      <c r="J60" s="946"/>
      <c r="K60" s="947"/>
      <c r="L60" s="947"/>
      <c r="M60" s="923"/>
      <c r="N60" s="833">
        <f>N61</f>
        <v>0.27777777777777779</v>
      </c>
      <c r="O60" s="834">
        <f>O61</f>
        <v>0.99206333333333341</v>
      </c>
      <c r="P60" s="835">
        <f>O60/3.571428</f>
        <v>0.27777777777777779</v>
      </c>
      <c r="Q60" s="924"/>
      <c r="R60" s="255"/>
      <c r="S60" s="255"/>
    </row>
    <row r="61" spans="1:19" ht="39" customHeight="1" thickBot="1" x14ac:dyDescent="0.5">
      <c r="A61" s="1669">
        <v>16</v>
      </c>
      <c r="B61" s="1687" t="s">
        <v>49</v>
      </c>
      <c r="C61" s="1691">
        <f>M5</f>
        <v>3.5714285714285716</v>
      </c>
      <c r="D61" s="926" t="s">
        <v>133</v>
      </c>
      <c r="E61" s="853">
        <f>$C$61/4</f>
        <v>0.8928571428571429</v>
      </c>
      <c r="F61" s="926" t="s">
        <v>50</v>
      </c>
      <c r="G61" s="905">
        <f>E61/1</f>
        <v>0.8928571428571429</v>
      </c>
      <c r="H61" s="492"/>
      <c r="I61" s="492"/>
      <c r="J61" s="1019">
        <f>IF(I61=H61,(H61-70),H61-I61)</f>
        <v>-70</v>
      </c>
      <c r="K61" s="909">
        <f>IF(I61&gt;=70,0,((70-I61)*(6/10)))</f>
        <v>42</v>
      </c>
      <c r="L61" s="1070">
        <f t="shared" ref="L61:L66" si="20">I61+K61</f>
        <v>42</v>
      </c>
      <c r="M61" s="859" t="str">
        <f>IF(H61=0,"0%",J61/K61)</f>
        <v>0%</v>
      </c>
      <c r="N61" s="1748">
        <f>(((G61/C61)*M61)+((G62/C61)*M62)+((G63/C61)*M63)+((G64/C61)*M64)+((G65/C61)*M65)+((G66/C61)*M66))</f>
        <v>0.27777777777777779</v>
      </c>
      <c r="O61" s="1804">
        <f>IF((((G61/C61)*M61)+((G62/C61)*M62)+((G63/C61)*M63)+((G64/C61)*M64)+((G65/C61)*M65)+((G66/C61)*M66))&gt;=1,3.571428,IF((((G61/C61)*M61)+((G62/C61)*M62)+((G63/C61)*M63)+((G64/C61)*M64)+((G65/C61)*M65)+((G66/C61)*M66))&lt;=-1,-3.571428,((((G61/C61)*M61)+((G62/C61)*M62)+((G63/C61)*M63)+((G64/C61)*M64)+((G65/C61)*M65)+((G66/C61)*M66))*3.571428)))</f>
        <v>0.99206333333333341</v>
      </c>
      <c r="P61" s="1678">
        <f>O61/3.571428</f>
        <v>0.27777777777777779</v>
      </c>
      <c r="Q61" s="994" t="s">
        <v>181</v>
      </c>
      <c r="R61" s="493"/>
      <c r="S61" s="155" t="s">
        <v>463</v>
      </c>
    </row>
    <row r="62" spans="1:19" ht="58.25" customHeight="1" thickBot="1" x14ac:dyDescent="0.5">
      <c r="A62" s="1669"/>
      <c r="B62" s="1688"/>
      <c r="C62" s="1692"/>
      <c r="D62" s="933" t="s">
        <v>134</v>
      </c>
      <c r="E62" s="934">
        <f t="shared" ref="E62:E63" si="21">$C$61/4</f>
        <v>0.8928571428571429</v>
      </c>
      <c r="F62" s="1058" t="s">
        <v>276</v>
      </c>
      <c r="G62" s="912">
        <f>$E$62/1</f>
        <v>0.8928571428571429</v>
      </c>
      <c r="H62" s="525"/>
      <c r="I62" s="525"/>
      <c r="J62" s="1071">
        <f>IF(I62=H62,(H62-70),H62-I62)</f>
        <v>-70</v>
      </c>
      <c r="K62" s="914">
        <f t="shared" ref="K62:K63" si="22">IF(I62&gt;=70,0,((70-I62)*(6/10)))</f>
        <v>42</v>
      </c>
      <c r="L62" s="1072">
        <f t="shared" si="20"/>
        <v>42</v>
      </c>
      <c r="M62" s="859" t="str">
        <f>IF(H62=0,"0%",J62/K62)</f>
        <v>0%</v>
      </c>
      <c r="N62" s="1749"/>
      <c r="O62" s="1700"/>
      <c r="P62" s="1703"/>
      <c r="Q62" s="999" t="s">
        <v>182</v>
      </c>
      <c r="R62" s="494" t="s">
        <v>415</v>
      </c>
      <c r="S62" s="155" t="s">
        <v>463</v>
      </c>
    </row>
    <row r="63" spans="1:19" ht="26.45" customHeight="1" thickBot="1" x14ac:dyDescent="0.5">
      <c r="A63" s="1669"/>
      <c r="B63" s="1688"/>
      <c r="C63" s="1692"/>
      <c r="D63" s="933" t="s">
        <v>135</v>
      </c>
      <c r="E63" s="934">
        <f t="shared" si="21"/>
        <v>0.8928571428571429</v>
      </c>
      <c r="F63" s="933" t="s">
        <v>51</v>
      </c>
      <c r="G63" s="912">
        <f>E63/1</f>
        <v>0.8928571428571429</v>
      </c>
      <c r="H63" s="525"/>
      <c r="I63" s="525"/>
      <c r="J63" s="1071">
        <f>IF(I63=H63,(H63-70),H63-I63)</f>
        <v>-70</v>
      </c>
      <c r="K63" s="914">
        <f t="shared" si="22"/>
        <v>42</v>
      </c>
      <c r="L63" s="1072">
        <f t="shared" si="20"/>
        <v>42</v>
      </c>
      <c r="M63" s="859" t="str">
        <f>IF(H63=0,"0%",J63/K63)</f>
        <v>0%</v>
      </c>
      <c r="N63" s="1749"/>
      <c r="O63" s="1700"/>
      <c r="P63" s="1703"/>
      <c r="Q63" s="999" t="s">
        <v>95</v>
      </c>
      <c r="R63" s="495"/>
      <c r="S63" s="155" t="s">
        <v>463</v>
      </c>
    </row>
    <row r="64" spans="1:19" ht="15" customHeight="1" thickBot="1" x14ac:dyDescent="0.5">
      <c r="A64" s="1669"/>
      <c r="B64" s="1688"/>
      <c r="C64" s="1692"/>
      <c r="D64" s="1721" t="s">
        <v>136</v>
      </c>
      <c r="E64" s="1723">
        <f>$C$61/4</f>
        <v>0.8928571428571429</v>
      </c>
      <c r="F64" s="1073" t="s">
        <v>52</v>
      </c>
      <c r="G64" s="1074">
        <f>$E$64/3</f>
        <v>0.29761904761904762</v>
      </c>
      <c r="H64" s="586">
        <v>100</v>
      </c>
      <c r="I64" s="586">
        <v>0</v>
      </c>
      <c r="J64" s="1075">
        <f t="shared" ref="J64:J66" si="23">H64-I64</f>
        <v>100</v>
      </c>
      <c r="K64" s="1076">
        <f>(100-I64)*(6/10)</f>
        <v>60</v>
      </c>
      <c r="L64" s="1072">
        <f t="shared" si="20"/>
        <v>60</v>
      </c>
      <c r="M64" s="916">
        <f t="shared" ref="M64:M66" si="24">IF(K64&lt;&gt;0,J64/K64,"100%")</f>
        <v>1.6666666666666667</v>
      </c>
      <c r="N64" s="1749"/>
      <c r="O64" s="1700"/>
      <c r="P64" s="1703"/>
      <c r="Q64" s="999" t="s">
        <v>95</v>
      </c>
      <c r="R64" s="496"/>
      <c r="S64" s="489" t="s">
        <v>416</v>
      </c>
    </row>
    <row r="65" spans="1:19" ht="14.65" thickBot="1" x14ac:dyDescent="0.5">
      <c r="A65" s="1669"/>
      <c r="B65" s="1688"/>
      <c r="C65" s="1692"/>
      <c r="D65" s="1721"/>
      <c r="E65" s="1723"/>
      <c r="F65" s="1073" t="s">
        <v>53</v>
      </c>
      <c r="G65" s="1074">
        <f t="shared" ref="G65:G66" si="25">$E$64/3</f>
        <v>0.29761904761904762</v>
      </c>
      <c r="H65" s="586">
        <v>100</v>
      </c>
      <c r="I65" s="586">
        <v>0</v>
      </c>
      <c r="J65" s="1075">
        <f t="shared" si="23"/>
        <v>100</v>
      </c>
      <c r="K65" s="1076">
        <f>(100-I65)*(6/10)</f>
        <v>60</v>
      </c>
      <c r="L65" s="1072">
        <f t="shared" si="20"/>
        <v>60</v>
      </c>
      <c r="M65" s="916">
        <f t="shared" si="24"/>
        <v>1.6666666666666667</v>
      </c>
      <c r="N65" s="1749"/>
      <c r="O65" s="1700"/>
      <c r="P65" s="1703"/>
      <c r="Q65" s="999" t="s">
        <v>95</v>
      </c>
      <c r="R65" s="495"/>
      <c r="S65" s="489" t="s">
        <v>416</v>
      </c>
    </row>
    <row r="66" spans="1:19" ht="27.6" customHeight="1" thickBot="1" x14ac:dyDescent="0.5">
      <c r="A66" s="1669"/>
      <c r="B66" s="1739"/>
      <c r="C66" s="1729"/>
      <c r="D66" s="1728"/>
      <c r="E66" s="1752"/>
      <c r="F66" s="1077" t="s">
        <v>54</v>
      </c>
      <c r="G66" s="1078">
        <f t="shared" si="25"/>
        <v>0.29761904761904762</v>
      </c>
      <c r="H66" s="587"/>
      <c r="I66" s="587"/>
      <c r="J66" s="1079">
        <f t="shared" si="23"/>
        <v>0</v>
      </c>
      <c r="K66" s="1080">
        <f>(100-I66)*(6/10)</f>
        <v>60</v>
      </c>
      <c r="L66" s="1081">
        <f t="shared" si="20"/>
        <v>60</v>
      </c>
      <c r="M66" s="874">
        <f t="shared" si="24"/>
        <v>0</v>
      </c>
      <c r="N66" s="1750"/>
      <c r="O66" s="1701"/>
      <c r="P66" s="1679"/>
      <c r="Q66" s="1082" t="s">
        <v>95</v>
      </c>
      <c r="R66" s="488"/>
      <c r="S66" s="155" t="s">
        <v>463</v>
      </c>
    </row>
    <row r="67" spans="1:19" ht="27" customHeight="1" thickBot="1" x14ac:dyDescent="0.5">
      <c r="B67" s="1684" t="s">
        <v>55</v>
      </c>
      <c r="C67" s="1685"/>
      <c r="D67" s="1685"/>
      <c r="E67" s="1685"/>
      <c r="F67" s="1686"/>
      <c r="G67" s="1015"/>
      <c r="H67" s="397"/>
      <c r="I67" s="397"/>
      <c r="J67" s="1015"/>
      <c r="K67" s="1016"/>
      <c r="L67" s="1016"/>
      <c r="M67" s="923"/>
      <c r="N67" s="833">
        <f>N68</f>
        <v>0</v>
      </c>
      <c r="O67" s="834">
        <f>O68</f>
        <v>0</v>
      </c>
      <c r="P67" s="835">
        <f>O67/3.571428</f>
        <v>0</v>
      </c>
      <c r="Q67" s="1083"/>
      <c r="R67" s="274"/>
      <c r="S67" s="269"/>
    </row>
    <row r="68" spans="1:19" ht="58.5" thickBot="1" x14ac:dyDescent="0.5">
      <c r="A68" s="16">
        <v>17</v>
      </c>
      <c r="B68" s="1084" t="s">
        <v>56</v>
      </c>
      <c r="C68" s="1085">
        <f>M5</f>
        <v>3.5714285714285716</v>
      </c>
      <c r="D68" s="1084" t="s">
        <v>137</v>
      </c>
      <c r="E68" s="1085">
        <f>C68</f>
        <v>3.5714285714285716</v>
      </c>
      <c r="F68" s="1084" t="s">
        <v>57</v>
      </c>
      <c r="G68" s="1086">
        <f>E68/1</f>
        <v>3.5714285714285716</v>
      </c>
      <c r="H68" s="359"/>
      <c r="I68" s="224"/>
      <c r="J68" s="1089">
        <f>IF(I68=H68,(H68-70),I68-H68)</f>
        <v>-70</v>
      </c>
      <c r="K68" s="982">
        <f t="shared" ref="K68" si="26">IF(I68&gt;=70,0,((70-I68)*(6/10)))</f>
        <v>42</v>
      </c>
      <c r="L68" s="1090">
        <f>I68-K68</f>
        <v>-42</v>
      </c>
      <c r="M68" s="859" t="str">
        <f>IF(H68=0,"0%",J68/K68)</f>
        <v>0%</v>
      </c>
      <c r="N68" s="1091">
        <f>((G68/C68)*M68)</f>
        <v>0</v>
      </c>
      <c r="O68" s="970">
        <f>IF(((G68/C68)*M68)&gt;=1,3.571428,IF(((G68/C68)*M68)&lt;=-1,-3.571428,((G68/C68)*M68)*3.571428))</f>
        <v>0</v>
      </c>
      <c r="P68" s="835">
        <f>O68/3.571428</f>
        <v>0</v>
      </c>
      <c r="Q68" s="1092" t="s">
        <v>132</v>
      </c>
      <c r="R68" s="275"/>
      <c r="S68" s="155" t="s">
        <v>463</v>
      </c>
    </row>
    <row r="69" spans="1:19" ht="22.25" customHeight="1" thickBot="1" x14ac:dyDescent="0.5">
      <c r="B69" s="1575" t="s">
        <v>58</v>
      </c>
      <c r="C69" s="1576"/>
      <c r="D69" s="1576"/>
      <c r="E69" s="1576"/>
      <c r="F69" s="1577"/>
      <c r="G69" s="173"/>
      <c r="H69" s="128"/>
      <c r="I69" s="193"/>
      <c r="J69" s="174"/>
      <c r="K69" s="79"/>
      <c r="L69" s="79"/>
      <c r="M69" s="1093"/>
      <c r="N69" s="833">
        <f>(N70+N72+N74)/3</f>
        <v>0.33333333333333331</v>
      </c>
      <c r="O69" s="834">
        <f>(O70+O72+O74)</f>
        <v>3.571428</v>
      </c>
      <c r="P69" s="835">
        <f>O69/10.714284</f>
        <v>0.33333333333333337</v>
      </c>
      <c r="Q69" s="808"/>
      <c r="R69" s="193"/>
      <c r="S69" s="276"/>
    </row>
    <row r="70" spans="1:19" ht="20.45" customHeight="1" thickBot="1" x14ac:dyDescent="0.5">
      <c r="B70" s="1704" t="s">
        <v>59</v>
      </c>
      <c r="C70" s="1705"/>
      <c r="D70" s="1705"/>
      <c r="E70" s="1705"/>
      <c r="F70" s="1706"/>
      <c r="G70" s="923"/>
      <c r="H70" s="120"/>
      <c r="I70" s="121"/>
      <c r="J70" s="924"/>
      <c r="K70" s="924"/>
      <c r="L70" s="924"/>
      <c r="M70" s="1094"/>
      <c r="N70" s="833">
        <f>N71</f>
        <v>0</v>
      </c>
      <c r="O70" s="834">
        <f>O71</f>
        <v>0</v>
      </c>
      <c r="P70" s="835">
        <f t="shared" ref="P70:P78" si="27">O70/3.571428</f>
        <v>0</v>
      </c>
      <c r="Q70" s="1053"/>
      <c r="R70" s="269"/>
      <c r="S70" s="269"/>
    </row>
    <row r="71" spans="1:19" ht="52.25" customHeight="1" thickBot="1" x14ac:dyDescent="0.5">
      <c r="A71" s="16">
        <v>18</v>
      </c>
      <c r="B71" s="1095" t="s">
        <v>60</v>
      </c>
      <c r="C71" s="1096">
        <f>M5</f>
        <v>3.5714285714285716</v>
      </c>
      <c r="D71" s="1097" t="s">
        <v>138</v>
      </c>
      <c r="E71" s="1098">
        <f>C71</f>
        <v>3.5714285714285716</v>
      </c>
      <c r="F71" s="1099" t="s">
        <v>61</v>
      </c>
      <c r="G71" s="1100">
        <f>E71/1</f>
        <v>3.5714285714285716</v>
      </c>
      <c r="H71" s="358"/>
      <c r="I71" s="224"/>
      <c r="J71" s="1101">
        <f>I71-H71</f>
        <v>0</v>
      </c>
      <c r="K71" s="979">
        <f>(0.5*I71)*0.6</f>
        <v>0</v>
      </c>
      <c r="L71" s="1090">
        <f>I71-K71</f>
        <v>0</v>
      </c>
      <c r="M71" s="859" t="str">
        <f>IF(H71=0,"0%",J71/K71)</f>
        <v>0%</v>
      </c>
      <c r="N71" s="1091">
        <f>((G71/C71)*M71)</f>
        <v>0</v>
      </c>
      <c r="O71" s="970">
        <f>IF(((G71/C71)*M71)&gt;=1,3.571428,IF(((G71/C71)*M71)&lt;=-1,-3.571428,((G71/C71)*M71)*3.571428))</f>
        <v>0</v>
      </c>
      <c r="P71" s="835">
        <f t="shared" si="27"/>
        <v>0</v>
      </c>
      <c r="Q71" s="1102" t="s">
        <v>183</v>
      </c>
      <c r="R71" s="275"/>
      <c r="S71" s="155" t="s">
        <v>463</v>
      </c>
    </row>
    <row r="72" spans="1:19" ht="20.45" customHeight="1" thickBot="1" x14ac:dyDescent="0.5">
      <c r="B72" s="1730" t="s">
        <v>277</v>
      </c>
      <c r="C72" s="1731"/>
      <c r="D72" s="1731"/>
      <c r="E72" s="1731"/>
      <c r="F72" s="1733"/>
      <c r="G72" s="985"/>
      <c r="H72" s="118"/>
      <c r="I72" s="189"/>
      <c r="J72" s="986"/>
      <c r="K72" s="987"/>
      <c r="L72" s="987"/>
      <c r="M72" s="988"/>
      <c r="N72" s="833">
        <f>N73</f>
        <v>0</v>
      </c>
      <c r="O72" s="834">
        <f>O73</f>
        <v>0</v>
      </c>
      <c r="P72" s="835">
        <f t="shared" si="27"/>
        <v>0</v>
      </c>
      <c r="Q72" s="1103"/>
      <c r="R72" s="269"/>
      <c r="S72" s="269"/>
    </row>
    <row r="73" spans="1:19" ht="45" customHeight="1" thickBot="1" x14ac:dyDescent="0.5">
      <c r="A73" s="16">
        <v>19</v>
      </c>
      <c r="B73" s="1104" t="s">
        <v>62</v>
      </c>
      <c r="C73" s="1105">
        <f>M5</f>
        <v>3.5714285714285716</v>
      </c>
      <c r="D73" s="1106" t="s">
        <v>139</v>
      </c>
      <c r="E73" s="1105">
        <f>C73</f>
        <v>3.5714285714285716</v>
      </c>
      <c r="F73" s="1107" t="s">
        <v>63</v>
      </c>
      <c r="G73" s="1108">
        <f>E73/1</f>
        <v>3.5714285714285716</v>
      </c>
      <c r="H73" s="358"/>
      <c r="I73" s="395"/>
      <c r="J73" s="1109">
        <f>I73-H73</f>
        <v>0</v>
      </c>
      <c r="K73" s="1110">
        <f>IF(H73&gt;0,(H73),I73)</f>
        <v>0</v>
      </c>
      <c r="L73" s="1111">
        <f>I73-K73</f>
        <v>0</v>
      </c>
      <c r="M73" s="859" t="str">
        <f>IF(H73=0,"0%",J73/K73)</f>
        <v>0%</v>
      </c>
      <c r="N73" s="1091">
        <f>((G73/C73)*M73)</f>
        <v>0</v>
      </c>
      <c r="O73" s="970">
        <f>IF(((G73/C73)*M73)&gt;=1,3.571428,IF(((G73/C73)*M73)&lt;=-1,-3.571428,((G73/C73)*M73)*3.571428))</f>
        <v>0</v>
      </c>
      <c r="P73" s="835">
        <f t="shared" si="27"/>
        <v>0</v>
      </c>
      <c r="Q73" s="1112" t="s">
        <v>95</v>
      </c>
      <c r="R73" s="275"/>
      <c r="S73" s="155" t="s">
        <v>463</v>
      </c>
    </row>
    <row r="74" spans="1:19" ht="30.6" customHeight="1" thickBot="1" x14ac:dyDescent="0.5">
      <c r="B74" s="1704" t="s">
        <v>64</v>
      </c>
      <c r="C74" s="1705"/>
      <c r="D74" s="1705"/>
      <c r="E74" s="1705"/>
      <c r="F74" s="1706"/>
      <c r="G74" s="924"/>
      <c r="H74" s="120"/>
      <c r="I74" s="121"/>
      <c r="J74" s="924"/>
      <c r="K74" s="924"/>
      <c r="L74" s="924"/>
      <c r="M74" s="923"/>
      <c r="N74" s="833">
        <f>N75</f>
        <v>1</v>
      </c>
      <c r="O74" s="834">
        <f>O75</f>
        <v>3.571428</v>
      </c>
      <c r="P74" s="835">
        <f t="shared" si="27"/>
        <v>1</v>
      </c>
      <c r="Q74" s="1053"/>
      <c r="R74" s="269"/>
      <c r="S74" s="269"/>
    </row>
    <row r="75" spans="1:19" ht="29.45" customHeight="1" thickBot="1" x14ac:dyDescent="0.5">
      <c r="A75" s="16">
        <v>20</v>
      </c>
      <c r="B75" s="1104" t="s">
        <v>65</v>
      </c>
      <c r="C75" s="964">
        <f>M5</f>
        <v>3.5714285714285716</v>
      </c>
      <c r="D75" s="1097" t="s">
        <v>140</v>
      </c>
      <c r="E75" s="1113">
        <f>C75</f>
        <v>3.5714285714285716</v>
      </c>
      <c r="F75" s="1106" t="s">
        <v>66</v>
      </c>
      <c r="G75" s="1100">
        <f>E75/1</f>
        <v>3.5714285714285716</v>
      </c>
      <c r="H75" s="1211">
        <v>1</v>
      </c>
      <c r="I75" s="1212">
        <v>0</v>
      </c>
      <c r="J75" s="1049">
        <f>H75-I75</f>
        <v>1</v>
      </c>
      <c r="K75" s="1050">
        <f>IF(AND(H75=0,I75=1)," 1",(H75-I75))</f>
        <v>1</v>
      </c>
      <c r="L75" s="1115">
        <f>I75+K75</f>
        <v>1</v>
      </c>
      <c r="M75" s="1116">
        <f>(IF(I75=1,1,(J75/K75)))</f>
        <v>1</v>
      </c>
      <c r="N75" s="1091">
        <f>((G75/C75)*M75)</f>
        <v>1</v>
      </c>
      <c r="O75" s="970">
        <f>IF(((G75/C75)*M75)&gt;=1,3.571428,IF(((G75/C75)*M75)&lt;=-1,-3.571428,((G75/C75)*M75)*3.571428))</f>
        <v>3.571428</v>
      </c>
      <c r="P75" s="835">
        <f t="shared" si="27"/>
        <v>1</v>
      </c>
      <c r="Q75" s="1117" t="s">
        <v>95</v>
      </c>
      <c r="R75" s="277"/>
      <c r="S75" s="93"/>
    </row>
    <row r="76" spans="1:19" ht="20.45" customHeight="1" thickBot="1" x14ac:dyDescent="0.5">
      <c r="B76" s="1763" t="s">
        <v>67</v>
      </c>
      <c r="C76" s="1764"/>
      <c r="D76" s="1764"/>
      <c r="E76" s="1764"/>
      <c r="F76" s="1765"/>
      <c r="G76" s="1118"/>
      <c r="H76" s="130"/>
      <c r="I76" s="131"/>
      <c r="J76" s="1119"/>
      <c r="K76" s="807"/>
      <c r="L76" s="807"/>
      <c r="M76" s="1118"/>
      <c r="N76" s="833">
        <f t="shared" ref="N76:O77" si="28">N77</f>
        <v>0</v>
      </c>
      <c r="O76" s="834">
        <f t="shared" si="28"/>
        <v>0</v>
      </c>
      <c r="P76" s="835">
        <f t="shared" si="27"/>
        <v>0</v>
      </c>
      <c r="Q76" s="1120"/>
      <c r="R76" s="278"/>
      <c r="S76" s="278"/>
    </row>
    <row r="77" spans="1:19" ht="20.45" customHeight="1" thickBot="1" x14ac:dyDescent="0.5">
      <c r="B77" s="1704" t="s">
        <v>68</v>
      </c>
      <c r="C77" s="1705"/>
      <c r="D77" s="1705"/>
      <c r="E77" s="1705"/>
      <c r="F77" s="1706"/>
      <c r="G77" s="923"/>
      <c r="H77" s="120"/>
      <c r="I77" s="121"/>
      <c r="J77" s="946"/>
      <c r="K77" s="947"/>
      <c r="L77" s="947"/>
      <c r="M77" s="925"/>
      <c r="N77" s="833">
        <f t="shared" si="28"/>
        <v>0</v>
      </c>
      <c r="O77" s="834">
        <f t="shared" si="28"/>
        <v>0</v>
      </c>
      <c r="P77" s="835">
        <f t="shared" si="27"/>
        <v>0</v>
      </c>
      <c r="Q77" s="1053"/>
      <c r="R77" s="269"/>
      <c r="S77" s="269"/>
    </row>
    <row r="78" spans="1:19" ht="35.25" thickBot="1" x14ac:dyDescent="0.5">
      <c r="A78" s="16">
        <v>21</v>
      </c>
      <c r="B78" s="1104" t="s">
        <v>69</v>
      </c>
      <c r="C78" s="1113">
        <f>M5</f>
        <v>3.5714285714285716</v>
      </c>
      <c r="D78" s="1121" t="s">
        <v>141</v>
      </c>
      <c r="E78" s="1113">
        <f>C78</f>
        <v>3.5714285714285716</v>
      </c>
      <c r="F78" s="1121" t="s">
        <v>70</v>
      </c>
      <c r="G78" s="1085">
        <f>E78/1</f>
        <v>3.5714285714285716</v>
      </c>
      <c r="H78" s="358"/>
      <c r="I78" s="224"/>
      <c r="J78" s="1089">
        <f>IF(I78=H78,(H78-60),H78-I78)</f>
        <v>-60</v>
      </c>
      <c r="K78" s="982">
        <f>IF(I78&gt;=60,0,((60-I78)*(6/10)))</f>
        <v>36</v>
      </c>
      <c r="L78" s="1090">
        <f t="shared" ref="L78" si="29">K78+I78</f>
        <v>36</v>
      </c>
      <c r="M78" s="968">
        <f>IF(I78&gt;=60,(1+(H78-60)/60),(H78/L78))</f>
        <v>0</v>
      </c>
      <c r="N78" s="1091">
        <f>((G78/C78)*M78)</f>
        <v>0</v>
      </c>
      <c r="O78" s="970">
        <f>IF(((G78/C78)*M78)&gt;=1,3.571428,IF(((G78/C78)*M78)&lt;=-1,-3.571428,((G78/C78)*M78)*3.571428))</f>
        <v>0</v>
      </c>
      <c r="P78" s="835">
        <f t="shared" si="27"/>
        <v>0</v>
      </c>
      <c r="Q78" s="1122" t="s">
        <v>95</v>
      </c>
      <c r="R78" s="275"/>
      <c r="S78" s="155" t="s">
        <v>463</v>
      </c>
    </row>
    <row r="79" spans="1:19" ht="21.6" customHeight="1" thickBot="1" x14ac:dyDescent="0.5">
      <c r="B79" s="1757" t="s">
        <v>71</v>
      </c>
      <c r="C79" s="1758"/>
      <c r="D79" s="1758"/>
      <c r="E79" s="1758"/>
      <c r="F79" s="1759"/>
      <c r="G79" s="1118"/>
      <c r="H79" s="130"/>
      <c r="I79" s="131"/>
      <c r="J79" s="1123"/>
      <c r="K79" s="1124"/>
      <c r="L79" s="1124"/>
      <c r="M79" s="1118"/>
      <c r="N79" s="833">
        <f>(N80+N86)/2</f>
        <v>6.9444444444444448E-2</v>
      </c>
      <c r="O79" s="834">
        <f>(O80+O86)</f>
        <v>0.4960316666666667</v>
      </c>
      <c r="P79" s="835">
        <f>O79/10.714284</f>
        <v>4.6296296296296301E-2</v>
      </c>
      <c r="Q79" s="1120"/>
      <c r="R79" s="278"/>
      <c r="S79" s="278"/>
    </row>
    <row r="80" spans="1:19" ht="20.45" customHeight="1" thickBot="1" x14ac:dyDescent="0.5">
      <c r="B80" s="1684" t="s">
        <v>72</v>
      </c>
      <c r="C80" s="1685"/>
      <c r="D80" s="1685"/>
      <c r="E80" s="1685"/>
      <c r="F80" s="1686"/>
      <c r="G80" s="948"/>
      <c r="H80" s="132"/>
      <c r="I80" s="133"/>
      <c r="J80" s="924"/>
      <c r="K80" s="924"/>
      <c r="L80" s="924"/>
      <c r="M80" s="948"/>
      <c r="N80" s="833">
        <f>(N81+N83)/2</f>
        <v>0</v>
      </c>
      <c r="O80" s="834">
        <f>(O81+O83)</f>
        <v>0</v>
      </c>
      <c r="P80" s="835">
        <f>O80/7.142856</f>
        <v>0</v>
      </c>
      <c r="Q80" s="1125"/>
      <c r="R80" s="255"/>
      <c r="S80" s="255"/>
    </row>
    <row r="81" spans="1:19" ht="46.9" thickBot="1" x14ac:dyDescent="0.5">
      <c r="A81" s="16"/>
      <c r="B81" s="1760" t="s">
        <v>73</v>
      </c>
      <c r="C81" s="1691">
        <f>M5</f>
        <v>3.5714285714285716</v>
      </c>
      <c r="D81" s="926" t="s">
        <v>267</v>
      </c>
      <c r="E81" s="853">
        <f>$C$81/2</f>
        <v>1.7857142857142858</v>
      </c>
      <c r="F81" s="1054" t="s">
        <v>278</v>
      </c>
      <c r="G81" s="905">
        <f>E81/1</f>
        <v>1.7857142857142858</v>
      </c>
      <c r="H81" s="588"/>
      <c r="I81" s="589"/>
      <c r="J81" s="1019">
        <f>IF(I81=H81,(H81-50),H81-I81)</f>
        <v>-50</v>
      </c>
      <c r="K81" s="909">
        <f>IF(I81&gt;=50,0,((50-I81)*(6/10)))</f>
        <v>30</v>
      </c>
      <c r="L81" s="1126">
        <f>I81+K81</f>
        <v>30</v>
      </c>
      <c r="M81" s="859" t="str">
        <f>IF(H81=0,"0%",J81/K81)</f>
        <v>0%</v>
      </c>
      <c r="N81" s="1748">
        <f>(((G81/C81)*M81)+((G82/C81)*M82))</f>
        <v>0</v>
      </c>
      <c r="O81" s="1676">
        <f>IF((((G81/C81)*M81)+((G82/C81)*M82))&gt;=1,3.57148,IF((((G81/C81)*M81)+((G82/C81)*M82))&lt;=-1,-3.57148, (((G81/C81)*M81)+((G82/C81)*M82))*3.571428))</f>
        <v>0</v>
      </c>
      <c r="P81" s="1678">
        <f>O81/3.571428</f>
        <v>0</v>
      </c>
      <c r="Q81" s="1127" t="s">
        <v>279</v>
      </c>
      <c r="R81" s="497"/>
      <c r="S81" s="155" t="s">
        <v>463</v>
      </c>
    </row>
    <row r="82" spans="1:19" ht="39.6" customHeight="1" thickBot="1" x14ac:dyDescent="0.5">
      <c r="A82" s="16"/>
      <c r="B82" s="1761"/>
      <c r="C82" s="1762"/>
      <c r="D82" s="953" t="s">
        <v>268</v>
      </c>
      <c r="E82" s="868">
        <f>$C$81/2</f>
        <v>1.7857142857142858</v>
      </c>
      <c r="F82" s="954" t="s">
        <v>74</v>
      </c>
      <c r="G82" s="919">
        <f>E82/1</f>
        <v>1.7857142857142858</v>
      </c>
      <c r="H82" s="590"/>
      <c r="I82" s="1494">
        <v>19</v>
      </c>
      <c r="J82" s="1128">
        <f>IF(I82=H82,(H82-30),H82-I82)</f>
        <v>-19</v>
      </c>
      <c r="K82" s="921">
        <f>IF(I82&gt;=30,0,((30-I82)*(6/10)))</f>
        <v>6.6</v>
      </c>
      <c r="L82" s="1129">
        <f t="shared" ref="L82" si="30">K82+I82</f>
        <v>25.6</v>
      </c>
      <c r="M82" s="874">
        <f>IF(I82&gt;=30,(1+(H82-30)/30),(H82/L82))</f>
        <v>0</v>
      </c>
      <c r="N82" s="1750"/>
      <c r="O82" s="1677"/>
      <c r="P82" s="1679"/>
      <c r="Q82" s="1130" t="s">
        <v>282</v>
      </c>
      <c r="R82" s="141" t="s">
        <v>303</v>
      </c>
      <c r="S82" s="230" t="s">
        <v>466</v>
      </c>
    </row>
    <row r="83" spans="1:19" ht="60" customHeight="1" thickBot="1" x14ac:dyDescent="0.5">
      <c r="A83" s="16"/>
      <c r="B83" s="1774" t="s">
        <v>142</v>
      </c>
      <c r="C83" s="1776">
        <f>M5</f>
        <v>3.5714285714285716</v>
      </c>
      <c r="D83" s="1131" t="s">
        <v>145</v>
      </c>
      <c r="E83" s="853">
        <f>$C$81/3</f>
        <v>1.1904761904761905</v>
      </c>
      <c r="F83" s="926" t="s">
        <v>143</v>
      </c>
      <c r="G83" s="853">
        <f>E83/1</f>
        <v>1.1904761904761905</v>
      </c>
      <c r="H83" s="362"/>
      <c r="I83" s="375"/>
      <c r="J83" s="1132">
        <f>I83-H83</f>
        <v>0</v>
      </c>
      <c r="K83" s="1008">
        <f>(0.2*I83)*(6/10)</f>
        <v>0</v>
      </c>
      <c r="L83" s="1133">
        <f>I83-K83</f>
        <v>0</v>
      </c>
      <c r="M83" s="859" t="str">
        <f>IF(K83&lt;&gt;0,J83/K83,"0%")</f>
        <v>0%</v>
      </c>
      <c r="N83" s="1779">
        <f>(((G83/C83)*M83)+((G84/C83)*M84)+((G85/C83)*M85))</f>
        <v>0</v>
      </c>
      <c r="O83" s="1702">
        <f>IF((((G83/C83)*M83)+((G84/C83)*M84)+((G85/C83)*M85))&gt;=1,3.571428,IF((((G83/C83)*M83)+((G84/C83)*M84)+((G85/C83)*M85))&lt;=-1,-3.571428,(((G83/C83)*M83)+((G84/C83)*M84)+((G85/C83)*M85))*3.571428))</f>
        <v>0</v>
      </c>
      <c r="P83" s="1678">
        <f>O83/3.571428</f>
        <v>0</v>
      </c>
      <c r="Q83" s="1134" t="s">
        <v>184</v>
      </c>
      <c r="R83" s="498"/>
      <c r="S83" s="155" t="s">
        <v>463</v>
      </c>
    </row>
    <row r="84" spans="1:19" ht="45" customHeight="1" thickBot="1" x14ac:dyDescent="0.5">
      <c r="A84" s="16"/>
      <c r="B84" s="1774"/>
      <c r="C84" s="1777"/>
      <c r="D84" s="1135" t="s">
        <v>146</v>
      </c>
      <c r="E84" s="934">
        <f t="shared" ref="E84:E85" si="31">$C$81/3</f>
        <v>1.1904761904761905</v>
      </c>
      <c r="F84" s="1058" t="s">
        <v>283</v>
      </c>
      <c r="G84" s="934">
        <f>E84/1</f>
        <v>1.1904761904761905</v>
      </c>
      <c r="H84" s="357"/>
      <c r="I84" s="363"/>
      <c r="J84" s="1136">
        <f>I84-H84</f>
        <v>0</v>
      </c>
      <c r="K84" s="1008">
        <f>(0.5*I84)*(6/10)</f>
        <v>0</v>
      </c>
      <c r="L84" s="1137">
        <f>I84-K84</f>
        <v>0</v>
      </c>
      <c r="M84" s="859" t="str">
        <f>IF(H84=0,"0%",J84/K84)</f>
        <v>0%</v>
      </c>
      <c r="N84" s="1780"/>
      <c r="O84" s="1700"/>
      <c r="P84" s="1703"/>
      <c r="Q84" s="1138" t="s">
        <v>185</v>
      </c>
      <c r="R84" s="499"/>
      <c r="S84" s="155" t="s">
        <v>463</v>
      </c>
    </row>
    <row r="85" spans="1:19" ht="38.450000000000003" customHeight="1" thickBot="1" x14ac:dyDescent="0.5">
      <c r="A85" s="16"/>
      <c r="B85" s="1775"/>
      <c r="C85" s="1778"/>
      <c r="D85" s="1139" t="s">
        <v>147</v>
      </c>
      <c r="E85" s="868">
        <f t="shared" si="31"/>
        <v>1.1904761904761905</v>
      </c>
      <c r="F85" s="954" t="s">
        <v>144</v>
      </c>
      <c r="G85" s="868">
        <f>E85/1</f>
        <v>1.1904761904761905</v>
      </c>
      <c r="H85" s="360"/>
      <c r="I85" s="376"/>
      <c r="J85" s="1140">
        <f>H85-I85</f>
        <v>0</v>
      </c>
      <c r="K85" s="1141">
        <f>(100-I85)*(6/10)</f>
        <v>60</v>
      </c>
      <c r="L85" s="1142">
        <f>I85+K85</f>
        <v>60</v>
      </c>
      <c r="M85" s="898">
        <f>IF(K85&lt;&gt;0,J85/K85,"0%")</f>
        <v>0</v>
      </c>
      <c r="N85" s="1781"/>
      <c r="O85" s="1701"/>
      <c r="P85" s="1679"/>
      <c r="Q85" s="1143" t="s">
        <v>284</v>
      </c>
      <c r="R85" s="501"/>
      <c r="S85" s="155" t="s">
        <v>463</v>
      </c>
    </row>
    <row r="86" spans="1:19" ht="20.45" customHeight="1" thickBot="1" x14ac:dyDescent="0.5">
      <c r="B86" s="1766" t="s">
        <v>75</v>
      </c>
      <c r="C86" s="1767"/>
      <c r="D86" s="1767"/>
      <c r="E86" s="1767"/>
      <c r="F86" s="1768"/>
      <c r="G86" s="1094"/>
      <c r="H86" s="134"/>
      <c r="I86" s="135"/>
      <c r="J86" s="1144"/>
      <c r="K86" s="1145"/>
      <c r="L86" s="1145"/>
      <c r="M86" s="948"/>
      <c r="N86" s="833">
        <f>N87</f>
        <v>0.1388888888888889</v>
      </c>
      <c r="O86" s="834">
        <f>O87</f>
        <v>0.4960316666666667</v>
      </c>
      <c r="P86" s="835">
        <f>O86/3.571428</f>
        <v>0.1388888888888889</v>
      </c>
      <c r="Q86" s="1016"/>
      <c r="R86" s="269"/>
      <c r="S86" s="269"/>
    </row>
    <row r="87" spans="1:19" ht="27.6" customHeight="1" thickBot="1" x14ac:dyDescent="0.5">
      <c r="A87" s="1710">
        <v>24</v>
      </c>
      <c r="B87" s="1769" t="s">
        <v>76</v>
      </c>
      <c r="C87" s="1771">
        <f>M5</f>
        <v>3.5714285714285716</v>
      </c>
      <c r="D87" s="1004" t="s">
        <v>159</v>
      </c>
      <c r="E87" s="1005">
        <f>($C$87/3)</f>
        <v>1.1904761904761905</v>
      </c>
      <c r="F87" s="1146" t="s">
        <v>285</v>
      </c>
      <c r="G87" s="1147">
        <f>E87/1</f>
        <v>1.1904761904761905</v>
      </c>
      <c r="H87" s="364"/>
      <c r="I87" s="1149">
        <v>1.7</v>
      </c>
      <c r="J87" s="1150">
        <f>I87-H87</f>
        <v>1.7</v>
      </c>
      <c r="K87" s="1151">
        <f>(0.25*I87)*(6/10)</f>
        <v>0.255</v>
      </c>
      <c r="L87" s="1152">
        <f>I87-K87</f>
        <v>1.4449999999999998</v>
      </c>
      <c r="M87" s="859" t="str">
        <f>IF(H87=0,"0%",J87/K87)</f>
        <v>0%</v>
      </c>
      <c r="N87" s="1716">
        <f>(((G87/C87)*M87)+((G88/C87)*M88)+((G89/C87)*M89)+((G90/C87)*M90)+((G91/C87)*M91))</f>
        <v>0.1388888888888889</v>
      </c>
      <c r="O87" s="1702">
        <f>IF((((G87/C87)*M87)+((G88/C87)*M88)+((G89/C87)*M89)+((G90/C87)*M90)+((G91/C87)*M91))&gt;=1,3.571428,IF((((G87/C87)*M87)+((G88/C87)*M88)+((G89/C87)*M89)+((G90/C87)*M90)+((G91/C87)*M91))&lt;=-1,-3.571428,((((G87/C87)*M87)+((G88/C87)*M88)+((G89/C87)*M89)+((G90/C87)*M90)+((G91/C87)*M91))*3.571428)))</f>
        <v>0.4960316666666667</v>
      </c>
      <c r="P87" s="1678">
        <f>O87/3.571428</f>
        <v>0.1388888888888889</v>
      </c>
      <c r="Q87" s="1153" t="s">
        <v>186</v>
      </c>
      <c r="R87" s="91" t="s">
        <v>304</v>
      </c>
      <c r="S87" s="230" t="s">
        <v>466</v>
      </c>
    </row>
    <row r="88" spans="1:19" ht="25.8" customHeight="1" thickBot="1" x14ac:dyDescent="0.5">
      <c r="A88" s="1710"/>
      <c r="B88" s="1769"/>
      <c r="C88" s="1772"/>
      <c r="D88" s="1782" t="s">
        <v>160</v>
      </c>
      <c r="E88" s="1783">
        <f>C87/3</f>
        <v>1.1904761904761905</v>
      </c>
      <c r="F88" s="935" t="s">
        <v>77</v>
      </c>
      <c r="G88" s="1154">
        <f>$E$88/3</f>
        <v>0.3968253968253968</v>
      </c>
      <c r="H88" s="365"/>
      <c r="I88" s="366"/>
      <c r="J88" s="1155">
        <f>I88-H88</f>
        <v>0</v>
      </c>
      <c r="K88" s="1156">
        <f>I88*(6/10)</f>
        <v>0</v>
      </c>
      <c r="L88" s="1157">
        <f>I88-K88</f>
        <v>0</v>
      </c>
      <c r="M88" s="916" t="str">
        <f>IF(K88&lt;&gt;0,J88/K88,"0%")</f>
        <v>0%</v>
      </c>
      <c r="N88" s="1697"/>
      <c r="O88" s="1700"/>
      <c r="P88" s="1703"/>
      <c r="Q88" s="1158" t="s">
        <v>187</v>
      </c>
      <c r="R88" s="143"/>
      <c r="S88" s="155" t="s">
        <v>463</v>
      </c>
    </row>
    <row r="89" spans="1:19" ht="59.65" customHeight="1" thickBot="1" x14ac:dyDescent="0.5">
      <c r="A89" s="1710"/>
      <c r="B89" s="1769"/>
      <c r="C89" s="1772"/>
      <c r="D89" s="1782"/>
      <c r="E89" s="1783"/>
      <c r="F89" s="935" t="s">
        <v>78</v>
      </c>
      <c r="G89" s="1154">
        <f>$E$88/3</f>
        <v>0.3968253968253968</v>
      </c>
      <c r="H89" s="365"/>
      <c r="I89" s="366"/>
      <c r="J89" s="1155">
        <f>I89-H89</f>
        <v>0</v>
      </c>
      <c r="K89" s="1156">
        <f>I89*(6/10)</f>
        <v>0</v>
      </c>
      <c r="L89" s="1157">
        <f>I89-K89</f>
        <v>0</v>
      </c>
      <c r="M89" s="916" t="str">
        <f>IF(K89&lt;&gt;0,J89/K89,"0%")</f>
        <v>0%</v>
      </c>
      <c r="N89" s="1697"/>
      <c r="O89" s="1700"/>
      <c r="P89" s="1703"/>
      <c r="Q89" s="1158" t="s">
        <v>188</v>
      </c>
      <c r="R89" s="143"/>
      <c r="S89" s="155" t="s">
        <v>463</v>
      </c>
    </row>
    <row r="90" spans="1:19" ht="26.45" customHeight="1" thickBot="1" x14ac:dyDescent="0.5">
      <c r="A90" s="1710"/>
      <c r="B90" s="1769"/>
      <c r="C90" s="1772"/>
      <c r="D90" s="1782"/>
      <c r="E90" s="1783"/>
      <c r="F90" s="935" t="s">
        <v>79</v>
      </c>
      <c r="G90" s="1154">
        <f>$E$88/3</f>
        <v>0.3968253968253968</v>
      </c>
      <c r="H90" s="367"/>
      <c r="I90" s="368"/>
      <c r="J90" s="1155">
        <f>I90-H90</f>
        <v>0</v>
      </c>
      <c r="K90" s="1159">
        <f>(I90)*(6/10)</f>
        <v>0</v>
      </c>
      <c r="L90" s="1160">
        <f>I90-K90</f>
        <v>0</v>
      </c>
      <c r="M90" s="859" t="str">
        <f>IF(H90=0,"0%",J90/K90)</f>
        <v>0%</v>
      </c>
      <c r="N90" s="1697"/>
      <c r="O90" s="1700"/>
      <c r="P90" s="1703"/>
      <c r="Q90" s="1161" t="s">
        <v>189</v>
      </c>
      <c r="R90" s="143"/>
      <c r="S90" s="155" t="s">
        <v>463</v>
      </c>
    </row>
    <row r="91" spans="1:19" ht="40.799999999999997" customHeight="1" thickBot="1" x14ac:dyDescent="0.5">
      <c r="A91" s="1710"/>
      <c r="B91" s="1770"/>
      <c r="C91" s="1773"/>
      <c r="D91" s="918" t="s">
        <v>161</v>
      </c>
      <c r="E91" s="868">
        <f>$C$87/3</f>
        <v>1.1904761904761905</v>
      </c>
      <c r="F91" s="1162" t="s">
        <v>80</v>
      </c>
      <c r="G91" s="1163">
        <f>E91/1</f>
        <v>1.1904761904761905</v>
      </c>
      <c r="H91" s="369">
        <v>25</v>
      </c>
      <c r="I91" s="370">
        <v>0</v>
      </c>
      <c r="J91" s="1164">
        <f>H91-I91</f>
        <v>25</v>
      </c>
      <c r="K91" s="1141">
        <f>(100-I91)*(6/10)</f>
        <v>60</v>
      </c>
      <c r="L91" s="1165">
        <f>I91+K91</f>
        <v>60</v>
      </c>
      <c r="M91" s="874">
        <f>IF(I91&gt;=60,(1+(H91-60)/60),(H91/L91))</f>
        <v>0.41666666666666669</v>
      </c>
      <c r="N91" s="1698"/>
      <c r="O91" s="1701"/>
      <c r="P91" s="1679"/>
      <c r="Q91" s="1166" t="s">
        <v>95</v>
      </c>
      <c r="R91" s="144"/>
      <c r="S91" s="155" t="s">
        <v>463</v>
      </c>
    </row>
    <row r="92" spans="1:19" ht="14.65" thickBot="1" x14ac:dyDescent="0.5">
      <c r="B92" s="1535" t="s">
        <v>81</v>
      </c>
      <c r="C92" s="1536"/>
      <c r="D92" s="1536"/>
      <c r="E92" s="1536"/>
      <c r="F92" s="1537"/>
      <c r="G92" s="11"/>
      <c r="H92" s="130"/>
      <c r="I92" s="131"/>
      <c r="J92" s="175"/>
      <c r="K92" s="11"/>
      <c r="L92" s="11"/>
      <c r="M92" s="173"/>
      <c r="N92" s="833">
        <f>(N93+N97)/2</f>
        <v>0</v>
      </c>
      <c r="O92" s="834">
        <f>(O93+O97)</f>
        <v>0</v>
      </c>
      <c r="P92" s="835">
        <f>O92/14.285712</f>
        <v>0</v>
      </c>
      <c r="Q92" s="1029"/>
      <c r="R92" s="268"/>
      <c r="S92" s="278"/>
    </row>
    <row r="93" spans="1:19" ht="20.45" customHeight="1" thickBot="1" x14ac:dyDescent="0.5">
      <c r="B93" s="1684" t="s">
        <v>82</v>
      </c>
      <c r="C93" s="1685"/>
      <c r="D93" s="1685"/>
      <c r="E93" s="1685"/>
      <c r="F93" s="1686"/>
      <c r="G93" s="923"/>
      <c r="H93" s="120"/>
      <c r="I93" s="121"/>
      <c r="J93" s="947"/>
      <c r="K93" s="947"/>
      <c r="L93" s="947"/>
      <c r="M93" s="948"/>
      <c r="N93" s="833">
        <f>N94</f>
        <v>0</v>
      </c>
      <c r="O93" s="834">
        <f>O94</f>
        <v>0</v>
      </c>
      <c r="P93" s="835">
        <f>O93/3.571428</f>
        <v>0</v>
      </c>
      <c r="Q93" s="1017"/>
      <c r="R93" s="255"/>
      <c r="S93" s="269"/>
    </row>
    <row r="94" spans="1:19" ht="34.799999999999997" customHeight="1" thickBot="1" x14ac:dyDescent="0.5">
      <c r="A94" s="1669">
        <v>25</v>
      </c>
      <c r="B94" s="1687" t="s">
        <v>83</v>
      </c>
      <c r="C94" s="1784">
        <f>M5</f>
        <v>3.5714285714285716</v>
      </c>
      <c r="D94" s="1727" t="s">
        <v>214</v>
      </c>
      <c r="E94" s="1018">
        <f>$C$94/3</f>
        <v>1.1904761904761905</v>
      </c>
      <c r="F94" s="926" t="s">
        <v>269</v>
      </c>
      <c r="G94" s="1167">
        <f>E94/1</f>
        <v>1.1904761904761905</v>
      </c>
      <c r="H94" s="373"/>
      <c r="I94" s="374"/>
      <c r="J94" s="1168">
        <f>H94-I94</f>
        <v>0</v>
      </c>
      <c r="K94" s="1169">
        <f>(100-I94)*(6/10)</f>
        <v>60</v>
      </c>
      <c r="L94" s="1170">
        <f>I94+K94</f>
        <v>60</v>
      </c>
      <c r="M94" s="859">
        <f>IF(K94&lt;&gt;0,J94/K94,"100%")</f>
        <v>0</v>
      </c>
      <c r="N94" s="1748">
        <f>(((G94/C94)*M94)+((G95/C94)*M95)+((G96/C94)*M96))</f>
        <v>0</v>
      </c>
      <c r="O94" s="1702">
        <f>IF((((G94/C94)*M94)+((G95/C94)*M95)+((G96/C94)*M96))&gt;=1,3.571428,IF((((G94/C94)*M94)+((G95/C94)*M95)+((G96/C94)*M96))&lt;=-1,-3.571428,(((G94/C94)*M94)+((G95/C94)*M95)+((G96/C94)*M96))*3.571428))</f>
        <v>0</v>
      </c>
      <c r="P94" s="1678">
        <f>O94/3.571428</f>
        <v>0</v>
      </c>
      <c r="Q94" s="1171" t="s">
        <v>190</v>
      </c>
      <c r="R94" s="194"/>
      <c r="S94" s="155" t="s">
        <v>463</v>
      </c>
    </row>
    <row r="95" spans="1:19" ht="39.6" customHeight="1" thickBot="1" x14ac:dyDescent="0.5">
      <c r="A95" s="1669"/>
      <c r="B95" s="1688"/>
      <c r="C95" s="1785"/>
      <c r="D95" s="1721"/>
      <c r="E95" s="1172">
        <f t="shared" ref="E95:E96" si="32">$C$94/3</f>
        <v>1.1904761904761905</v>
      </c>
      <c r="F95" s="1058" t="s">
        <v>270</v>
      </c>
      <c r="G95" s="1154">
        <f>E95/1</f>
        <v>1.1904761904761905</v>
      </c>
      <c r="H95" s="356"/>
      <c r="I95" s="386"/>
      <c r="J95" s="1155">
        <f>IF(AND(I95&gt;1,(H95-I95=0)),(H95-1),(H95-I95))</f>
        <v>0</v>
      </c>
      <c r="K95" s="997">
        <f>IF(AND(I95&gt;=1,H95&gt;=1),"0",((1-I95)*(6/10)))</f>
        <v>0.6</v>
      </c>
      <c r="L95" s="1173">
        <f t="shared" ref="L95:L96" si="33">I95+K95</f>
        <v>0.6</v>
      </c>
      <c r="M95" s="916">
        <f>IF(I95&gt;=1,(1+(H95-1)/1),(J95/K95))</f>
        <v>0</v>
      </c>
      <c r="N95" s="1749"/>
      <c r="O95" s="1700"/>
      <c r="P95" s="1703"/>
      <c r="Q95" s="1174" t="s">
        <v>191</v>
      </c>
      <c r="R95" s="229"/>
      <c r="S95" s="155" t="s">
        <v>463</v>
      </c>
    </row>
    <row r="96" spans="1:19" ht="41.45" customHeight="1" thickBot="1" x14ac:dyDescent="0.5">
      <c r="A96" s="1669"/>
      <c r="B96" s="1739"/>
      <c r="C96" s="1786"/>
      <c r="D96" s="1728"/>
      <c r="E96" s="1021">
        <f t="shared" si="32"/>
        <v>1.1904761904761905</v>
      </c>
      <c r="F96" s="953" t="s">
        <v>84</v>
      </c>
      <c r="G96" s="1163">
        <f>E96/1</f>
        <v>1.1904761904761905</v>
      </c>
      <c r="H96" s="360"/>
      <c r="I96" s="361"/>
      <c r="J96" s="1164">
        <f>H96-I96</f>
        <v>0</v>
      </c>
      <c r="K96" s="1141">
        <f>(100-I96)*(6/10)</f>
        <v>60</v>
      </c>
      <c r="L96" s="1165">
        <f t="shared" si="33"/>
        <v>60</v>
      </c>
      <c r="M96" s="874">
        <f>IF(K96&lt;&gt;0,J96/K96,"100%")</f>
        <v>0</v>
      </c>
      <c r="N96" s="1750"/>
      <c r="O96" s="1701"/>
      <c r="P96" s="1679"/>
      <c r="Q96" s="1175" t="s">
        <v>95</v>
      </c>
      <c r="R96" s="226"/>
      <c r="S96" s="155" t="s">
        <v>463</v>
      </c>
    </row>
    <row r="97" spans="1:19" ht="18" customHeight="1" thickBot="1" x14ac:dyDescent="0.5">
      <c r="B97" s="1787" t="s">
        <v>85</v>
      </c>
      <c r="C97" s="1788"/>
      <c r="D97" s="1788"/>
      <c r="E97" s="1788"/>
      <c r="F97" s="1789"/>
      <c r="G97" s="1176"/>
      <c r="H97" s="109"/>
      <c r="I97" s="110"/>
      <c r="J97" s="1176"/>
      <c r="K97" s="1177"/>
      <c r="L97" s="1177"/>
      <c r="M97" s="1178"/>
      <c r="N97" s="1179">
        <f>(N98+N99+N100)/3</f>
        <v>0</v>
      </c>
      <c r="O97" s="1180">
        <f>(O98+O99+O100)</f>
        <v>0</v>
      </c>
      <c r="P97" s="835">
        <f>O97/10.714284</f>
        <v>0</v>
      </c>
      <c r="Q97" s="1181"/>
      <c r="R97" s="255"/>
      <c r="S97" s="255"/>
    </row>
    <row r="98" spans="1:19" ht="29.45" customHeight="1" thickBot="1" x14ac:dyDescent="0.5">
      <c r="A98" s="16">
        <v>26</v>
      </c>
      <c r="B98" s="961" t="s">
        <v>86</v>
      </c>
      <c r="C98" s="962">
        <f>$M$5</f>
        <v>3.5714285714285716</v>
      </c>
      <c r="D98" s="961" t="s">
        <v>215</v>
      </c>
      <c r="E98" s="962">
        <f>C98/1</f>
        <v>3.5714285714285716</v>
      </c>
      <c r="F98" s="1095" t="s">
        <v>291</v>
      </c>
      <c r="G98" s="962">
        <f>E98/1</f>
        <v>3.5714285714285716</v>
      </c>
      <c r="H98" s="480"/>
      <c r="I98" s="481"/>
      <c r="J98" s="1182">
        <f>IF(I98=H98,(H98-10),H98-I98)</f>
        <v>-10</v>
      </c>
      <c r="K98" s="982">
        <f>IF(I98&gt;=10,0,((10-I98)*(6/10)))</f>
        <v>6</v>
      </c>
      <c r="L98" s="1090">
        <f>I98+K98</f>
        <v>6</v>
      </c>
      <c r="M98" s="859" t="str">
        <f>IF(H98=0,"0%",J98/K98)</f>
        <v>0%</v>
      </c>
      <c r="N98" s="1091">
        <f>((G98/C98)*M98)</f>
        <v>0</v>
      </c>
      <c r="O98" s="970">
        <f>IF(((G98/C98)*M98)&gt;=1,3.571428,IF(((G98/C98)*M98)&lt;=-1,-3.571428,((G98/C98)*M98)*3.571428))</f>
        <v>0</v>
      </c>
      <c r="P98" s="835">
        <f>O98/3.571428</f>
        <v>0</v>
      </c>
      <c r="Q98" s="1183" t="s">
        <v>95</v>
      </c>
      <c r="R98" s="591"/>
      <c r="S98" s="155" t="s">
        <v>463</v>
      </c>
    </row>
    <row r="99" spans="1:19" ht="35.25" thickBot="1" x14ac:dyDescent="0.5">
      <c r="A99" s="16">
        <v>27</v>
      </c>
      <c r="B99" s="961" t="s">
        <v>87</v>
      </c>
      <c r="C99" s="962">
        <f>$M$5</f>
        <v>3.5714285714285716</v>
      </c>
      <c r="D99" s="961" t="s">
        <v>216</v>
      </c>
      <c r="E99" s="962">
        <f>C99/1</f>
        <v>3.5714285714285716</v>
      </c>
      <c r="F99" s="1095" t="s">
        <v>271</v>
      </c>
      <c r="G99" s="962">
        <f>E99/1</f>
        <v>3.5714285714285716</v>
      </c>
      <c r="H99" s="592"/>
      <c r="I99" s="593"/>
      <c r="J99" s="1182">
        <f>IF(I99=H99,(H99-75),H99-I99)</f>
        <v>-75</v>
      </c>
      <c r="K99" s="982">
        <f>IF(I99&gt;=75,0,((75-I99)*(6/10)))</f>
        <v>45</v>
      </c>
      <c r="L99" s="1115">
        <f>I99+K99</f>
        <v>45</v>
      </c>
      <c r="M99" s="859" t="str">
        <f>IF(H99=0,"0%",J99/K99)</f>
        <v>0%</v>
      </c>
      <c r="N99" s="1091">
        <f>((G99/C99)*M99)</f>
        <v>0</v>
      </c>
      <c r="O99" s="970">
        <f>IF(((G99/C99)*M99)&gt;=1,3.571428,IF(((G99/C99)*M99)&lt;=-1,-3.571428,((G99/C99)*M99)*3.571428))</f>
        <v>0</v>
      </c>
      <c r="P99" s="835">
        <f>O99/3.571428</f>
        <v>0</v>
      </c>
      <c r="Q99" s="1183" t="s">
        <v>192</v>
      </c>
      <c r="R99" s="594"/>
      <c r="S99" s="155" t="s">
        <v>463</v>
      </c>
    </row>
    <row r="100" spans="1:19" ht="35.25" thickBot="1" x14ac:dyDescent="0.5">
      <c r="A100" s="1669">
        <v>28</v>
      </c>
      <c r="B100" s="1790" t="s">
        <v>88</v>
      </c>
      <c r="C100" s="1792">
        <f>M5</f>
        <v>3.5714285714285716</v>
      </c>
      <c r="D100" s="1790" t="s">
        <v>217</v>
      </c>
      <c r="E100" s="1792">
        <f>C100/1</f>
        <v>3.5714285714285716</v>
      </c>
      <c r="F100" s="1054" t="s">
        <v>89</v>
      </c>
      <c r="G100" s="853">
        <f>$E$100/2</f>
        <v>1.7857142857142858</v>
      </c>
      <c r="H100" s="588"/>
      <c r="I100" s="929">
        <v>392.8</v>
      </c>
      <c r="J100" s="1185">
        <f>IF(I100=H100,(25-H100),I100-H100)</f>
        <v>392.8</v>
      </c>
      <c r="K100" s="1035">
        <f>IF(I100&lt;=25,0,((0.25*I100)*(6/10)))</f>
        <v>58.92</v>
      </c>
      <c r="L100" s="1186">
        <f>I100-K100</f>
        <v>333.88</v>
      </c>
      <c r="M100" s="859" t="str">
        <f>IF(H100=0,"0%",J100/K100)</f>
        <v>0%</v>
      </c>
      <c r="N100" s="1795">
        <f>((G100/$C$100)*M100)+((G101/$C$100)*M101)</f>
        <v>0</v>
      </c>
      <c r="O100" s="1676">
        <f>IF((((G100/C100)*M100)+((G101/C100)*M101))&gt;=1,3.57148,IF((((G100/C100)*M100)+((G101/C100)*M101))&lt;=-1,-3.57148, (((G100/C100)*M100)+((G101/C100)*M101))*3.571428))</f>
        <v>0</v>
      </c>
      <c r="P100" s="1678">
        <f>O100/3.571428</f>
        <v>0</v>
      </c>
      <c r="Q100" s="1187" t="s">
        <v>193</v>
      </c>
      <c r="R100" s="527" t="s">
        <v>472</v>
      </c>
      <c r="S100" s="230" t="s">
        <v>466</v>
      </c>
    </row>
    <row r="101" spans="1:19" ht="38.450000000000003" customHeight="1" thickBot="1" x14ac:dyDescent="0.5">
      <c r="A101" s="1669"/>
      <c r="B101" s="1791"/>
      <c r="C101" s="1793"/>
      <c r="D101" s="1791"/>
      <c r="E101" s="1794"/>
      <c r="F101" s="953" t="s">
        <v>90</v>
      </c>
      <c r="G101" s="868">
        <f>$E$100/2</f>
        <v>1.7857142857142858</v>
      </c>
      <c r="H101" s="590"/>
      <c r="I101" s="595"/>
      <c r="J101" s="1188">
        <f>IF(I101=H101,(H101-25),H101-I101)</f>
        <v>-25</v>
      </c>
      <c r="K101" s="921">
        <f>IF(I101&gt;=25,0,((25-I101)*(6/10)))</f>
        <v>15</v>
      </c>
      <c r="L101" s="1189">
        <f t="shared" ref="L101" si="34">K101+I101</f>
        <v>15</v>
      </c>
      <c r="M101" s="859" t="str">
        <f>IF(H101=0,"0%",J101/K101)</f>
        <v>0%</v>
      </c>
      <c r="N101" s="1796"/>
      <c r="O101" s="1677"/>
      <c r="P101" s="1679"/>
      <c r="Q101" s="1190" t="s">
        <v>95</v>
      </c>
      <c r="R101" s="596"/>
      <c r="S101" s="155" t="s">
        <v>463</v>
      </c>
    </row>
    <row r="102" spans="1:19" ht="34.25" customHeight="1" thickBot="1" x14ac:dyDescent="0.5">
      <c r="B102" s="1191" t="s">
        <v>194</v>
      </c>
      <c r="C102" s="1192">
        <f>C11+C13+C15+C19+C24+C33+C34+C35+C36+C38+C41+C44+C48+C51+C53+C61+C68+C71+C73+C75+C78+C81+C83+C87+C94+C98+C99+C100</f>
        <v>99.999999999999972</v>
      </c>
      <c r="D102" s="1193"/>
      <c r="E102" s="1192">
        <f>E11+E12+E13+E14+E15+E19+E20+E21+E22+E24+E25+E28+E31+E33+E34+E35+E36+E38+E39+E41+E42+E44+E45+E48+E49++E51+E53+E54+E55+E56+E57+E61+E62+E63+E64+E68+E71+E73+E75+E78+E81++E82+E83+E84+E85+E87+E88+E91+E94+E95+E96+E98+E99+E100</f>
        <v>100.00714285714285</v>
      </c>
      <c r="F102" s="1194"/>
      <c r="G102" s="1192">
        <f>G11+G12+G13+G14+G15+G16+G17+G19+G20+G21+G22+G24+G25+G26+G27+G28+G29+G30+G31+G33+G34+G35+G36+G38+G39+G41+G42+G44+G45+G48+G49+G51+G53+G54+G55+G56+G57+G58+G61+G62+G63+G64+G65+G66+G68+G71+G73+G75+G78+G81+G82+G83+G84+G85+G87+G88+G89+G90+G91+G94+G95+G96+G98+G99+G100+G101</f>
        <v>100.00714285714285</v>
      </c>
      <c r="H102" s="1195"/>
      <c r="I102" s="1196"/>
      <c r="J102" s="1195"/>
      <c r="K102" s="1197"/>
      <c r="L102" s="1194"/>
      <c r="M102" s="1198"/>
      <c r="N102" s="1199"/>
      <c r="O102" s="1200"/>
      <c r="P102" s="1200"/>
      <c r="Q102" s="1201"/>
      <c r="R102" s="17"/>
      <c r="S102" s="18"/>
    </row>
    <row r="104" spans="1:19" ht="15.75" x14ac:dyDescent="0.5">
      <c r="B104" s="19"/>
    </row>
    <row r="107" spans="1:19" ht="15.75" x14ac:dyDescent="0.5">
      <c r="B107" s="19"/>
    </row>
    <row r="108" spans="1:19" x14ac:dyDescent="0.45">
      <c r="B108" s="20"/>
    </row>
    <row r="109" spans="1:19" x14ac:dyDescent="0.45">
      <c r="B109" s="20"/>
    </row>
    <row r="111" spans="1:19" x14ac:dyDescent="0.45">
      <c r="E111"/>
      <c r="F111" s="1202" t="s">
        <v>196</v>
      </c>
    </row>
    <row r="112" spans="1:19" x14ac:dyDescent="0.45">
      <c r="E112" s="1203">
        <v>1</v>
      </c>
      <c r="F112" s="1203" t="s">
        <v>197</v>
      </c>
    </row>
    <row r="113" spans="5:6" x14ac:dyDescent="0.45">
      <c r="E113" s="1203">
        <v>2</v>
      </c>
      <c r="F113" s="1203" t="s">
        <v>227</v>
      </c>
    </row>
    <row r="114" spans="5:6" x14ac:dyDescent="0.45">
      <c r="E114" s="1203">
        <v>3</v>
      </c>
      <c r="F114" s="1203" t="s">
        <v>228</v>
      </c>
    </row>
    <row r="115" spans="5:6" x14ac:dyDescent="0.45">
      <c r="E115" s="1203">
        <v>4</v>
      </c>
      <c r="F115" s="1203" t="s">
        <v>229</v>
      </c>
    </row>
    <row r="116" spans="5:6" x14ac:dyDescent="0.45">
      <c r="E116" s="1203">
        <v>5</v>
      </c>
      <c r="F116" s="1203" t="s">
        <v>198</v>
      </c>
    </row>
    <row r="117" spans="5:6" x14ac:dyDescent="0.45">
      <c r="E117" s="1203">
        <v>6</v>
      </c>
      <c r="F117" s="1203" t="s">
        <v>230</v>
      </c>
    </row>
    <row r="118" spans="5:6" x14ac:dyDescent="0.45">
      <c r="E118" s="1203">
        <v>7</v>
      </c>
      <c r="F118" s="1203" t="s">
        <v>231</v>
      </c>
    </row>
    <row r="119" spans="5:6" x14ac:dyDescent="0.45">
      <c r="E119" s="1203">
        <v>8</v>
      </c>
      <c r="F119" s="1203" t="s">
        <v>199</v>
      </c>
    </row>
    <row r="120" spans="5:6" x14ac:dyDescent="0.45">
      <c r="E120" s="1203">
        <v>9</v>
      </c>
      <c r="F120" s="1203" t="s">
        <v>200</v>
      </c>
    </row>
    <row r="121" spans="5:6" x14ac:dyDescent="0.45">
      <c r="E121" s="1203">
        <v>10</v>
      </c>
      <c r="F121" s="1203" t="s">
        <v>201</v>
      </c>
    </row>
    <row r="122" spans="5:6" x14ac:dyDescent="0.45">
      <c r="E122" s="1203">
        <v>11</v>
      </c>
      <c r="F122" s="1203" t="s">
        <v>232</v>
      </c>
    </row>
    <row r="123" spans="5:6" x14ac:dyDescent="0.45">
      <c r="E123" s="1203">
        <v>12</v>
      </c>
      <c r="F123" s="1203" t="s">
        <v>202</v>
      </c>
    </row>
    <row r="124" spans="5:6" x14ac:dyDescent="0.45">
      <c r="E124" s="1203">
        <f t="shared" ref="E124:E145" si="35">E123+1</f>
        <v>13</v>
      </c>
      <c r="F124" s="1203" t="s">
        <v>203</v>
      </c>
    </row>
    <row r="125" spans="5:6" x14ac:dyDescent="0.45">
      <c r="E125" s="1203">
        <v>14</v>
      </c>
      <c r="F125" s="1203" t="s">
        <v>233</v>
      </c>
    </row>
    <row r="126" spans="5:6" x14ac:dyDescent="0.45">
      <c r="E126" s="1203">
        <v>15</v>
      </c>
      <c r="F126" s="1203" t="s">
        <v>234</v>
      </c>
    </row>
    <row r="127" spans="5:6" x14ac:dyDescent="0.45">
      <c r="E127" s="1203">
        <v>16</v>
      </c>
      <c r="F127" s="1203" t="s">
        <v>213</v>
      </c>
    </row>
    <row r="128" spans="5:6" x14ac:dyDescent="0.45">
      <c r="E128" s="1203">
        <v>17</v>
      </c>
      <c r="F128" s="1203" t="s">
        <v>235</v>
      </c>
    </row>
    <row r="129" spans="5:6" x14ac:dyDescent="0.45">
      <c r="E129" s="1203">
        <v>18</v>
      </c>
      <c r="F129" s="1203" t="s">
        <v>263</v>
      </c>
    </row>
    <row r="130" spans="5:6" x14ac:dyDescent="0.45">
      <c r="E130" s="1203">
        <v>19</v>
      </c>
      <c r="F130" s="1203" t="s">
        <v>204</v>
      </c>
    </row>
    <row r="131" spans="5:6" x14ac:dyDescent="0.45">
      <c r="E131" s="1203">
        <v>20</v>
      </c>
      <c r="F131" s="1203" t="s">
        <v>236</v>
      </c>
    </row>
    <row r="132" spans="5:6" x14ac:dyDescent="0.45">
      <c r="E132" s="1203">
        <v>21</v>
      </c>
      <c r="F132" s="1203" t="s">
        <v>237</v>
      </c>
    </row>
    <row r="133" spans="5:6" x14ac:dyDescent="0.45">
      <c r="E133" s="1203">
        <v>22</v>
      </c>
      <c r="F133" s="1203" t="s">
        <v>238</v>
      </c>
    </row>
    <row r="134" spans="5:6" x14ac:dyDescent="0.45">
      <c r="E134" s="1203">
        <v>23</v>
      </c>
      <c r="F134" s="1203" t="s">
        <v>205</v>
      </c>
    </row>
    <row r="135" spans="5:6" x14ac:dyDescent="0.45">
      <c r="E135" s="1203">
        <v>24</v>
      </c>
      <c r="F135" s="1203" t="s">
        <v>239</v>
      </c>
    </row>
    <row r="136" spans="5:6" x14ac:dyDescent="0.45">
      <c r="E136" s="1203">
        <v>25</v>
      </c>
      <c r="F136" s="1203" t="s">
        <v>240</v>
      </c>
    </row>
    <row r="137" spans="5:6" x14ac:dyDescent="0.45">
      <c r="E137" s="1203">
        <v>26</v>
      </c>
      <c r="F137" s="1203" t="s">
        <v>241</v>
      </c>
    </row>
    <row r="138" spans="5:6" x14ac:dyDescent="0.45">
      <c r="E138" s="1203">
        <v>27</v>
      </c>
      <c r="F138" s="1203" t="s">
        <v>206</v>
      </c>
    </row>
    <row r="139" spans="5:6" x14ac:dyDescent="0.45">
      <c r="E139" s="1203">
        <v>28</v>
      </c>
      <c r="F139" s="1203" t="s">
        <v>242</v>
      </c>
    </row>
    <row r="140" spans="5:6" x14ac:dyDescent="0.45">
      <c r="E140" s="1203">
        <v>29</v>
      </c>
      <c r="F140" s="1203" t="s">
        <v>243</v>
      </c>
    </row>
    <row r="141" spans="5:6" x14ac:dyDescent="0.45">
      <c r="E141" s="1203">
        <v>30</v>
      </c>
      <c r="F141" s="1203" t="s">
        <v>244</v>
      </c>
    </row>
    <row r="142" spans="5:6" x14ac:dyDescent="0.45">
      <c r="E142" s="1203">
        <v>31</v>
      </c>
      <c r="F142" s="1203" t="s">
        <v>245</v>
      </c>
    </row>
    <row r="143" spans="5:6" x14ac:dyDescent="0.45">
      <c r="E143" s="1203">
        <v>32</v>
      </c>
      <c r="F143" s="1203" t="s">
        <v>246</v>
      </c>
    </row>
    <row r="144" spans="5:6" x14ac:dyDescent="0.45">
      <c r="E144" s="1203">
        <v>33</v>
      </c>
      <c r="F144" s="1203" t="s">
        <v>207</v>
      </c>
    </row>
    <row r="145" spans="5:6" x14ac:dyDescent="0.45">
      <c r="E145" s="1203">
        <f t="shared" si="35"/>
        <v>34</v>
      </c>
      <c r="F145" s="1203" t="s">
        <v>208</v>
      </c>
    </row>
    <row r="146" spans="5:6" x14ac:dyDescent="0.45">
      <c r="E146" s="1203">
        <v>35</v>
      </c>
      <c r="F146" s="1203" t="s">
        <v>247</v>
      </c>
    </row>
    <row r="147" spans="5:6" x14ac:dyDescent="0.45">
      <c r="E147" s="1203">
        <v>36</v>
      </c>
      <c r="F147" s="1203" t="s">
        <v>248</v>
      </c>
    </row>
    <row r="148" spans="5:6" x14ac:dyDescent="0.45">
      <c r="E148" s="1203">
        <v>36</v>
      </c>
      <c r="F148" s="1203" t="s">
        <v>249</v>
      </c>
    </row>
    <row r="149" spans="5:6" x14ac:dyDescent="0.45">
      <c r="E149" s="1203">
        <v>38</v>
      </c>
      <c r="F149" s="1203" t="s">
        <v>250</v>
      </c>
    </row>
    <row r="150" spans="5:6" x14ac:dyDescent="0.45">
      <c r="E150" s="1203">
        <v>39</v>
      </c>
      <c r="F150" s="1203" t="s">
        <v>251</v>
      </c>
    </row>
    <row r="151" spans="5:6" x14ac:dyDescent="0.45">
      <c r="E151" s="1203">
        <v>40</v>
      </c>
      <c r="F151" s="1203" t="s">
        <v>209</v>
      </c>
    </row>
    <row r="152" spans="5:6" x14ac:dyDescent="0.45">
      <c r="E152" s="1203">
        <v>41</v>
      </c>
      <c r="F152" s="1203" t="s">
        <v>264</v>
      </c>
    </row>
    <row r="153" spans="5:6" x14ac:dyDescent="0.45">
      <c r="E153" s="1203">
        <v>42</v>
      </c>
      <c r="F153" s="1203" t="s">
        <v>252</v>
      </c>
    </row>
    <row r="154" spans="5:6" x14ac:dyDescent="0.45">
      <c r="E154" s="1203">
        <v>43</v>
      </c>
      <c r="F154" s="1203" t="s">
        <v>253</v>
      </c>
    </row>
    <row r="155" spans="5:6" x14ac:dyDescent="0.45">
      <c r="E155" s="1203">
        <v>44</v>
      </c>
      <c r="F155" s="1203" t="s">
        <v>254</v>
      </c>
    </row>
    <row r="156" spans="5:6" x14ac:dyDescent="0.45">
      <c r="E156" s="1203">
        <v>45</v>
      </c>
      <c r="F156" s="1203" t="s">
        <v>210</v>
      </c>
    </row>
    <row r="157" spans="5:6" x14ac:dyDescent="0.45">
      <c r="E157" s="1203">
        <v>46</v>
      </c>
      <c r="F157" s="1203" t="s">
        <v>255</v>
      </c>
    </row>
    <row r="158" spans="5:6" x14ac:dyDescent="0.45">
      <c r="E158" s="1203">
        <v>47</v>
      </c>
      <c r="F158" s="1203" t="s">
        <v>211</v>
      </c>
    </row>
    <row r="159" spans="5:6" x14ac:dyDescent="0.45">
      <c r="E159" s="1203">
        <v>48</v>
      </c>
      <c r="F159" s="1203" t="s">
        <v>256</v>
      </c>
    </row>
    <row r="160" spans="5:6" x14ac:dyDescent="0.45">
      <c r="E160" s="1203">
        <v>49</v>
      </c>
      <c r="F160" s="1203" t="s">
        <v>257</v>
      </c>
    </row>
    <row r="161" spans="5:6" x14ac:dyDescent="0.45">
      <c r="E161" s="1203">
        <v>50</v>
      </c>
      <c r="F161" s="1203" t="s">
        <v>260</v>
      </c>
    </row>
    <row r="162" spans="5:6" x14ac:dyDescent="0.45">
      <c r="E162" s="1203">
        <v>51</v>
      </c>
      <c r="F162" s="1203" t="s">
        <v>258</v>
      </c>
    </row>
    <row r="163" spans="5:6" x14ac:dyDescent="0.45">
      <c r="E163" s="1203">
        <v>52</v>
      </c>
      <c r="F163" s="1203" t="s">
        <v>212</v>
      </c>
    </row>
    <row r="164" spans="5:6" x14ac:dyDescent="0.45">
      <c r="E164" s="1203">
        <v>53</v>
      </c>
      <c r="F164" s="1203" t="s">
        <v>259</v>
      </c>
    </row>
    <row r="165" spans="5:6" x14ac:dyDescent="0.45">
      <c r="E165" s="1203">
        <v>54</v>
      </c>
      <c r="F165" s="1203" t="s">
        <v>261</v>
      </c>
    </row>
    <row r="166" spans="5:6" x14ac:dyDescent="0.45">
      <c r="E166" s="1203">
        <v>55</v>
      </c>
      <c r="F166" s="1203" t="s">
        <v>262</v>
      </c>
    </row>
    <row r="167" spans="5:6" x14ac:dyDescent="0.45">
      <c r="E167"/>
      <c r="F167"/>
    </row>
    <row r="168" spans="5:6" x14ac:dyDescent="0.45">
      <c r="E168"/>
      <c r="F168"/>
    </row>
  </sheetData>
  <sheetProtection algorithmName="SHA-512" hashValue="NriCDpDk9RhpooMCOt8MD/mMvI7LgfYlw3GrON88KThseeJYWQlICmf65mRCBqE2vGCNyLRjcaW0XD6wN9/E2w==" saltValue="+IUuE3jfF5JmUJsfBs1yGg=="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18:O19 O15 O23 O33:O37 O40 O47 O50 O52:O53 O60 O67 O70 O72 O74 O76:O77 O86:O87 O93">
    <cfRule type="colorScale" priority="135">
      <colorScale>
        <cfvo type="num" val="0"/>
        <cfvo type="num" val="1.8"/>
        <cfvo type="num" val="3.571428"/>
        <color rgb="FFFF0000"/>
        <color rgb="FFFFFF00"/>
        <color rgb="FF92FB4B"/>
      </colorScale>
    </cfRule>
  </conditionalFormatting>
  <conditionalFormatting sqref="O24">
    <cfRule type="colorScale" priority="134">
      <colorScale>
        <cfvo type="num" val="0"/>
        <cfvo type="num" val="1.8"/>
        <cfvo type="num" val="3.6"/>
        <color rgb="FFFF0000"/>
        <color rgb="FFFFFF00"/>
        <color rgb="FF92FB4B"/>
      </colorScale>
    </cfRule>
  </conditionalFormatting>
  <conditionalFormatting sqref="O4">
    <cfRule type="colorScale" priority="133">
      <colorScale>
        <cfvo type="num" val="0"/>
        <cfvo type="num" val="50"/>
        <cfvo type="num" val="100"/>
        <color rgb="FFFF0000"/>
        <color rgb="FFFFFF00"/>
        <color rgb="FF92FB4B"/>
      </colorScale>
    </cfRule>
  </conditionalFormatting>
  <conditionalFormatting sqref="N19:N22 N38:N39 N53 N11:N12">
    <cfRule type="colorScale" priority="132">
      <colorScale>
        <cfvo type="num" val="0"/>
        <cfvo type="num" val="0.6"/>
        <cfvo type="num" val="1"/>
        <color rgb="FFFF0000"/>
        <color rgb="FFFFFF00"/>
        <color rgb="FF92FB4B"/>
      </colorScale>
    </cfRule>
  </conditionalFormatting>
  <conditionalFormatting sqref="N15:N17">
    <cfRule type="colorScale" priority="131">
      <colorScale>
        <cfvo type="num" val="0"/>
        <cfvo type="num" val="0.6"/>
        <cfvo type="num" val="1"/>
        <color rgb="FFFF0000"/>
        <color rgb="FFFFFF00"/>
        <color rgb="FF92FB4B"/>
      </colorScale>
    </cfRule>
  </conditionalFormatting>
  <conditionalFormatting sqref="N24:N27">
    <cfRule type="colorScale" priority="130">
      <colorScale>
        <cfvo type="num" val="0"/>
        <cfvo type="num" val="0.6"/>
        <cfvo type="num" val="1"/>
        <color rgb="FFFF0000"/>
        <color rgb="FFFFFF00"/>
        <color rgb="FF92FB4B"/>
      </colorScale>
    </cfRule>
  </conditionalFormatting>
  <conditionalFormatting sqref="N33:N36">
    <cfRule type="colorScale" priority="129">
      <colorScale>
        <cfvo type="num" val="0"/>
        <cfvo type="num" val="0.6"/>
        <cfvo type="num" val="1"/>
        <color rgb="FFFF0000"/>
        <color rgb="FFFFFF00"/>
        <color rgb="FF92FB4B"/>
      </colorScale>
    </cfRule>
  </conditionalFormatting>
  <conditionalFormatting sqref="N41:N42">
    <cfRule type="colorScale" priority="128">
      <colorScale>
        <cfvo type="num" val="0"/>
        <cfvo type="num" val="0.6"/>
        <cfvo type="num" val="1"/>
        <color rgb="FFFF0000"/>
        <color rgb="FFFFFF00"/>
        <color rgb="FF92FB4B"/>
      </colorScale>
    </cfRule>
  </conditionalFormatting>
  <conditionalFormatting sqref="N44:N45">
    <cfRule type="colorScale" priority="127">
      <colorScale>
        <cfvo type="num" val="0"/>
        <cfvo type="num" val="0.6"/>
        <cfvo type="num" val="1"/>
        <color rgb="FFFF0000"/>
        <color rgb="FFFFFF00"/>
        <color rgb="FF92FB4B"/>
      </colorScale>
    </cfRule>
  </conditionalFormatting>
  <conditionalFormatting sqref="N48:N49">
    <cfRule type="colorScale" priority="126">
      <colorScale>
        <cfvo type="num" val="0"/>
        <cfvo type="num" val="0.6"/>
        <cfvo type="num" val="1"/>
        <color rgb="FFFF0000"/>
        <color rgb="FFFFFF00"/>
        <color rgb="FF92FB4B"/>
      </colorScale>
    </cfRule>
  </conditionalFormatting>
  <conditionalFormatting sqref="N61">
    <cfRule type="colorScale" priority="125">
      <colorScale>
        <cfvo type="num" val="0"/>
        <cfvo type="num" val="0.6"/>
        <cfvo type="num" val="1"/>
        <color rgb="FFFF0000"/>
        <color rgb="FFFFFF00"/>
        <color rgb="FF92FB4B"/>
      </colorScale>
    </cfRule>
  </conditionalFormatting>
  <conditionalFormatting sqref="N78">
    <cfRule type="colorScale" priority="121">
      <colorScale>
        <cfvo type="num" val="0"/>
        <cfvo type="num" val="0.6"/>
        <cfvo type="num" val="1"/>
        <color rgb="FFFF0000"/>
        <color rgb="FFFFFF00"/>
        <color rgb="FF92FB4B"/>
      </colorScale>
    </cfRule>
  </conditionalFormatting>
  <conditionalFormatting sqref="N68">
    <cfRule type="colorScale" priority="124">
      <colorScale>
        <cfvo type="num" val="0"/>
        <cfvo type="num" val="0.6"/>
        <cfvo type="num" val="1"/>
        <color rgb="FFFF0000"/>
        <color rgb="FFFFFF00"/>
        <color rgb="FF92FB4B"/>
      </colorScale>
    </cfRule>
  </conditionalFormatting>
  <conditionalFormatting sqref="N71">
    <cfRule type="colorScale" priority="123">
      <colorScale>
        <cfvo type="num" val="0"/>
        <cfvo type="num" val="0.6"/>
        <cfvo type="num" val="1"/>
        <color rgb="FFFF0000"/>
        <color rgb="FFFFFF00"/>
        <color rgb="FF92FB4B"/>
      </colorScale>
    </cfRule>
  </conditionalFormatting>
  <conditionalFormatting sqref="N73">
    <cfRule type="colorScale" priority="122">
      <colorScale>
        <cfvo type="num" val="0"/>
        <cfvo type="num" val="0.6"/>
        <cfvo type="num" val="1"/>
        <color rgb="FFFF0000"/>
        <color rgb="FFFFFF00"/>
        <color rgb="FF92FB4B"/>
      </colorScale>
    </cfRule>
  </conditionalFormatting>
  <conditionalFormatting sqref="N81">
    <cfRule type="colorScale" priority="120">
      <colorScale>
        <cfvo type="num" val="0"/>
        <cfvo type="num" val="0.6"/>
        <cfvo type="num" val="1"/>
        <color rgb="FFFF0000"/>
        <color rgb="FFFFFF00"/>
        <color rgb="FF92FB4B"/>
      </colorScale>
    </cfRule>
  </conditionalFormatting>
  <conditionalFormatting sqref="N87">
    <cfRule type="colorScale" priority="119">
      <colorScale>
        <cfvo type="num" val="0"/>
        <cfvo type="num" val="0.6"/>
        <cfvo type="num" val="1"/>
        <color rgb="FFFF0000"/>
        <color rgb="FFFFFF00"/>
        <color rgb="FF92FB4B"/>
      </colorScale>
    </cfRule>
  </conditionalFormatting>
  <conditionalFormatting sqref="N94">
    <cfRule type="colorScale" priority="118">
      <colorScale>
        <cfvo type="num" val="0"/>
        <cfvo type="num" val="0.6"/>
        <cfvo type="num" val="1"/>
        <color rgb="FFFF0000"/>
        <color rgb="FFFFFF00"/>
        <color rgb="FF92FB4B"/>
      </colorScale>
    </cfRule>
  </conditionalFormatting>
  <conditionalFormatting sqref="N98:N99">
    <cfRule type="colorScale" priority="117">
      <colorScale>
        <cfvo type="num" val="0"/>
        <cfvo type="num" val="0.6"/>
        <cfvo type="num" val="1"/>
        <color rgb="FFFF0000"/>
        <color rgb="FFFFFF00"/>
        <color rgb="FF92FB4B"/>
      </colorScale>
    </cfRule>
  </conditionalFormatting>
  <conditionalFormatting sqref="N100:N101">
    <cfRule type="colorScale" priority="116">
      <colorScale>
        <cfvo type="num" val="0"/>
        <cfvo type="num" val="0.6"/>
        <cfvo type="num" val="1"/>
        <color rgb="FFFF0000"/>
        <color rgb="FFFFFF00"/>
        <color rgb="FF92FB4B"/>
      </colorScale>
    </cfRule>
  </conditionalFormatting>
  <conditionalFormatting sqref="N51">
    <cfRule type="colorScale" priority="115">
      <colorScale>
        <cfvo type="num" val="0"/>
        <cfvo type="num" val="0.6"/>
        <cfvo type="num" val="1"/>
        <color rgb="FFFF0000"/>
        <color rgb="FFFFFF00"/>
        <color rgb="FF92FB4B"/>
      </colorScale>
    </cfRule>
  </conditionalFormatting>
  <conditionalFormatting sqref="N83">
    <cfRule type="colorScale" priority="114">
      <colorScale>
        <cfvo type="num" val="0"/>
        <cfvo type="num" val="0.6"/>
        <cfvo type="num" val="1"/>
        <color rgb="FFFF0000"/>
        <color rgb="FFFFFF00"/>
        <color rgb="FF92FB4B"/>
      </colorScale>
    </cfRule>
  </conditionalFormatting>
  <conditionalFormatting sqref="N75">
    <cfRule type="colorScale" priority="113">
      <colorScale>
        <cfvo type="num" val="0"/>
        <cfvo type="num" val="0.6"/>
        <cfvo type="num" val="1"/>
        <color rgb="FFFF0000"/>
        <color rgb="FFFFFF00"/>
        <color rgb="FF92FB4B"/>
      </colorScale>
    </cfRule>
  </conditionalFormatting>
  <conditionalFormatting sqref="N9">
    <cfRule type="colorScale" priority="112">
      <colorScale>
        <cfvo type="num" val="0"/>
        <cfvo type="num" val="0.6"/>
        <cfvo type="num" val="1"/>
        <color rgb="FFFF0000"/>
        <color rgb="FFFFFF00"/>
        <color rgb="FF92FB4B"/>
      </colorScale>
    </cfRule>
  </conditionalFormatting>
  <conditionalFormatting sqref="N10">
    <cfRule type="colorScale" priority="111">
      <colorScale>
        <cfvo type="num" val="0"/>
        <cfvo type="num" val="0.6"/>
        <cfvo type="num" val="1"/>
        <color rgb="FFFF0000"/>
        <color rgb="FFFFFF00"/>
        <color rgb="FF92FB4B"/>
      </colorScale>
    </cfRule>
  </conditionalFormatting>
  <conditionalFormatting sqref="N18">
    <cfRule type="colorScale" priority="110">
      <colorScale>
        <cfvo type="num" val="0"/>
        <cfvo type="num" val="0.6"/>
        <cfvo type="num" val="1"/>
        <color rgb="FFFF0000"/>
        <color rgb="FFFFFF00"/>
        <color rgb="FF92FB4B"/>
      </colorScale>
    </cfRule>
  </conditionalFormatting>
  <conditionalFormatting sqref="N23">
    <cfRule type="colorScale" priority="109">
      <colorScale>
        <cfvo type="num" val="0"/>
        <cfvo type="num" val="0.6"/>
        <cfvo type="num" val="1"/>
        <color rgb="FFFF0000"/>
        <color rgb="FFFFFF00"/>
        <color rgb="FF92FB4B"/>
      </colorScale>
    </cfRule>
  </conditionalFormatting>
  <conditionalFormatting sqref="N32">
    <cfRule type="colorScale" priority="108">
      <colorScale>
        <cfvo type="num" val="0"/>
        <cfvo type="num" val="0.6"/>
        <cfvo type="num" val="1"/>
        <color rgb="FFFF0000"/>
        <color rgb="FFFFFF00"/>
        <color rgb="FF92FB4B"/>
      </colorScale>
    </cfRule>
  </conditionalFormatting>
  <conditionalFormatting sqref="N37">
    <cfRule type="colorScale" priority="107">
      <colorScale>
        <cfvo type="num" val="0"/>
        <cfvo type="num" val="0.6"/>
        <cfvo type="num" val="1"/>
        <color rgb="FFFF0000"/>
        <color rgb="FFFFFF00"/>
        <color rgb="FF92FB4B"/>
      </colorScale>
    </cfRule>
  </conditionalFormatting>
  <conditionalFormatting sqref="N40">
    <cfRule type="colorScale" priority="106">
      <colorScale>
        <cfvo type="num" val="0"/>
        <cfvo type="num" val="0.6"/>
        <cfvo type="num" val="1"/>
        <color rgb="FFFF0000"/>
        <color rgb="FFFFFF00"/>
        <color rgb="FF92FB4B"/>
      </colorScale>
    </cfRule>
  </conditionalFormatting>
  <conditionalFormatting sqref="N43">
    <cfRule type="colorScale" priority="105">
      <colorScale>
        <cfvo type="num" val="0"/>
        <cfvo type="num" val="0.6"/>
        <cfvo type="num" val="1"/>
        <color rgb="FFFF0000"/>
        <color rgb="FFFFFF00"/>
        <color rgb="FF92FB4B"/>
      </colorScale>
    </cfRule>
  </conditionalFormatting>
  <conditionalFormatting sqref="N46">
    <cfRule type="colorScale" priority="104">
      <colorScale>
        <cfvo type="num" val="0"/>
        <cfvo type="num" val="0.6"/>
        <cfvo type="num" val="1"/>
        <color rgb="FFFF0000"/>
        <color rgb="FFFFFF00"/>
        <color rgb="FF92FB4B"/>
      </colorScale>
    </cfRule>
  </conditionalFormatting>
  <conditionalFormatting sqref="N47">
    <cfRule type="colorScale" priority="103">
      <colorScale>
        <cfvo type="num" val="0"/>
        <cfvo type="num" val="0.6"/>
        <cfvo type="num" val="1"/>
        <color rgb="FFFF0000"/>
        <color rgb="FFFFFF00"/>
        <color rgb="FF92FB4B"/>
      </colorScale>
    </cfRule>
  </conditionalFormatting>
  <conditionalFormatting sqref="N50">
    <cfRule type="colorScale" priority="102">
      <colorScale>
        <cfvo type="num" val="0"/>
        <cfvo type="num" val="0.6"/>
        <cfvo type="num" val="1"/>
        <color rgb="FFFF0000"/>
        <color rgb="FFFFFF00"/>
        <color rgb="FF92FB4B"/>
      </colorScale>
    </cfRule>
  </conditionalFormatting>
  <conditionalFormatting sqref="N52">
    <cfRule type="colorScale" priority="101">
      <colorScale>
        <cfvo type="num" val="0"/>
        <cfvo type="num" val="0.6"/>
        <cfvo type="num" val="1"/>
        <color rgb="FFFF0000"/>
        <color rgb="FFFFFF00"/>
        <color rgb="FF92FB4B"/>
      </colorScale>
    </cfRule>
  </conditionalFormatting>
  <conditionalFormatting sqref="N59">
    <cfRule type="colorScale" priority="100">
      <colorScale>
        <cfvo type="num" val="0"/>
        <cfvo type="num" val="0.6"/>
        <cfvo type="num" val="1"/>
        <color rgb="FFFF0000"/>
        <color rgb="FFFFFF00"/>
        <color rgb="FF92FB4B"/>
      </colorScale>
    </cfRule>
  </conditionalFormatting>
  <conditionalFormatting sqref="N60">
    <cfRule type="colorScale" priority="99">
      <colorScale>
        <cfvo type="num" val="0"/>
        <cfvo type="num" val="0.6"/>
        <cfvo type="num" val="1"/>
        <color rgb="FFFF0000"/>
        <color rgb="FFFFFF00"/>
        <color rgb="FF92FB4B"/>
      </colorScale>
    </cfRule>
  </conditionalFormatting>
  <conditionalFormatting sqref="N67">
    <cfRule type="colorScale" priority="98">
      <colorScale>
        <cfvo type="num" val="0"/>
        <cfvo type="num" val="0.6"/>
        <cfvo type="num" val="1"/>
        <color rgb="FFFF0000"/>
        <color rgb="FFFFFF00"/>
        <color rgb="FF92FB4B"/>
      </colorScale>
    </cfRule>
  </conditionalFormatting>
  <conditionalFormatting sqref="N69">
    <cfRule type="colorScale" priority="97">
      <colorScale>
        <cfvo type="num" val="0"/>
        <cfvo type="num" val="0.6"/>
        <cfvo type="num" val="1"/>
        <color rgb="FFFF0000"/>
        <color rgb="FFFFFF00"/>
        <color rgb="FF92FB4B"/>
      </colorScale>
    </cfRule>
  </conditionalFormatting>
  <conditionalFormatting sqref="N70">
    <cfRule type="colorScale" priority="96">
      <colorScale>
        <cfvo type="num" val="0"/>
        <cfvo type="num" val="0.6"/>
        <cfvo type="num" val="1"/>
        <color rgb="FFFF0000"/>
        <color rgb="FFFFFF00"/>
        <color rgb="FF92FB4B"/>
      </colorScale>
    </cfRule>
  </conditionalFormatting>
  <conditionalFormatting sqref="N72">
    <cfRule type="colorScale" priority="95">
      <colorScale>
        <cfvo type="num" val="0"/>
        <cfvo type="num" val="0.6"/>
        <cfvo type="num" val="1"/>
        <color rgb="FFFF0000"/>
        <color rgb="FFFFFF00"/>
        <color rgb="FF92FB4B"/>
      </colorScale>
    </cfRule>
  </conditionalFormatting>
  <conditionalFormatting sqref="N74">
    <cfRule type="colorScale" priority="94">
      <colorScale>
        <cfvo type="num" val="0"/>
        <cfvo type="num" val="0.6"/>
        <cfvo type="num" val="1"/>
        <color rgb="FFFF0000"/>
        <color rgb="FFFFFF00"/>
        <color rgb="FF92FB4B"/>
      </colorScale>
    </cfRule>
  </conditionalFormatting>
  <conditionalFormatting sqref="N76">
    <cfRule type="colorScale" priority="93">
      <colorScale>
        <cfvo type="num" val="0"/>
        <cfvo type="num" val="0.6"/>
        <cfvo type="num" val="1"/>
        <color rgb="FFFF0000"/>
        <color rgb="FFFFFF00"/>
        <color rgb="FF92FB4B"/>
      </colorScale>
    </cfRule>
  </conditionalFormatting>
  <conditionalFormatting sqref="N77">
    <cfRule type="colorScale" priority="92">
      <colorScale>
        <cfvo type="num" val="0"/>
        <cfvo type="num" val="0.6"/>
        <cfvo type="num" val="1"/>
        <color rgb="FFFF0000"/>
        <color rgb="FFFFFF00"/>
        <color rgb="FF92FB4B"/>
      </colorScale>
    </cfRule>
  </conditionalFormatting>
  <conditionalFormatting sqref="N79">
    <cfRule type="colorScale" priority="91">
      <colorScale>
        <cfvo type="num" val="0"/>
        <cfvo type="num" val="0.6"/>
        <cfvo type="num" val="1"/>
        <color rgb="FFFF0000"/>
        <color rgb="FFFFFF00"/>
        <color rgb="FF92FB4B"/>
      </colorScale>
    </cfRule>
  </conditionalFormatting>
  <conditionalFormatting sqref="N80">
    <cfRule type="colorScale" priority="90">
      <colorScale>
        <cfvo type="num" val="0"/>
        <cfvo type="num" val="0.6"/>
        <cfvo type="num" val="1"/>
        <color rgb="FFFF0000"/>
        <color rgb="FFFFFF00"/>
        <color rgb="FF92FB4B"/>
      </colorScale>
    </cfRule>
  </conditionalFormatting>
  <conditionalFormatting sqref="N86">
    <cfRule type="colorScale" priority="89">
      <colorScale>
        <cfvo type="num" val="0"/>
        <cfvo type="num" val="0.6"/>
        <cfvo type="num" val="1"/>
        <color rgb="FFFF0000"/>
        <color rgb="FFFFFF00"/>
        <color rgb="FF92FB4B"/>
      </colorScale>
    </cfRule>
  </conditionalFormatting>
  <conditionalFormatting sqref="N92">
    <cfRule type="colorScale" priority="88">
      <colorScale>
        <cfvo type="num" val="0"/>
        <cfvo type="num" val="0.6"/>
        <cfvo type="num" val="1"/>
        <color rgb="FFFF0000"/>
        <color rgb="FFFFFF00"/>
        <color rgb="FF92FB4B"/>
      </colorScale>
    </cfRule>
  </conditionalFormatting>
  <conditionalFormatting sqref="N93">
    <cfRule type="colorScale" priority="87">
      <colorScale>
        <cfvo type="num" val="0"/>
        <cfvo type="num" val="0.6"/>
        <cfvo type="num" val="1"/>
        <color rgb="FFFF0000"/>
        <color rgb="FFFFFF00"/>
        <color rgb="FF92FB4B"/>
      </colorScale>
    </cfRule>
  </conditionalFormatting>
  <conditionalFormatting sqref="N97">
    <cfRule type="colorScale" priority="86">
      <colorScale>
        <cfvo type="num" val="0"/>
        <cfvo type="num" val="0.6"/>
        <cfvo type="num" val="1"/>
        <color rgb="FFFF0000"/>
        <color rgb="FFFFFF00"/>
        <color rgb="FF92FB4B"/>
      </colorScale>
    </cfRule>
  </conditionalFormatting>
  <conditionalFormatting sqref="N4">
    <cfRule type="colorScale" priority="85">
      <colorScale>
        <cfvo type="num" val="0"/>
        <cfvo type="num" val="0.6"/>
        <cfvo type="num" val="1"/>
        <color rgb="FFFF0000"/>
        <color rgb="FFFFFF00"/>
        <color rgb="FF92FB4B"/>
      </colorScale>
    </cfRule>
  </conditionalFormatting>
  <conditionalFormatting sqref="O9">
    <cfRule type="colorScale" priority="84">
      <colorScale>
        <cfvo type="num" val="0"/>
        <cfvo type="num" val="21.4285"/>
        <cfvo type="num" val="42.857135999999997"/>
        <color rgb="FFFF0000"/>
        <color rgb="FFFFFF00"/>
        <color rgb="FF92FB4B"/>
      </colorScale>
    </cfRule>
  </conditionalFormatting>
  <conditionalFormatting sqref="O10 O69 O97">
    <cfRule type="colorScale" priority="83">
      <colorScale>
        <cfvo type="num" val="0"/>
        <cfvo type="num" val="5.3570000000000002"/>
        <cfvo type="num" val="10.714"/>
        <color rgb="FFFF0000"/>
        <color rgb="FFFFFF00"/>
        <color rgb="FF92FB4B"/>
      </colorScale>
    </cfRule>
  </conditionalFormatting>
  <conditionalFormatting sqref="O32">
    <cfRule type="colorScale" priority="82">
      <colorScale>
        <cfvo type="num" val="0"/>
        <cfvo type="num" val="7.1428000000000003"/>
        <cfvo type="num" val="14.2857"/>
        <color rgb="FFFF0000"/>
        <color rgb="FFFFFF00"/>
        <color rgb="FF92FB4B"/>
      </colorScale>
    </cfRule>
  </conditionalFormatting>
  <conditionalFormatting sqref="O46">
    <cfRule type="colorScale" priority="81">
      <colorScale>
        <cfvo type="num" val="0"/>
        <cfvo type="num" val="5.3570000000000002"/>
        <cfvo type="num" val="10.7143"/>
        <color rgb="FFFF0000"/>
        <color rgb="FFFFFF00"/>
        <color rgb="FF92FB4B"/>
      </colorScale>
    </cfRule>
  </conditionalFormatting>
  <conditionalFormatting sqref="O59 O80">
    <cfRule type="colorScale" priority="80">
      <colorScale>
        <cfvo type="num" val="0"/>
        <cfvo type="num" val="3.5714000000000001"/>
        <cfvo type="num" val="7.1428000000000003"/>
        <color rgb="FFFF0000"/>
        <color rgb="FFFFFF00"/>
        <color rgb="FF92FB4B"/>
      </colorScale>
    </cfRule>
  </conditionalFormatting>
  <conditionalFormatting sqref="O79">
    <cfRule type="colorScale" priority="79">
      <colorScale>
        <cfvo type="num" val="0"/>
        <cfvo type="num" val="5.3571419999999996"/>
        <cfvo type="num" val="10.71428"/>
        <color rgb="FFFF0000"/>
        <color rgb="FFFFFF00"/>
        <color rgb="FF92FB4B"/>
      </colorScale>
    </cfRule>
  </conditionalFormatting>
  <conditionalFormatting sqref="O92">
    <cfRule type="colorScale" priority="78">
      <colorScale>
        <cfvo type="num" val="0"/>
        <cfvo type="num" val="7.1428000000000003"/>
        <cfvo type="num" val="14.28"/>
        <color rgb="FFFF0000"/>
        <color rgb="FFFFFF00"/>
        <color rgb="FF92FB4B"/>
      </colorScale>
    </cfRule>
  </conditionalFormatting>
  <conditionalFormatting sqref="O11:O12">
    <cfRule type="colorScale" priority="77">
      <colorScale>
        <cfvo type="num" val="0"/>
        <cfvo type="num" val="1.8"/>
        <cfvo type="num" val="3.571428"/>
        <color rgb="FFFF0000"/>
        <color rgb="FFFFFF00"/>
        <color rgb="FF92FB4B"/>
      </colorScale>
    </cfRule>
  </conditionalFormatting>
  <conditionalFormatting sqref="O13:O14">
    <cfRule type="colorScale" priority="76">
      <colorScale>
        <cfvo type="num" val="0"/>
        <cfvo type="num" val="1.8"/>
        <cfvo type="num" val="3.571428"/>
        <color rgb="FFFF0000"/>
        <color rgb="FFFFFF00"/>
        <color rgb="FF92FB4B"/>
      </colorScale>
    </cfRule>
  </conditionalFormatting>
  <conditionalFormatting sqref="O41:O42">
    <cfRule type="colorScale" priority="75">
      <colorScale>
        <cfvo type="num" val="0"/>
        <cfvo type="num" val="1.8"/>
        <cfvo type="num" val="3.571428"/>
        <color rgb="FFFF0000"/>
        <color rgb="FFFFFF00"/>
        <color rgb="FF92FB4B"/>
      </colorScale>
    </cfRule>
  </conditionalFormatting>
  <conditionalFormatting sqref="O44:O45">
    <cfRule type="colorScale" priority="74">
      <colorScale>
        <cfvo type="num" val="0"/>
        <cfvo type="num" val="1.8"/>
        <cfvo type="num" val="3.571428"/>
        <color rgb="FFFF0000"/>
        <color rgb="FFFFFF00"/>
        <color rgb="FF92FB4B"/>
      </colorScale>
    </cfRule>
  </conditionalFormatting>
  <conditionalFormatting sqref="O48:O49">
    <cfRule type="colorScale" priority="73">
      <colorScale>
        <cfvo type="num" val="0"/>
        <cfvo type="num" val="1.8"/>
        <cfvo type="num" val="3.571428"/>
        <color rgb="FFFF0000"/>
        <color rgb="FFFFFF00"/>
        <color rgb="FF92FB4B"/>
      </colorScale>
    </cfRule>
  </conditionalFormatting>
  <conditionalFormatting sqref="O81:O82">
    <cfRule type="colorScale" priority="72">
      <colorScale>
        <cfvo type="num" val="0"/>
        <cfvo type="num" val="1.8"/>
        <cfvo type="num" val="3.571428"/>
        <color rgb="FFFF0000"/>
        <color rgb="FFFFFF00"/>
        <color rgb="FF92FB4B"/>
      </colorScale>
    </cfRule>
  </conditionalFormatting>
  <conditionalFormatting sqref="O100:O101">
    <cfRule type="colorScale" priority="71">
      <colorScale>
        <cfvo type="num" val="0"/>
        <cfvo type="num" val="1.8"/>
        <cfvo type="num" val="3.571428"/>
        <color rgb="FFFF0000"/>
        <color rgb="FFFFFF00"/>
        <color rgb="FF92FB4B"/>
      </colorScale>
    </cfRule>
  </conditionalFormatting>
  <conditionalFormatting sqref="O94">
    <cfRule type="colorScale" priority="70">
      <colorScale>
        <cfvo type="num" val="0"/>
        <cfvo type="num" val="1.8"/>
        <cfvo type="num" val="3.571428"/>
        <color rgb="FFFF0000"/>
        <color rgb="FFFFFF00"/>
        <color rgb="FF92FB4B"/>
      </colorScale>
    </cfRule>
  </conditionalFormatting>
  <conditionalFormatting sqref="O38:O39">
    <cfRule type="colorScale" priority="69">
      <colorScale>
        <cfvo type="num" val="0"/>
        <cfvo type="num" val="1.8"/>
        <cfvo type="num" val="3.571428"/>
        <color rgb="FFFF0000"/>
        <color rgb="FFFFFF00"/>
        <color rgb="FF92FB4B"/>
      </colorScale>
    </cfRule>
  </conditionalFormatting>
  <conditionalFormatting sqref="O43">
    <cfRule type="colorScale" priority="68">
      <colorScale>
        <cfvo type="num" val="0"/>
        <cfvo type="num" val="1.8"/>
        <cfvo type="num" val="3.571428"/>
        <color rgb="FFFF0000"/>
        <color rgb="FFFFFF00"/>
        <color rgb="FF92FB4B"/>
      </colorScale>
    </cfRule>
  </conditionalFormatting>
  <conditionalFormatting sqref="O51">
    <cfRule type="colorScale" priority="67">
      <colorScale>
        <cfvo type="num" val="0"/>
        <cfvo type="num" val="1.8"/>
        <cfvo type="num" val="3.571428"/>
        <color rgb="FFFF0000"/>
        <color rgb="FFFFFF00"/>
        <color rgb="FF92FB4B"/>
      </colorScale>
    </cfRule>
  </conditionalFormatting>
  <conditionalFormatting sqref="O68">
    <cfRule type="colorScale" priority="66">
      <colorScale>
        <cfvo type="num" val="0"/>
        <cfvo type="num" val="1.8"/>
        <cfvo type="num" val="3.571428"/>
        <color rgb="FFFF0000"/>
        <color rgb="FFFFFF00"/>
        <color rgb="FF92FB4B"/>
      </colorScale>
    </cfRule>
  </conditionalFormatting>
  <conditionalFormatting sqref="O71">
    <cfRule type="colorScale" priority="65">
      <colorScale>
        <cfvo type="num" val="0"/>
        <cfvo type="num" val="1.8"/>
        <cfvo type="num" val="3.571428"/>
        <color rgb="FFFF0000"/>
        <color rgb="FFFFFF00"/>
        <color rgb="FF92FB4B"/>
      </colorScale>
    </cfRule>
  </conditionalFormatting>
  <conditionalFormatting sqref="O73">
    <cfRule type="colorScale" priority="64">
      <colorScale>
        <cfvo type="num" val="0"/>
        <cfvo type="num" val="1.8"/>
        <cfvo type="num" val="3.571428"/>
        <color rgb="FFFF0000"/>
        <color rgb="FFFFFF00"/>
        <color rgb="FF92FB4B"/>
      </colorScale>
    </cfRule>
  </conditionalFormatting>
  <conditionalFormatting sqref="O75">
    <cfRule type="colorScale" priority="63">
      <colorScale>
        <cfvo type="num" val="0"/>
        <cfvo type="num" val="1.8"/>
        <cfvo type="num" val="3.571428"/>
        <color rgb="FFFF0000"/>
        <color rgb="FFFFFF00"/>
        <color rgb="FF92FB4B"/>
      </colorScale>
    </cfRule>
  </conditionalFormatting>
  <conditionalFormatting sqref="O78">
    <cfRule type="colorScale" priority="62">
      <colorScale>
        <cfvo type="num" val="0"/>
        <cfvo type="num" val="1.8"/>
        <cfvo type="num" val="3.571428"/>
        <color rgb="FFFF0000"/>
        <color rgb="FFFFFF00"/>
        <color rgb="FF92FB4B"/>
      </colorScale>
    </cfRule>
  </conditionalFormatting>
  <conditionalFormatting sqref="O98">
    <cfRule type="colorScale" priority="61">
      <colorScale>
        <cfvo type="num" val="0"/>
        <cfvo type="num" val="1.8"/>
        <cfvo type="num" val="3.571428"/>
        <color rgb="FFFF0000"/>
        <color rgb="FFFFFF00"/>
        <color rgb="FF92FB4B"/>
      </colorScale>
    </cfRule>
  </conditionalFormatting>
  <conditionalFormatting sqref="O99">
    <cfRule type="colorScale" priority="60">
      <colorScale>
        <cfvo type="num" val="0"/>
        <cfvo type="num" val="1.8"/>
        <cfvo type="num" val="3.571428"/>
        <color rgb="FFFF0000"/>
        <color rgb="FFFFFF00"/>
        <color rgb="FF92FB4B"/>
      </colorScale>
    </cfRule>
  </conditionalFormatting>
  <conditionalFormatting sqref="O83">
    <cfRule type="colorScale" priority="59">
      <colorScale>
        <cfvo type="num" val="0"/>
        <cfvo type="num" val="1.8"/>
        <cfvo type="num" val="3.571428"/>
        <color rgb="FFFF0000"/>
        <color rgb="FFFFFF00"/>
        <color rgb="FF92FB4B"/>
      </colorScale>
    </cfRule>
  </conditionalFormatting>
  <conditionalFormatting sqref="P4">
    <cfRule type="colorScale" priority="58">
      <colorScale>
        <cfvo type="num" val="0"/>
        <cfvo type="num" val="0.6"/>
        <cfvo type="num" val="1"/>
        <color rgb="FFFF0000"/>
        <color rgb="FFFFFF00"/>
        <color rgb="FF92FB4B"/>
      </colorScale>
    </cfRule>
  </conditionalFormatting>
  <conditionalFormatting sqref="P9">
    <cfRule type="colorScale" priority="57">
      <colorScale>
        <cfvo type="num" val="0"/>
        <cfvo type="num" val="0.6"/>
        <cfvo type="num" val="1"/>
        <color rgb="FFFF0000"/>
        <color rgb="FFFFFF00"/>
        <color rgb="FF92FB4B"/>
      </colorScale>
    </cfRule>
  </conditionalFormatting>
  <conditionalFormatting sqref="P10">
    <cfRule type="colorScale" priority="56">
      <colorScale>
        <cfvo type="num" val="0"/>
        <cfvo type="num" val="0.6"/>
        <cfvo type="num" val="1"/>
        <color rgb="FFFF0000"/>
        <color rgb="FFFFFF00"/>
        <color rgb="FF92FB4B"/>
      </colorScale>
    </cfRule>
  </conditionalFormatting>
  <conditionalFormatting sqref="P11">
    <cfRule type="colorScale" priority="55">
      <colorScale>
        <cfvo type="num" val="0"/>
        <cfvo type="num" val="0.6"/>
        <cfvo type="num" val="1"/>
        <color rgb="FFFF0000"/>
        <color rgb="FFFFFF00"/>
        <color rgb="FF92FB4B"/>
      </colorScale>
    </cfRule>
  </conditionalFormatting>
  <conditionalFormatting sqref="P13">
    <cfRule type="colorScale" priority="54">
      <colorScale>
        <cfvo type="num" val="0"/>
        <cfvo type="num" val="0.6"/>
        <cfvo type="num" val="1"/>
        <color rgb="FFFF0000"/>
        <color rgb="FFFFFF00"/>
        <color rgb="FF92FB4B"/>
      </colorScale>
    </cfRule>
  </conditionalFormatting>
  <conditionalFormatting sqref="P15">
    <cfRule type="colorScale" priority="53">
      <colorScale>
        <cfvo type="num" val="0"/>
        <cfvo type="num" val="0.6"/>
        <cfvo type="num" val="1"/>
        <color rgb="FFFF0000"/>
        <color rgb="FFFFFF00"/>
        <color rgb="FF92FB4B"/>
      </colorScale>
    </cfRule>
  </conditionalFormatting>
  <conditionalFormatting sqref="P23">
    <cfRule type="colorScale" priority="52">
      <colorScale>
        <cfvo type="num" val="0"/>
        <cfvo type="num" val="0.6"/>
        <cfvo type="num" val="1"/>
        <color rgb="FFFF0000"/>
        <color rgb="FFFFFF00"/>
        <color rgb="FF92FB4B"/>
      </colorScale>
    </cfRule>
  </conditionalFormatting>
  <conditionalFormatting sqref="P32">
    <cfRule type="colorScale" priority="51">
      <colorScale>
        <cfvo type="num" val="0"/>
        <cfvo type="num" val="0.6"/>
        <cfvo type="num" val="1"/>
        <color rgb="FFFF0000"/>
        <color rgb="FFFFFF00"/>
        <color rgb="FF92FB4B"/>
      </colorScale>
    </cfRule>
  </conditionalFormatting>
  <conditionalFormatting sqref="P33">
    <cfRule type="colorScale" priority="50">
      <colorScale>
        <cfvo type="num" val="0"/>
        <cfvo type="num" val="0.6"/>
        <cfvo type="num" val="1"/>
        <color rgb="FFFF0000"/>
        <color rgb="FFFFFF00"/>
        <color rgb="FF92FB4B"/>
      </colorScale>
    </cfRule>
  </conditionalFormatting>
  <conditionalFormatting sqref="P34">
    <cfRule type="colorScale" priority="49">
      <colorScale>
        <cfvo type="num" val="0"/>
        <cfvo type="num" val="0.6"/>
        <cfvo type="num" val="1"/>
        <color rgb="FFFF0000"/>
        <color rgb="FFFFFF00"/>
        <color rgb="FF92FB4B"/>
      </colorScale>
    </cfRule>
  </conditionalFormatting>
  <conditionalFormatting sqref="P35">
    <cfRule type="colorScale" priority="48">
      <colorScale>
        <cfvo type="num" val="0"/>
        <cfvo type="num" val="0.6"/>
        <cfvo type="num" val="1"/>
        <color rgb="FFFF0000"/>
        <color rgb="FFFFFF00"/>
        <color rgb="FF92FB4B"/>
      </colorScale>
    </cfRule>
  </conditionalFormatting>
  <conditionalFormatting sqref="P36">
    <cfRule type="colorScale" priority="47">
      <colorScale>
        <cfvo type="num" val="0"/>
        <cfvo type="num" val="0.6"/>
        <cfvo type="num" val="1"/>
        <color rgb="FFFF0000"/>
        <color rgb="FFFFFF00"/>
        <color rgb="FF92FB4B"/>
      </colorScale>
    </cfRule>
  </conditionalFormatting>
  <conditionalFormatting sqref="P37">
    <cfRule type="colorScale" priority="46">
      <colorScale>
        <cfvo type="num" val="0"/>
        <cfvo type="num" val="0.6"/>
        <cfvo type="num" val="1"/>
        <color rgb="FFFF0000"/>
        <color rgb="FFFFFF00"/>
        <color rgb="FF92FB4B"/>
      </colorScale>
    </cfRule>
  </conditionalFormatting>
  <conditionalFormatting sqref="P38">
    <cfRule type="colorScale" priority="45">
      <colorScale>
        <cfvo type="num" val="0"/>
        <cfvo type="num" val="0.6"/>
        <cfvo type="num" val="1"/>
        <color rgb="FFFF0000"/>
        <color rgb="FFFFFF00"/>
        <color rgb="FF92FB4B"/>
      </colorScale>
    </cfRule>
  </conditionalFormatting>
  <conditionalFormatting sqref="P40">
    <cfRule type="colorScale" priority="44">
      <colorScale>
        <cfvo type="num" val="0"/>
        <cfvo type="num" val="0.6"/>
        <cfvo type="num" val="1"/>
        <color rgb="FFFF0000"/>
        <color rgb="FFFFFF00"/>
        <color rgb="FF92FB4B"/>
      </colorScale>
    </cfRule>
  </conditionalFormatting>
  <conditionalFormatting sqref="P41">
    <cfRule type="colorScale" priority="43">
      <colorScale>
        <cfvo type="num" val="0"/>
        <cfvo type="num" val="0.6"/>
        <cfvo type="num" val="1"/>
        <color rgb="FFFF0000"/>
        <color rgb="FFFFFF00"/>
        <color rgb="FF92FB4B"/>
      </colorScale>
    </cfRule>
  </conditionalFormatting>
  <conditionalFormatting sqref="P43">
    <cfRule type="colorScale" priority="42">
      <colorScale>
        <cfvo type="num" val="0"/>
        <cfvo type="num" val="0.6"/>
        <cfvo type="num" val="1"/>
        <color rgb="FFFF0000"/>
        <color rgb="FFFFFF00"/>
        <color rgb="FF92FB4B"/>
      </colorScale>
    </cfRule>
  </conditionalFormatting>
  <conditionalFormatting sqref="P44">
    <cfRule type="colorScale" priority="41">
      <colorScale>
        <cfvo type="num" val="0"/>
        <cfvo type="num" val="0.6"/>
        <cfvo type="num" val="1"/>
        <color rgb="FFFF0000"/>
        <color rgb="FFFFFF00"/>
        <color rgb="FF92FB4B"/>
      </colorScale>
    </cfRule>
  </conditionalFormatting>
  <conditionalFormatting sqref="P46">
    <cfRule type="colorScale" priority="40">
      <colorScale>
        <cfvo type="num" val="0"/>
        <cfvo type="num" val="0.6"/>
        <cfvo type="num" val="1"/>
        <color rgb="FFFF0000"/>
        <color rgb="FFFFFF00"/>
        <color rgb="FF92FB4B"/>
      </colorScale>
    </cfRule>
  </conditionalFormatting>
  <conditionalFormatting sqref="P47">
    <cfRule type="colorScale" priority="39">
      <colorScale>
        <cfvo type="num" val="0"/>
        <cfvo type="num" val="0.6"/>
        <cfvo type="num" val="1"/>
        <color rgb="FFFF0000"/>
        <color rgb="FFFFFF00"/>
        <color rgb="FF92FB4B"/>
      </colorScale>
    </cfRule>
  </conditionalFormatting>
  <conditionalFormatting sqref="P48">
    <cfRule type="colorScale" priority="38">
      <colorScale>
        <cfvo type="num" val="0"/>
        <cfvo type="num" val="0.6"/>
        <cfvo type="num" val="1"/>
        <color rgb="FFFF0000"/>
        <color rgb="FFFFFF00"/>
        <color rgb="FF92FB4B"/>
      </colorScale>
    </cfRule>
  </conditionalFormatting>
  <conditionalFormatting sqref="P50">
    <cfRule type="colorScale" priority="37">
      <colorScale>
        <cfvo type="num" val="0"/>
        <cfvo type="num" val="0.6"/>
        <cfvo type="num" val="1"/>
        <color rgb="FFFF0000"/>
        <color rgb="FFFFFF00"/>
        <color rgb="FF92FB4B"/>
      </colorScale>
    </cfRule>
  </conditionalFormatting>
  <conditionalFormatting sqref="P51">
    <cfRule type="colorScale" priority="36">
      <colorScale>
        <cfvo type="num" val="0"/>
        <cfvo type="num" val="0.6"/>
        <cfvo type="num" val="1"/>
        <color rgb="FFFF0000"/>
        <color rgb="FFFFFF00"/>
        <color rgb="FF92FB4B"/>
      </colorScale>
    </cfRule>
  </conditionalFormatting>
  <conditionalFormatting sqref="P52">
    <cfRule type="colorScale" priority="35">
      <colorScale>
        <cfvo type="num" val="0"/>
        <cfvo type="num" val="0.6"/>
        <cfvo type="num" val="1"/>
        <color rgb="FFFF0000"/>
        <color rgb="FFFFFF00"/>
        <color rgb="FF92FB4B"/>
      </colorScale>
    </cfRule>
  </conditionalFormatting>
  <conditionalFormatting sqref="P18">
    <cfRule type="colorScale" priority="34">
      <colorScale>
        <cfvo type="num" val="0"/>
        <cfvo type="num" val="0.6"/>
        <cfvo type="num" val="1"/>
        <color rgb="FFFF0000"/>
        <color rgb="FFFFFF00"/>
        <color rgb="FF92FB4B"/>
      </colorScale>
    </cfRule>
  </conditionalFormatting>
  <conditionalFormatting sqref="P19">
    <cfRule type="colorScale" priority="33">
      <colorScale>
        <cfvo type="num" val="0"/>
        <cfvo type="num" val="0.6"/>
        <cfvo type="num" val="1"/>
        <color rgb="FFFF0000"/>
        <color rgb="FFFFFF00"/>
        <color rgb="FF92FB4B"/>
      </colorScale>
    </cfRule>
  </conditionalFormatting>
  <conditionalFormatting sqref="P24">
    <cfRule type="colorScale" priority="32">
      <colorScale>
        <cfvo type="num" val="0"/>
        <cfvo type="num" val="0.6"/>
        <cfvo type="num" val="1"/>
        <color rgb="FFFF0000"/>
        <color rgb="FFFFFF00"/>
        <color rgb="FF92FB4B"/>
      </colorScale>
    </cfRule>
  </conditionalFormatting>
  <conditionalFormatting sqref="P53">
    <cfRule type="colorScale" priority="31">
      <colorScale>
        <cfvo type="num" val="0"/>
        <cfvo type="num" val="0.6"/>
        <cfvo type="num" val="1"/>
        <color rgb="FFFF0000"/>
        <color rgb="FFFFFF00"/>
        <color rgb="FF92FB4B"/>
      </colorScale>
    </cfRule>
  </conditionalFormatting>
  <conditionalFormatting sqref="P59">
    <cfRule type="colorScale" priority="30">
      <colorScale>
        <cfvo type="num" val="0"/>
        <cfvo type="num" val="0.6"/>
        <cfvo type="num" val="1"/>
        <color rgb="FFFF0000"/>
        <color rgb="FFFFFF00"/>
        <color rgb="FF92FB4B"/>
      </colorScale>
    </cfRule>
  </conditionalFormatting>
  <conditionalFormatting sqref="P60">
    <cfRule type="colorScale" priority="29">
      <colorScale>
        <cfvo type="num" val="0"/>
        <cfvo type="num" val="0.6"/>
        <cfvo type="num" val="1"/>
        <color rgb="FFFF0000"/>
        <color rgb="FFFFFF00"/>
        <color rgb="FF92FB4B"/>
      </colorScale>
    </cfRule>
  </conditionalFormatting>
  <conditionalFormatting sqref="P61">
    <cfRule type="colorScale" priority="28">
      <colorScale>
        <cfvo type="num" val="0"/>
        <cfvo type="num" val="0.6"/>
        <cfvo type="num" val="1"/>
        <color rgb="FFFF0000"/>
        <color rgb="FFFFFF00"/>
        <color rgb="FF92FB4B"/>
      </colorScale>
    </cfRule>
  </conditionalFormatting>
  <conditionalFormatting sqref="P67">
    <cfRule type="colorScale" priority="27">
      <colorScale>
        <cfvo type="num" val="0"/>
        <cfvo type="num" val="0.6"/>
        <cfvo type="num" val="1"/>
        <color rgb="FFFF0000"/>
        <color rgb="FFFFFF00"/>
        <color rgb="FF92FB4B"/>
      </colorScale>
    </cfRule>
  </conditionalFormatting>
  <conditionalFormatting sqref="P68">
    <cfRule type="colorScale" priority="26">
      <colorScale>
        <cfvo type="num" val="0"/>
        <cfvo type="num" val="0.6"/>
        <cfvo type="num" val="1"/>
        <color rgb="FFFF0000"/>
        <color rgb="FFFFFF00"/>
        <color rgb="FF92FB4B"/>
      </colorScale>
    </cfRule>
  </conditionalFormatting>
  <conditionalFormatting sqref="P69">
    <cfRule type="colorScale" priority="25">
      <colorScale>
        <cfvo type="num" val="0"/>
        <cfvo type="num" val="0.6"/>
        <cfvo type="num" val="1"/>
        <color rgb="FFFF0000"/>
        <color rgb="FFFFFF00"/>
        <color rgb="FF92FB4B"/>
      </colorScale>
    </cfRule>
  </conditionalFormatting>
  <conditionalFormatting sqref="P70">
    <cfRule type="colorScale" priority="24">
      <colorScale>
        <cfvo type="num" val="0"/>
        <cfvo type="num" val="0.6"/>
        <cfvo type="num" val="1"/>
        <color rgb="FFFF0000"/>
        <color rgb="FFFFFF00"/>
        <color rgb="FF92FB4B"/>
      </colorScale>
    </cfRule>
  </conditionalFormatting>
  <conditionalFormatting sqref="P71">
    <cfRule type="colorScale" priority="23">
      <colorScale>
        <cfvo type="num" val="0"/>
        <cfvo type="num" val="0.6"/>
        <cfvo type="num" val="1"/>
        <color rgb="FFFF0000"/>
        <color rgb="FFFFFF00"/>
        <color rgb="FF92FB4B"/>
      </colorScale>
    </cfRule>
  </conditionalFormatting>
  <conditionalFormatting sqref="P72">
    <cfRule type="colorScale" priority="22">
      <colorScale>
        <cfvo type="num" val="0"/>
        <cfvo type="num" val="0.6"/>
        <cfvo type="num" val="1"/>
        <color rgb="FFFF0000"/>
        <color rgb="FFFFFF00"/>
        <color rgb="FF92FB4B"/>
      </colorScale>
    </cfRule>
  </conditionalFormatting>
  <conditionalFormatting sqref="P73">
    <cfRule type="colorScale" priority="21">
      <colorScale>
        <cfvo type="num" val="0"/>
        <cfvo type="num" val="0.6"/>
        <cfvo type="num" val="1"/>
        <color rgb="FFFF0000"/>
        <color rgb="FFFFFF00"/>
        <color rgb="FF92FB4B"/>
      </colorScale>
    </cfRule>
  </conditionalFormatting>
  <conditionalFormatting sqref="P74">
    <cfRule type="colorScale" priority="20">
      <colorScale>
        <cfvo type="num" val="0"/>
        <cfvo type="num" val="0.6"/>
        <cfvo type="num" val="1"/>
        <color rgb="FFFF0000"/>
        <color rgb="FFFFFF00"/>
        <color rgb="FF92FB4B"/>
      </colorScale>
    </cfRule>
  </conditionalFormatting>
  <conditionalFormatting sqref="P75">
    <cfRule type="colorScale" priority="19">
      <colorScale>
        <cfvo type="num" val="0"/>
        <cfvo type="num" val="0.6"/>
        <cfvo type="num" val="1"/>
        <color rgb="FFFF0000"/>
        <color rgb="FFFFFF00"/>
        <color rgb="FF92FB4B"/>
      </colorScale>
    </cfRule>
  </conditionalFormatting>
  <conditionalFormatting sqref="P76">
    <cfRule type="colorScale" priority="18">
      <colorScale>
        <cfvo type="num" val="0"/>
        <cfvo type="num" val="0.6"/>
        <cfvo type="num" val="1"/>
        <color rgb="FFFF0000"/>
        <color rgb="FFFFFF00"/>
        <color rgb="FF92FB4B"/>
      </colorScale>
    </cfRule>
  </conditionalFormatting>
  <conditionalFormatting sqref="P77">
    <cfRule type="colorScale" priority="17">
      <colorScale>
        <cfvo type="num" val="0"/>
        <cfvo type="num" val="0.6"/>
        <cfvo type="num" val="1"/>
        <color rgb="FFFF0000"/>
        <color rgb="FFFFFF00"/>
        <color rgb="FF92FB4B"/>
      </colorScale>
    </cfRule>
  </conditionalFormatting>
  <conditionalFormatting sqref="P78">
    <cfRule type="colorScale" priority="16">
      <colorScale>
        <cfvo type="num" val="0"/>
        <cfvo type="num" val="0.6"/>
        <cfvo type="num" val="1"/>
        <color rgb="FFFF0000"/>
        <color rgb="FFFFFF00"/>
        <color rgb="FF92FB4B"/>
      </colorScale>
    </cfRule>
  </conditionalFormatting>
  <conditionalFormatting sqref="P79">
    <cfRule type="colorScale" priority="15">
      <colorScale>
        <cfvo type="num" val="0"/>
        <cfvo type="num" val="0.6"/>
        <cfvo type="num" val="1"/>
        <color rgb="FFFF0000"/>
        <color rgb="FFFFFF00"/>
        <color rgb="FF92FB4B"/>
      </colorScale>
    </cfRule>
  </conditionalFormatting>
  <conditionalFormatting sqref="P80">
    <cfRule type="colorScale" priority="14">
      <colorScale>
        <cfvo type="num" val="0"/>
        <cfvo type="num" val="0.6"/>
        <cfvo type="num" val="1"/>
        <color rgb="FFFF0000"/>
        <color rgb="FFFFFF00"/>
        <color rgb="FF92FB4B"/>
      </colorScale>
    </cfRule>
  </conditionalFormatting>
  <conditionalFormatting sqref="P81">
    <cfRule type="colorScale" priority="13">
      <colorScale>
        <cfvo type="num" val="0"/>
        <cfvo type="num" val="0.6"/>
        <cfvo type="num" val="1"/>
        <color rgb="FFFF0000"/>
        <color rgb="FFFFFF00"/>
        <color rgb="FF92FB4B"/>
      </colorScale>
    </cfRule>
  </conditionalFormatting>
  <conditionalFormatting sqref="P83">
    <cfRule type="colorScale" priority="12">
      <colorScale>
        <cfvo type="num" val="0"/>
        <cfvo type="num" val="0.6"/>
        <cfvo type="num" val="1"/>
        <color rgb="FFFF0000"/>
        <color rgb="FFFFFF00"/>
        <color rgb="FF92FB4B"/>
      </colorScale>
    </cfRule>
  </conditionalFormatting>
  <conditionalFormatting sqref="P86">
    <cfRule type="colorScale" priority="11">
      <colorScale>
        <cfvo type="num" val="0"/>
        <cfvo type="num" val="0.6"/>
        <cfvo type="num" val="1"/>
        <color rgb="FFFF0000"/>
        <color rgb="FFFFFF00"/>
        <color rgb="FF92FB4B"/>
      </colorScale>
    </cfRule>
  </conditionalFormatting>
  <conditionalFormatting sqref="P87">
    <cfRule type="colorScale" priority="10">
      <colorScale>
        <cfvo type="num" val="0"/>
        <cfvo type="num" val="0.6"/>
        <cfvo type="num" val="1"/>
        <color rgb="FFFF0000"/>
        <color rgb="FFFFFF00"/>
        <color rgb="FF92FB4B"/>
      </colorScale>
    </cfRule>
  </conditionalFormatting>
  <conditionalFormatting sqref="P92">
    <cfRule type="colorScale" priority="9">
      <colorScale>
        <cfvo type="num" val="0"/>
        <cfvo type="num" val="0.6"/>
        <cfvo type="num" val="1"/>
        <color rgb="FFFF0000"/>
        <color rgb="FFFFFF00"/>
        <color rgb="FF92FB4B"/>
      </colorScale>
    </cfRule>
  </conditionalFormatting>
  <conditionalFormatting sqref="P93">
    <cfRule type="colorScale" priority="8">
      <colorScale>
        <cfvo type="num" val="0"/>
        <cfvo type="num" val="0.6"/>
        <cfvo type="num" val="1"/>
        <color rgb="FFFF0000"/>
        <color rgb="FFFFFF00"/>
        <color rgb="FF92FB4B"/>
      </colorScale>
    </cfRule>
  </conditionalFormatting>
  <conditionalFormatting sqref="P94">
    <cfRule type="colorScale" priority="7">
      <colorScale>
        <cfvo type="num" val="0"/>
        <cfvo type="num" val="0.6"/>
        <cfvo type="num" val="1"/>
        <color rgb="FFFF0000"/>
        <color rgb="FFFFFF00"/>
        <color rgb="FF92FB4B"/>
      </colorScale>
    </cfRule>
  </conditionalFormatting>
  <conditionalFormatting sqref="P97">
    <cfRule type="colorScale" priority="6">
      <colorScale>
        <cfvo type="num" val="0"/>
        <cfvo type="num" val="0.6"/>
        <cfvo type="num" val="1"/>
        <color rgb="FFFF0000"/>
        <color rgb="FFFFFF00"/>
        <color rgb="FF92FB4B"/>
      </colorScale>
    </cfRule>
  </conditionalFormatting>
  <conditionalFormatting sqref="P98">
    <cfRule type="colorScale" priority="5">
      <colorScale>
        <cfvo type="num" val="0"/>
        <cfvo type="num" val="0.6"/>
        <cfvo type="num" val="1"/>
        <color rgb="FFFF0000"/>
        <color rgb="FFFFFF00"/>
        <color rgb="FF92FB4B"/>
      </colorScale>
    </cfRule>
  </conditionalFormatting>
  <conditionalFormatting sqref="P99">
    <cfRule type="colorScale" priority="4">
      <colorScale>
        <cfvo type="num" val="0"/>
        <cfvo type="num" val="0.6"/>
        <cfvo type="num" val="1"/>
        <color rgb="FFFF0000"/>
        <color rgb="FFFFFF00"/>
        <color rgb="FF92FB4B"/>
      </colorScale>
    </cfRule>
  </conditionalFormatting>
  <conditionalFormatting sqref="P100">
    <cfRule type="colorScale" priority="3">
      <colorScale>
        <cfvo type="num" val="0"/>
        <cfvo type="num" val="0.6"/>
        <cfvo type="num" val="1"/>
        <color rgb="FFFF0000"/>
        <color rgb="FFFFFF00"/>
        <color rgb="FF92FB4B"/>
      </colorScale>
    </cfRule>
  </conditionalFormatting>
  <conditionalFormatting sqref="O61">
    <cfRule type="colorScale" priority="2">
      <colorScale>
        <cfvo type="num" val="0"/>
        <cfvo type="num" val="1.8"/>
        <cfvo type="num" val="3.571428"/>
        <color rgb="FFFF0000"/>
        <color rgb="FFFFFF00"/>
        <color rgb="FF92FB4B"/>
      </colorScale>
    </cfRule>
  </conditionalFormatting>
  <conditionalFormatting sqref="N13:N14">
    <cfRule type="colorScale" priority="1">
      <colorScale>
        <cfvo type="num" val="0"/>
        <cfvo type="num" val="0.6"/>
        <cfvo type="num" val="1"/>
        <color rgb="FFFF0000"/>
        <color rgb="FFFFFF00"/>
        <color rgb="FF92FB4B"/>
      </colorScale>
    </cfRule>
  </conditionalFormatting>
  <dataValidations count="1">
    <dataValidation type="list" allowBlank="1" showInputMessage="1" showErrorMessage="1" sqref="F4" xr:uid="{11BFBFD1-EE16-47B2-B2DA-A111348D2C53}">
      <formula1>$F$112:$F$166</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5A0B6-26E0-4B61-8FE9-C980F33022EF}">
  <dimension ref="B1:P24"/>
  <sheetViews>
    <sheetView topLeftCell="F1" workbookViewId="0">
      <selection activeCell="Q10" sqref="Q10"/>
    </sheetView>
  </sheetViews>
  <sheetFormatPr defaultColWidth="8.86328125" defaultRowHeight="14.25" x14ac:dyDescent="0.45"/>
  <cols>
    <col min="1" max="1" width="0" style="5" hidden="1" customWidth="1"/>
    <col min="2" max="2" width="14.796875" style="5" customWidth="1"/>
    <col min="3" max="3" width="14.19921875" style="5" customWidth="1"/>
    <col min="4" max="4" width="72.1328125" style="5" hidden="1" customWidth="1"/>
    <col min="5" max="5" width="15.73046875" style="5" customWidth="1"/>
    <col min="6" max="6" width="38.6640625" style="5" customWidth="1"/>
    <col min="7" max="7" width="36.59765625" style="21" customWidth="1"/>
    <col min="8" max="8" width="16.1328125" style="5" customWidth="1"/>
    <col min="9" max="9" width="4.86328125" style="5" customWidth="1"/>
    <col min="10" max="10" width="8.86328125" style="21"/>
    <col min="11" max="15" width="0" style="21" hidden="1" customWidth="1"/>
    <col min="16" max="16" width="8.86328125" style="21"/>
    <col min="17" max="19" width="28.46484375" style="5" customWidth="1"/>
    <col min="20" max="16384" width="8.86328125" style="5"/>
  </cols>
  <sheetData>
    <row r="1" spans="2:5" ht="22.5" customHeight="1" thickBot="1" x14ac:dyDescent="0.55000000000000004">
      <c r="B1" s="547" t="s">
        <v>370</v>
      </c>
      <c r="C1" s="408" t="s">
        <v>369</v>
      </c>
      <c r="D1" s="418" t="s">
        <v>368</v>
      </c>
      <c r="E1" s="408" t="s">
        <v>341</v>
      </c>
    </row>
    <row r="2" spans="2:5" ht="22.5" customHeight="1" x14ac:dyDescent="0.45">
      <c r="B2" s="538" t="s">
        <v>342</v>
      </c>
      <c r="C2" s="539" t="s">
        <v>350</v>
      </c>
      <c r="D2" s="540" t="s">
        <v>1</v>
      </c>
      <c r="E2" s="541">
        <f>'Initial Analysis Table'!E3</f>
        <v>0.60448346529768848</v>
      </c>
    </row>
    <row r="3" spans="2:5" ht="22.5" customHeight="1" x14ac:dyDescent="0.45">
      <c r="B3" s="542" t="s">
        <v>342</v>
      </c>
      <c r="C3" s="536" t="s">
        <v>351</v>
      </c>
      <c r="D3" s="537" t="s">
        <v>11</v>
      </c>
      <c r="E3" s="543">
        <f>'Initial Analysis Table'!E4</f>
        <v>0.26209805863809033</v>
      </c>
    </row>
    <row r="4" spans="2:5" ht="22.5" customHeight="1" x14ac:dyDescent="0.45">
      <c r="B4" s="542" t="s">
        <v>342</v>
      </c>
      <c r="C4" s="536" t="s">
        <v>352</v>
      </c>
      <c r="D4" s="537" t="s">
        <v>13</v>
      </c>
      <c r="E4" s="543">
        <f>'Initial Analysis Table'!E5</f>
        <v>0.32271587672514934</v>
      </c>
    </row>
    <row r="5" spans="2:5" ht="22.5" customHeight="1" x14ac:dyDescent="0.45">
      <c r="B5" s="542" t="s">
        <v>342</v>
      </c>
      <c r="C5" s="536" t="s">
        <v>353</v>
      </c>
      <c r="D5" s="537" t="s">
        <v>18</v>
      </c>
      <c r="E5" s="543">
        <f>'Initial Analysis Table'!E6</f>
        <v>0.11712865785509866</v>
      </c>
    </row>
    <row r="6" spans="2:5" ht="22.5" customHeight="1" x14ac:dyDescent="0.45">
      <c r="B6" s="542" t="s">
        <v>342</v>
      </c>
      <c r="C6" s="536" t="s">
        <v>354</v>
      </c>
      <c r="D6" s="537" t="s">
        <v>26</v>
      </c>
      <c r="E6" s="543">
        <f>'Initial Analysis Table'!E7</f>
        <v>0.1250018200002912</v>
      </c>
    </row>
    <row r="7" spans="2:5" ht="22.5" customHeight="1" x14ac:dyDescent="0.45">
      <c r="B7" s="542" t="s">
        <v>342</v>
      </c>
      <c r="C7" s="536" t="s">
        <v>355</v>
      </c>
      <c r="D7" s="537" t="s">
        <v>28</v>
      </c>
      <c r="E7" s="543">
        <f>'Initial Analysis Table'!E8</f>
        <v>6.25E-2</v>
      </c>
    </row>
    <row r="8" spans="2:5" ht="22.5" customHeight="1" x14ac:dyDescent="0.45">
      <c r="B8" s="542" t="s">
        <v>342</v>
      </c>
      <c r="C8" s="536" t="s">
        <v>356</v>
      </c>
      <c r="D8" s="537" t="s">
        <v>32</v>
      </c>
      <c r="E8" s="543">
        <f>'Initial Analysis Table'!E9</f>
        <v>0.28566358470617353</v>
      </c>
    </row>
    <row r="9" spans="2:5" ht="20.350000000000001" customHeight="1" x14ac:dyDescent="0.45">
      <c r="B9" s="542" t="s">
        <v>342</v>
      </c>
      <c r="C9" s="536" t="s">
        <v>357</v>
      </c>
      <c r="D9" s="537" t="s">
        <v>37</v>
      </c>
      <c r="E9" s="543">
        <f>'Initial Analysis Table'!E11</f>
        <v>0</v>
      </c>
    </row>
    <row r="10" spans="2:5" ht="20.350000000000001" customHeight="1" x14ac:dyDescent="0.45">
      <c r="B10" s="542" t="s">
        <v>342</v>
      </c>
      <c r="C10" s="536" t="s">
        <v>358</v>
      </c>
      <c r="D10" s="537" t="s">
        <v>39</v>
      </c>
      <c r="E10" s="543">
        <f>'Initial Analysis Table'!E12</f>
        <v>0.91666666666666663</v>
      </c>
    </row>
    <row r="11" spans="2:5" ht="20.350000000000001" customHeight="1" x14ac:dyDescent="0.45">
      <c r="B11" s="542" t="s">
        <v>342</v>
      </c>
      <c r="C11" s="536" t="s">
        <v>359</v>
      </c>
      <c r="D11" s="537" t="s">
        <v>40</v>
      </c>
      <c r="E11" s="543">
        <f>'Initial Analysis Table'!E13</f>
        <v>3.8264150354578703E-2</v>
      </c>
    </row>
    <row r="12" spans="2:5" ht="21.85" customHeight="1" x14ac:dyDescent="0.45">
      <c r="B12" s="542" t="s">
        <v>342</v>
      </c>
      <c r="C12" s="536" t="s">
        <v>360</v>
      </c>
      <c r="D12" s="537" t="s">
        <v>48</v>
      </c>
      <c r="E12" s="543">
        <f>'Initial Analysis Table'!E15</f>
        <v>0.2078373015873016</v>
      </c>
    </row>
    <row r="13" spans="2:5" ht="21.85" customHeight="1" x14ac:dyDescent="0.45">
      <c r="B13" s="542" t="s">
        <v>342</v>
      </c>
      <c r="C13" s="536" t="s">
        <v>361</v>
      </c>
      <c r="D13" s="537" t="s">
        <v>448</v>
      </c>
      <c r="E13" s="543">
        <f>'Initial Analysis Table'!E16</f>
        <v>0</v>
      </c>
    </row>
    <row r="14" spans="2:5" ht="21.85" customHeight="1" x14ac:dyDescent="0.45">
      <c r="B14" s="542" t="s">
        <v>342</v>
      </c>
      <c r="C14" s="536" t="s">
        <v>362</v>
      </c>
      <c r="D14" s="537" t="s">
        <v>59</v>
      </c>
      <c r="E14" s="543">
        <f>'Initial Analysis Table'!E18</f>
        <v>0.125</v>
      </c>
    </row>
    <row r="15" spans="2:5" ht="21.85" customHeight="1" x14ac:dyDescent="0.45">
      <c r="B15" s="542" t="s">
        <v>342</v>
      </c>
      <c r="C15" s="536" t="s">
        <v>363</v>
      </c>
      <c r="D15" s="537" t="s">
        <v>450</v>
      </c>
      <c r="E15" s="543">
        <f>'Initial Analysis Table'!E19</f>
        <v>0.25</v>
      </c>
    </row>
    <row r="16" spans="2:5" ht="21.85" customHeight="1" x14ac:dyDescent="0.45">
      <c r="B16" s="542" t="s">
        <v>342</v>
      </c>
      <c r="C16" s="536" t="s">
        <v>364</v>
      </c>
      <c r="D16" s="537" t="s">
        <v>64</v>
      </c>
      <c r="E16" s="543">
        <f>'Initial Analysis Table'!E20</f>
        <v>0.75</v>
      </c>
    </row>
    <row r="17" spans="2:5" ht="21.85" customHeight="1" x14ac:dyDescent="0.45">
      <c r="B17" s="542" t="s">
        <v>342</v>
      </c>
      <c r="C17" s="536" t="s">
        <v>365</v>
      </c>
      <c r="D17" s="537" t="s">
        <v>452</v>
      </c>
      <c r="E17" s="543">
        <f>'Initial Analysis Table'!E22</f>
        <v>6.3606194690265488E-2</v>
      </c>
    </row>
    <row r="18" spans="2:5" ht="21.85" customHeight="1" x14ac:dyDescent="0.45">
      <c r="B18" s="542" t="s">
        <v>342</v>
      </c>
      <c r="C18" s="536" t="s">
        <v>366</v>
      </c>
      <c r="D18" s="537" t="s">
        <v>72</v>
      </c>
      <c r="E18" s="543">
        <f>'Initial Analysis Table'!E24</f>
        <v>0.26896491293358338</v>
      </c>
    </row>
    <row r="19" spans="2:5" ht="21.85" customHeight="1" thickBot="1" x14ac:dyDescent="0.5">
      <c r="B19" s="544" t="s">
        <v>342</v>
      </c>
      <c r="C19" s="545" t="s">
        <v>367</v>
      </c>
      <c r="D19" s="546" t="s">
        <v>75</v>
      </c>
      <c r="E19" s="351">
        <f>'Initial Analysis Table'!E25</f>
        <v>0.37318353416765832</v>
      </c>
    </row>
    <row r="20" spans="2:5" ht="24.85" hidden="1" customHeight="1" x14ac:dyDescent="0.5">
      <c r="B20" s="534" t="s">
        <v>342</v>
      </c>
      <c r="C20" s="420" t="s">
        <v>367</v>
      </c>
      <c r="D20" s="231" t="s">
        <v>82</v>
      </c>
      <c r="E20" s="535">
        <f>'Continental Level Dashboard'!F94</f>
        <v>0.44717261904761901</v>
      </c>
    </row>
    <row r="21" spans="2:5" ht="24.85" hidden="1" customHeight="1" x14ac:dyDescent="0.45">
      <c r="B21" s="378" t="s">
        <v>342</v>
      </c>
      <c r="C21" s="355" t="s">
        <v>367</v>
      </c>
      <c r="D21" s="226" t="s">
        <v>455</v>
      </c>
      <c r="E21" s="156">
        <f>'Continental Level Dashboard'!F98</f>
        <v>0.15491358939192054</v>
      </c>
    </row>
    <row r="22" spans="2:5" ht="24.85" customHeight="1" thickBot="1" x14ac:dyDescent="0.5">
      <c r="B22" s="5" t="s">
        <v>342</v>
      </c>
      <c r="C22" s="5" t="s">
        <v>553</v>
      </c>
      <c r="D22" s="409"/>
      <c r="E22" s="351">
        <f>'Initial Analysis Table'!E27</f>
        <v>0.44717261904761901</v>
      </c>
    </row>
    <row r="23" spans="2:5" ht="24.85" customHeight="1" thickBot="1" x14ac:dyDescent="0.5">
      <c r="B23" s="5" t="s">
        <v>342</v>
      </c>
      <c r="C23" s="5" t="s">
        <v>554</v>
      </c>
      <c r="D23" s="409"/>
      <c r="E23" s="351">
        <f>'Initial Analysis Table'!E28</f>
        <v>0.15491358939192054</v>
      </c>
    </row>
    <row r="24" spans="2:5" ht="24.85" customHeight="1" x14ac:dyDescent="0.45">
      <c r="D24" s="409"/>
      <c r="E24" s="410"/>
    </row>
  </sheetData>
  <conditionalFormatting sqref="E2:E21">
    <cfRule type="colorScale" priority="3">
      <colorScale>
        <cfvo type="num" val="0"/>
        <cfvo type="num" val="0.6"/>
        <cfvo type="num" val="1"/>
        <color rgb="FFFF0000"/>
        <color rgb="FFFFFF00"/>
        <color rgb="FF92FB4B"/>
      </colorScale>
    </cfRule>
  </conditionalFormatting>
  <conditionalFormatting sqref="E22">
    <cfRule type="colorScale" priority="2">
      <colorScale>
        <cfvo type="num" val="0"/>
        <cfvo type="num" val="0.6"/>
        <cfvo type="num" val="1"/>
        <color rgb="FFFF0000"/>
        <color rgb="FFFFFF00"/>
        <color rgb="FF92FB4B"/>
      </colorScale>
    </cfRule>
  </conditionalFormatting>
  <conditionalFormatting sqref="E23">
    <cfRule type="colorScale" priority="1">
      <colorScale>
        <cfvo type="num" val="0"/>
        <cfvo type="num" val="0.6"/>
        <cfvo type="num" val="1"/>
        <color rgb="FFFF0000"/>
        <color rgb="FFFFFF00"/>
        <color rgb="FF92FB4B"/>
      </colorScale>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B88EB-6562-4DFF-A761-0C5719E7760C}">
  <dimension ref="B1:P31"/>
  <sheetViews>
    <sheetView topLeftCell="B1" zoomScaleNormal="100" workbookViewId="0">
      <selection activeCell="E2" sqref="E2"/>
    </sheetView>
  </sheetViews>
  <sheetFormatPr defaultColWidth="8.86328125" defaultRowHeight="14.25" x14ac:dyDescent="0.45"/>
  <cols>
    <col min="1" max="1" width="0" style="5" hidden="1" customWidth="1"/>
    <col min="2" max="2" width="14.796875" style="5" customWidth="1"/>
    <col min="3" max="3" width="14.19921875" style="5" customWidth="1"/>
    <col min="4" max="4" width="72.1328125" style="5" customWidth="1"/>
    <col min="5" max="5" width="15.73046875" style="5" customWidth="1"/>
    <col min="6" max="6" width="38.6640625" style="5" customWidth="1"/>
    <col min="7" max="7" width="36.59765625" style="21" customWidth="1"/>
    <col min="8" max="8" width="16.1328125" style="5" customWidth="1"/>
    <col min="9" max="9" width="4.86328125" style="5" customWidth="1"/>
    <col min="10" max="10" width="8.86328125" style="21"/>
    <col min="11" max="15" width="0" style="21" hidden="1" customWidth="1"/>
    <col min="16" max="16" width="8.86328125" style="21"/>
    <col min="17" max="19" width="28.46484375" style="5" customWidth="1"/>
    <col min="20" max="16384" width="8.86328125" style="5"/>
  </cols>
  <sheetData>
    <row r="1" spans="2:5" ht="22.5" customHeight="1" thickBot="1" x14ac:dyDescent="0.55000000000000004">
      <c r="B1" s="412" t="s">
        <v>370</v>
      </c>
      <c r="C1" s="408" t="s">
        <v>369</v>
      </c>
      <c r="D1" s="418" t="s">
        <v>368</v>
      </c>
      <c r="E1" s="408" t="s">
        <v>341</v>
      </c>
    </row>
    <row r="2" spans="2:5" ht="22.5" customHeight="1" thickBot="1" x14ac:dyDescent="0.5">
      <c r="B2" s="413" t="s">
        <v>340</v>
      </c>
      <c r="C2" s="419" t="s">
        <v>343</v>
      </c>
      <c r="D2" s="529" t="s">
        <v>445</v>
      </c>
      <c r="E2" s="156">
        <f>'Continental Level Dashboard'!F10</f>
        <v>0.27832869728193038</v>
      </c>
    </row>
    <row r="3" spans="2:5" ht="22.5" customHeight="1" thickBot="1" x14ac:dyDescent="0.5">
      <c r="B3" s="414" t="s">
        <v>342</v>
      </c>
      <c r="C3" s="420" t="s">
        <v>350</v>
      </c>
      <c r="D3" s="231" t="s">
        <v>1</v>
      </c>
      <c r="E3" s="156">
        <f>'Continental Level Dashboard'!F11</f>
        <v>0.60448346529768848</v>
      </c>
    </row>
    <row r="4" spans="2:5" ht="22.5" customHeight="1" thickBot="1" x14ac:dyDescent="0.5">
      <c r="B4" s="415" t="s">
        <v>342</v>
      </c>
      <c r="C4" s="354" t="s">
        <v>351</v>
      </c>
      <c r="D4" s="229" t="s">
        <v>11</v>
      </c>
      <c r="E4" s="156">
        <f>'Continental Level Dashboard'!F19</f>
        <v>0.26209805863809033</v>
      </c>
    </row>
    <row r="5" spans="2:5" ht="22.5" customHeight="1" thickBot="1" x14ac:dyDescent="0.5">
      <c r="B5" s="415" t="s">
        <v>342</v>
      </c>
      <c r="C5" s="354" t="s">
        <v>352</v>
      </c>
      <c r="D5" s="229" t="s">
        <v>13</v>
      </c>
      <c r="E5" s="156">
        <f>'Continental Level Dashboard'!F24</f>
        <v>0.32271587672514934</v>
      </c>
    </row>
    <row r="6" spans="2:5" ht="22.5" customHeight="1" thickBot="1" x14ac:dyDescent="0.5">
      <c r="B6" s="415" t="s">
        <v>342</v>
      </c>
      <c r="C6" s="354" t="s">
        <v>353</v>
      </c>
      <c r="D6" s="229" t="s">
        <v>18</v>
      </c>
      <c r="E6" s="156">
        <f>'Continental Level Dashboard'!F33</f>
        <v>0.11712865785509866</v>
      </c>
    </row>
    <row r="7" spans="2:5" ht="22.5" customHeight="1" thickBot="1" x14ac:dyDescent="0.5">
      <c r="B7" s="415" t="s">
        <v>342</v>
      </c>
      <c r="C7" s="354" t="s">
        <v>354</v>
      </c>
      <c r="D7" s="229" t="s">
        <v>26</v>
      </c>
      <c r="E7" s="156">
        <f>'Continental Level Dashboard'!F38</f>
        <v>0.1250018200002912</v>
      </c>
    </row>
    <row r="8" spans="2:5" ht="22.5" customHeight="1" thickBot="1" x14ac:dyDescent="0.5">
      <c r="B8" s="415" t="s">
        <v>342</v>
      </c>
      <c r="C8" s="354" t="s">
        <v>355</v>
      </c>
      <c r="D8" s="229" t="s">
        <v>28</v>
      </c>
      <c r="E8" s="156">
        <f>'Continental Level Dashboard'!F41</f>
        <v>6.25E-2</v>
      </c>
    </row>
    <row r="9" spans="2:5" ht="22.5" customHeight="1" thickBot="1" x14ac:dyDescent="0.5">
      <c r="B9" s="416" t="s">
        <v>342</v>
      </c>
      <c r="C9" s="421" t="s">
        <v>356</v>
      </c>
      <c r="D9" s="530" t="s">
        <v>32</v>
      </c>
      <c r="E9" s="156">
        <f>'Continental Level Dashboard'!F44</f>
        <v>0.28566358470617353</v>
      </c>
    </row>
    <row r="10" spans="2:5" ht="35.25" customHeight="1" thickBot="1" x14ac:dyDescent="0.5">
      <c r="B10" s="413" t="s">
        <v>340</v>
      </c>
      <c r="C10" s="419" t="s">
        <v>344</v>
      </c>
      <c r="D10" s="529" t="s">
        <v>446</v>
      </c>
      <c r="E10" s="156">
        <f>'Continental Level Dashboard'!F47</f>
        <v>0.31831027234041515</v>
      </c>
    </row>
    <row r="11" spans="2:5" ht="20.350000000000001" customHeight="1" thickBot="1" x14ac:dyDescent="0.5">
      <c r="B11" s="414" t="s">
        <v>342</v>
      </c>
      <c r="C11" s="422" t="s">
        <v>357</v>
      </c>
      <c r="D11" s="231" t="s">
        <v>37</v>
      </c>
      <c r="E11" s="156">
        <f>'Continental Level Dashboard'!F48</f>
        <v>0</v>
      </c>
    </row>
    <row r="12" spans="2:5" ht="20.350000000000001" customHeight="1" thickBot="1" x14ac:dyDescent="0.5">
      <c r="B12" s="415" t="s">
        <v>342</v>
      </c>
      <c r="C12" s="422" t="s">
        <v>358</v>
      </c>
      <c r="D12" s="231" t="s">
        <v>39</v>
      </c>
      <c r="E12" s="156">
        <f>'Continental Level Dashboard'!F51</f>
        <v>0.91666666666666663</v>
      </c>
    </row>
    <row r="13" spans="2:5" ht="20.350000000000001" customHeight="1" thickBot="1" x14ac:dyDescent="0.5">
      <c r="B13" s="416" t="s">
        <v>342</v>
      </c>
      <c r="C13" s="422" t="s">
        <v>359</v>
      </c>
      <c r="D13" s="531" t="s">
        <v>40</v>
      </c>
      <c r="E13" s="156">
        <f>'Continental Level Dashboard'!F53</f>
        <v>3.8264150354578703E-2</v>
      </c>
    </row>
    <row r="14" spans="2:5" ht="21.85" customHeight="1" thickBot="1" x14ac:dyDescent="0.5">
      <c r="B14" s="413" t="s">
        <v>340</v>
      </c>
      <c r="C14" s="419" t="s">
        <v>345</v>
      </c>
      <c r="D14" s="529" t="s">
        <v>447</v>
      </c>
      <c r="E14" s="156">
        <f>'Continental Level Dashboard'!F60</f>
        <v>0.1039186507936508</v>
      </c>
    </row>
    <row r="15" spans="2:5" ht="21.85" customHeight="1" thickBot="1" x14ac:dyDescent="0.5">
      <c r="B15" s="414" t="s">
        <v>342</v>
      </c>
      <c r="C15" s="422" t="s">
        <v>360</v>
      </c>
      <c r="D15" s="231" t="s">
        <v>48</v>
      </c>
      <c r="E15" s="156">
        <f>'Continental Level Dashboard'!F61</f>
        <v>0.2078373015873016</v>
      </c>
    </row>
    <row r="16" spans="2:5" ht="21.85" customHeight="1" thickBot="1" x14ac:dyDescent="0.5">
      <c r="B16" s="416" t="s">
        <v>342</v>
      </c>
      <c r="C16" s="422" t="s">
        <v>361</v>
      </c>
      <c r="D16" s="530" t="s">
        <v>448</v>
      </c>
      <c r="E16" s="156">
        <f>'Continental Level Dashboard'!F68</f>
        <v>0</v>
      </c>
    </row>
    <row r="17" spans="2:5" ht="21.85" customHeight="1" thickBot="1" x14ac:dyDescent="0.5">
      <c r="B17" s="413" t="s">
        <v>340</v>
      </c>
      <c r="C17" s="419" t="s">
        <v>346</v>
      </c>
      <c r="D17" s="529" t="s">
        <v>449</v>
      </c>
      <c r="E17" s="156">
        <f>'Continental Level Dashboard'!F70</f>
        <v>0.375</v>
      </c>
    </row>
    <row r="18" spans="2:5" ht="21.85" customHeight="1" thickBot="1" x14ac:dyDescent="0.5">
      <c r="B18" s="414" t="s">
        <v>342</v>
      </c>
      <c r="C18" s="420" t="s">
        <v>362</v>
      </c>
      <c r="D18" s="231" t="s">
        <v>59</v>
      </c>
      <c r="E18" s="156">
        <f>'Continental Level Dashboard'!F71</f>
        <v>0.125</v>
      </c>
    </row>
    <row r="19" spans="2:5" ht="21.85" customHeight="1" thickBot="1" x14ac:dyDescent="0.5">
      <c r="B19" s="415" t="s">
        <v>342</v>
      </c>
      <c r="C19" s="354" t="s">
        <v>363</v>
      </c>
      <c r="D19" s="229" t="s">
        <v>450</v>
      </c>
      <c r="E19" s="156">
        <f>'Continental Level Dashboard'!F73</f>
        <v>0.25</v>
      </c>
    </row>
    <row r="20" spans="2:5" ht="21.85" customHeight="1" thickBot="1" x14ac:dyDescent="0.5">
      <c r="B20" s="416" t="s">
        <v>342</v>
      </c>
      <c r="C20" s="421" t="s">
        <v>364</v>
      </c>
      <c r="D20" s="530" t="s">
        <v>64</v>
      </c>
      <c r="E20" s="156">
        <f>'Continental Level Dashboard'!F75</f>
        <v>0.75</v>
      </c>
    </row>
    <row r="21" spans="2:5" ht="21.85" customHeight="1" thickBot="1" x14ac:dyDescent="0.5">
      <c r="B21" s="413" t="s">
        <v>340</v>
      </c>
      <c r="C21" s="419" t="s">
        <v>347</v>
      </c>
      <c r="D21" s="529" t="s">
        <v>451</v>
      </c>
      <c r="E21" s="156">
        <f>'Continental Level Dashboard'!F77</f>
        <v>6.3606194690265488E-2</v>
      </c>
    </row>
    <row r="22" spans="2:5" ht="21.85" customHeight="1" thickBot="1" x14ac:dyDescent="0.5">
      <c r="B22" s="417" t="s">
        <v>342</v>
      </c>
      <c r="C22" s="422" t="s">
        <v>365</v>
      </c>
      <c r="D22" s="531" t="s">
        <v>452</v>
      </c>
      <c r="E22" s="156">
        <f>'Continental Level Dashboard'!F78</f>
        <v>6.3606194690265488E-2</v>
      </c>
    </row>
    <row r="23" spans="2:5" ht="21.85" customHeight="1" thickBot="1" x14ac:dyDescent="0.5">
      <c r="B23" s="413" t="s">
        <v>340</v>
      </c>
      <c r="C23" s="419" t="s">
        <v>348</v>
      </c>
      <c r="D23" s="529" t="s">
        <v>453</v>
      </c>
      <c r="E23" s="156">
        <f>'Continental Level Dashboard'!F80</f>
        <v>0.30370445334494173</v>
      </c>
    </row>
    <row r="24" spans="2:5" ht="21.85" customHeight="1" thickBot="1" x14ac:dyDescent="0.5">
      <c r="B24" s="414" t="s">
        <v>342</v>
      </c>
      <c r="C24" s="420" t="s">
        <v>366</v>
      </c>
      <c r="D24" s="531" t="s">
        <v>72</v>
      </c>
      <c r="E24" s="156">
        <f>'Continental Level Dashboard'!F81</f>
        <v>0.26896491293358338</v>
      </c>
    </row>
    <row r="25" spans="2:5" ht="21.85" customHeight="1" thickBot="1" x14ac:dyDescent="0.5">
      <c r="B25" s="416" t="s">
        <v>342</v>
      </c>
      <c r="C25" s="421" t="s">
        <v>367</v>
      </c>
      <c r="D25" s="530" t="s">
        <v>75</v>
      </c>
      <c r="E25" s="156">
        <f>'Continental Level Dashboard'!F87</f>
        <v>0.37318353416765832</v>
      </c>
    </row>
    <row r="26" spans="2:5" ht="38.65" customHeight="1" thickBot="1" x14ac:dyDescent="0.5">
      <c r="B26" s="413" t="s">
        <v>340</v>
      </c>
      <c r="C26" s="419" t="s">
        <v>349</v>
      </c>
      <c r="D26" s="529" t="s">
        <v>454</v>
      </c>
      <c r="E26" s="156">
        <f>'Continental Level Dashboard'!F93</f>
        <v>0.22797834680584517</v>
      </c>
    </row>
    <row r="27" spans="2:5" ht="22.25" customHeight="1" thickBot="1" x14ac:dyDescent="0.5">
      <c r="B27" s="377" t="s">
        <v>342</v>
      </c>
      <c r="C27" s="411" t="s">
        <v>553</v>
      </c>
      <c r="D27" s="194" t="s">
        <v>82</v>
      </c>
      <c r="E27" s="156">
        <f>'Continental Level Dashboard'!F94</f>
        <v>0.44717261904761901</v>
      </c>
    </row>
    <row r="28" spans="2:5" ht="22.25" customHeight="1" thickBot="1" x14ac:dyDescent="0.5">
      <c r="B28" s="378" t="s">
        <v>342</v>
      </c>
      <c r="C28" s="355" t="s">
        <v>554</v>
      </c>
      <c r="D28" s="226" t="s">
        <v>455</v>
      </c>
      <c r="E28" s="156">
        <f>'Continental Level Dashboard'!F98</f>
        <v>0.15491358939192054</v>
      </c>
    </row>
    <row r="29" spans="2:5" ht="24.85" customHeight="1" x14ac:dyDescent="0.45">
      <c r="D29" s="409"/>
      <c r="E29" s="410"/>
    </row>
    <row r="30" spans="2:5" ht="24.85" customHeight="1" x14ac:dyDescent="0.45">
      <c r="D30" s="409"/>
      <c r="E30" s="410"/>
    </row>
    <row r="31" spans="2:5" ht="24.85" customHeight="1" x14ac:dyDescent="0.45">
      <c r="D31" s="409"/>
      <c r="E31" s="410"/>
    </row>
  </sheetData>
  <conditionalFormatting sqref="E2:E28">
    <cfRule type="colorScale" priority="1">
      <colorScale>
        <cfvo type="num" val="0"/>
        <cfvo type="num" val="0.6"/>
        <cfvo type="num" val="1"/>
        <color rgb="FFFF0000"/>
        <color rgb="FFFFFF00"/>
        <color rgb="FF92FB4B"/>
      </colorScale>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8"/>
  <sheetViews>
    <sheetView topLeftCell="B91" zoomScale="70" zoomScaleNormal="70" workbookViewId="0">
      <selection activeCell="P18" sqref="P18"/>
    </sheetView>
  </sheetViews>
  <sheetFormatPr defaultColWidth="8.86328125" defaultRowHeight="15.75" x14ac:dyDescent="0.5"/>
  <cols>
    <col min="1" max="1" width="0" style="5" hidden="1" customWidth="1"/>
    <col min="2" max="2" width="24" style="5" customWidth="1"/>
    <col min="3" max="3" width="41.86328125" style="5" customWidth="1"/>
    <col min="4" max="4" width="38.6640625" style="5" customWidth="1"/>
    <col min="5" max="5" width="36.59765625" style="21" customWidth="1"/>
    <col min="6" max="6" width="16.1328125" style="19" customWidth="1"/>
    <col min="7" max="7" width="4.86328125" style="5" customWidth="1"/>
    <col min="8" max="8" width="8.86328125" style="21"/>
    <col min="9" max="13" width="0" style="21" hidden="1" customWidth="1"/>
    <col min="14" max="14" width="8.86328125" style="21"/>
    <col min="15" max="17" width="28.46484375" style="5" customWidth="1"/>
    <col min="18" max="16384" width="8.86328125" style="5"/>
  </cols>
  <sheetData>
    <row r="1" spans="1:14" x14ac:dyDescent="0.5">
      <c r="B1" s="304"/>
      <c r="C1" s="305"/>
      <c r="D1" s="305"/>
      <c r="E1" s="306"/>
      <c r="F1" s="1516"/>
    </row>
    <row r="2" spans="1:14" ht="46.15" customHeight="1" x14ac:dyDescent="0.45">
      <c r="B2" s="1521" t="s">
        <v>336</v>
      </c>
      <c r="C2" s="1522"/>
      <c r="D2" s="1522"/>
      <c r="E2" s="1522"/>
      <c r="F2" s="1523"/>
    </row>
    <row r="3" spans="1:14" x14ac:dyDescent="0.5">
      <c r="B3" s="293"/>
      <c r="C3" s="294"/>
      <c r="D3" s="295"/>
      <c r="E3" s="294"/>
      <c r="F3" s="1517"/>
    </row>
    <row r="4" spans="1:14" ht="26.45" customHeight="1" x14ac:dyDescent="0.45">
      <c r="B4" s="293"/>
      <c r="C4" s="1630" t="s">
        <v>555</v>
      </c>
      <c r="D4" s="1631"/>
      <c r="E4" s="294"/>
      <c r="F4" s="1511"/>
    </row>
    <row r="5" spans="1:14" ht="18.399999999999999" thickBot="1" x14ac:dyDescent="0.6">
      <c r="B5" s="1622"/>
      <c r="C5" s="1623"/>
      <c r="D5" s="1623"/>
      <c r="E5" s="294"/>
      <c r="F5" s="1517"/>
    </row>
    <row r="6" spans="1:14" ht="23.65" thickBot="1" x14ac:dyDescent="0.75">
      <c r="B6" s="296"/>
      <c r="C6" s="297"/>
      <c r="D6" s="297"/>
      <c r="E6" s="301" t="s">
        <v>292</v>
      </c>
      <c r="F6" s="1512">
        <f>'Continental Dboard Targets'!G6</f>
        <v>0.26836943663017554</v>
      </c>
    </row>
    <row r="7" spans="1:14" ht="18.399999999999999" thickBot="1" x14ac:dyDescent="0.6">
      <c r="B7" s="298"/>
      <c r="C7" s="299"/>
      <c r="D7" s="299"/>
      <c r="E7" s="300"/>
      <c r="F7" s="1518"/>
    </row>
    <row r="8" spans="1:14" ht="6.75" customHeight="1" thickBot="1" x14ac:dyDescent="0.5">
      <c r="B8" s="1624"/>
      <c r="C8" s="1625"/>
      <c r="D8" s="1626"/>
      <c r="E8" s="303"/>
      <c r="F8" s="784"/>
    </row>
    <row r="9" spans="1:14" ht="25.25" customHeight="1" thickBot="1" x14ac:dyDescent="0.5">
      <c r="B9" s="302" t="s">
        <v>2</v>
      </c>
      <c r="C9" s="302" t="s">
        <v>3</v>
      </c>
      <c r="D9" s="302" t="s">
        <v>337</v>
      </c>
      <c r="E9" s="302" t="s">
        <v>102</v>
      </c>
      <c r="F9" s="1513" t="s">
        <v>338</v>
      </c>
      <c r="I9" s="43" t="s">
        <v>151</v>
      </c>
      <c r="J9" s="44"/>
      <c r="K9" s="44"/>
      <c r="L9" s="44"/>
      <c r="M9" s="45"/>
    </row>
    <row r="10" spans="1:14" ht="25.25" customHeight="1" thickBot="1" x14ac:dyDescent="0.5">
      <c r="B10" s="1627" t="s">
        <v>0</v>
      </c>
      <c r="C10" s="1628"/>
      <c r="D10" s="1629"/>
      <c r="E10" s="147"/>
      <c r="F10" s="1512">
        <f>'Continental Dboard Targets'!G10</f>
        <v>0.27832869728193038</v>
      </c>
      <c r="I10" s="148"/>
      <c r="J10" s="149"/>
      <c r="K10" s="149"/>
      <c r="L10" s="149"/>
      <c r="M10" s="150"/>
    </row>
    <row r="11" spans="1:14" s="92" customFormat="1" ht="25.25" customHeight="1" thickBot="1" x14ac:dyDescent="0.5">
      <c r="B11" s="1553" t="s">
        <v>1</v>
      </c>
      <c r="C11" s="1539"/>
      <c r="D11" s="1539"/>
      <c r="E11" s="1520"/>
      <c r="F11" s="1512">
        <f>'Continental Dboard Targets'!G11</f>
        <v>0.60448346529768848</v>
      </c>
      <c r="H11" s="151"/>
      <c r="I11" s="152"/>
      <c r="J11" s="153"/>
      <c r="K11" s="153"/>
      <c r="L11" s="153"/>
      <c r="M11" s="154"/>
      <c r="N11" s="151"/>
    </row>
    <row r="12" spans="1:14" ht="27.6" customHeight="1" x14ac:dyDescent="0.45">
      <c r="A12" s="1530">
        <v>1</v>
      </c>
      <c r="B12" s="1614" t="s">
        <v>4</v>
      </c>
      <c r="C12" s="435" t="s">
        <v>111</v>
      </c>
      <c r="D12" s="51" t="s">
        <v>5</v>
      </c>
      <c r="E12" s="431" t="s">
        <v>97</v>
      </c>
      <c r="F12" s="1616">
        <f>'Continental Dboard Targets'!G12:G13</f>
        <v>0.65131298849217767</v>
      </c>
      <c r="I12" s="22" t="s">
        <v>109</v>
      </c>
      <c r="J12" s="23" t="e">
        <f>#REF!</f>
        <v>#REF!</v>
      </c>
      <c r="K12" s="24"/>
      <c r="L12" s="24"/>
      <c r="M12" s="25"/>
    </row>
    <row r="13" spans="1:14" ht="27" customHeight="1" thickBot="1" x14ac:dyDescent="0.5">
      <c r="A13" s="1530"/>
      <c r="B13" s="1615"/>
      <c r="C13" s="436" t="s">
        <v>112</v>
      </c>
      <c r="D13" s="52" t="s">
        <v>281</v>
      </c>
      <c r="E13" s="427" t="s">
        <v>98</v>
      </c>
      <c r="F13" s="1617"/>
      <c r="I13" s="26">
        <v>0.02</v>
      </c>
      <c r="J13" s="27" t="e">
        <f>(J12-(J12*I13))</f>
        <v>#REF!</v>
      </c>
      <c r="K13" s="27" t="e">
        <f>J12-(I13*J12)</f>
        <v>#REF!</v>
      </c>
      <c r="L13" s="24"/>
      <c r="M13" s="25"/>
    </row>
    <row r="14" spans="1:14" ht="32.450000000000003" customHeight="1" x14ac:dyDescent="0.45">
      <c r="A14" s="1530">
        <v>2</v>
      </c>
      <c r="B14" s="1618" t="s">
        <v>6</v>
      </c>
      <c r="C14" s="437" t="s">
        <v>273</v>
      </c>
      <c r="D14" s="438" t="s">
        <v>7</v>
      </c>
      <c r="E14" s="428" t="s">
        <v>99</v>
      </c>
      <c r="F14" s="1620">
        <f>'Continental Dboard Targets'!G14:G15</f>
        <v>0.45901042166110967</v>
      </c>
      <c r="I14" s="26">
        <v>0.02</v>
      </c>
      <c r="J14" s="27" t="e">
        <f>(#REF!-(#REF!*I14))</f>
        <v>#REF!</v>
      </c>
      <c r="K14" s="27" t="e">
        <f>(J12-(I13*J12))-((J12-(I13*J12))*0.02)-(((J12-(I13*J12))-((J12-(I13*J12))*0.02))*0.02)-(((J12-(I13*J12))-((J12-(I13*J12))*0.02)-(((J12-(I13*J12))-((J12-(I13*J12))*0.02))*0.02))*0.02)</f>
        <v>#REF!</v>
      </c>
      <c r="L14" s="28" t="e">
        <f>(J12-J15)/J12</f>
        <v>#REF!</v>
      </c>
      <c r="M14" s="25"/>
    </row>
    <row r="15" spans="1:14" ht="33" customHeight="1" thickBot="1" x14ac:dyDescent="0.5">
      <c r="A15" s="1530"/>
      <c r="B15" s="1619"/>
      <c r="C15" s="437" t="s">
        <v>274</v>
      </c>
      <c r="D15" s="438" t="s">
        <v>8</v>
      </c>
      <c r="E15" s="429" t="s">
        <v>100</v>
      </c>
      <c r="F15" s="1621"/>
      <c r="I15" s="29">
        <v>0.02</v>
      </c>
      <c r="J15" s="30" t="e">
        <f>(#REF!-(#REF!*I15))</f>
        <v>#REF!</v>
      </c>
      <c r="K15" s="30" t="e">
        <f>(J12-(I13*J12))-((J12-(I13*J12))*0.02)-(((J12-(I13*J12))-((J12-(I13*J12))*0.02))*0.02)-(((J12-(I13*J12))-((J12-(I13*J12))*0.02)-(((J12-(I13*J12))-((J12-(I13*J12))*0.02))*0.02))*0.02)-(((J12-(I13*J12))-((J12-(I13*J12))*0.02)-(((J12-(I13*J12))-((J12-(I13*J12))*0.02))*0.02)-(((J12-(I13*J12))-((J12-(I13*J12))*0.02)-(((J12-(I13*J12))-((J12-(I13*J13))*0.02))*0.02))*0.02))*0.02)-(((J12-(I13*J12))-((J12-(I13*J12))*0.02)-(((J12-(I13*J12))-((J12-(I13*J12))*0.02))*0.02)-(((J12-(I13*J12))-((J12-(I13*J12))*0.02)-(((J12-(I13*J12))-((J12-(I13*J12))*0.02))*0.02))*0.02)-(((J12-(I13*J12))-((J12-(I13*J12))*0.02)-(((J12-(I13*J12))-((J12-(I13*J12))*0.02))*0.02)-(((J12-(I13*J12))-((J12-(I13*J12))*0.02)-(((J12-(I13*J12))-((J12-(I13*J12))*0.02))*0.02))*0.02))*0.02))*0.02)</f>
        <v>#REF!</v>
      </c>
      <c r="L15" s="31" t="e">
        <f>J12-K15</f>
        <v>#REF!</v>
      </c>
      <c r="M15" s="32"/>
    </row>
    <row r="16" spans="1:14" ht="22.25" customHeight="1" x14ac:dyDescent="0.45">
      <c r="A16" s="1530">
        <v>3</v>
      </c>
      <c r="B16" s="1609" t="s">
        <v>9</v>
      </c>
      <c r="C16" s="1612" t="s">
        <v>113</v>
      </c>
      <c r="D16" s="438" t="s">
        <v>221</v>
      </c>
      <c r="E16" s="432" t="s">
        <v>101</v>
      </c>
      <c r="F16" s="1524">
        <f>'Continental Dboard Targets'!G16:G18</f>
        <v>0.70312698573977783</v>
      </c>
    </row>
    <row r="17" spans="1:6" ht="14.25" x14ac:dyDescent="0.45">
      <c r="A17" s="1530"/>
      <c r="B17" s="1610"/>
      <c r="C17" s="1612"/>
      <c r="D17" s="438" t="s">
        <v>220</v>
      </c>
      <c r="E17" s="433" t="s">
        <v>95</v>
      </c>
      <c r="F17" s="1525"/>
    </row>
    <row r="18" spans="1:6" ht="25.25" customHeight="1" thickBot="1" x14ac:dyDescent="0.5">
      <c r="A18" s="1530"/>
      <c r="B18" s="1611"/>
      <c r="C18" s="1613"/>
      <c r="D18" s="439" t="s">
        <v>10</v>
      </c>
      <c r="E18" s="434" t="s">
        <v>162</v>
      </c>
      <c r="F18" s="1526"/>
    </row>
    <row r="19" spans="1:6" ht="26.25" customHeight="1" thickBot="1" x14ac:dyDescent="0.7">
      <c r="A19" s="14"/>
      <c r="B19" s="1553" t="s">
        <v>11</v>
      </c>
      <c r="C19" s="1606"/>
      <c r="D19" s="1607"/>
      <c r="E19" s="35"/>
      <c r="F19" s="1512">
        <f>'Continental Dboard Targets'!G19</f>
        <v>0.26209805863809033</v>
      </c>
    </row>
    <row r="20" spans="1:6" ht="34.25" customHeight="1" x14ac:dyDescent="0.45">
      <c r="A20" s="1530">
        <v>4</v>
      </c>
      <c r="B20" s="1583" t="s">
        <v>12</v>
      </c>
      <c r="C20" s="50" t="s">
        <v>114</v>
      </c>
      <c r="D20" s="51" t="s">
        <v>222</v>
      </c>
      <c r="E20" s="311" t="s">
        <v>163</v>
      </c>
      <c r="F20" s="1601">
        <f>'Continental Dboard Targets'!G20:G23</f>
        <v>0.26209805863809033</v>
      </c>
    </row>
    <row r="21" spans="1:6" ht="39" customHeight="1" x14ac:dyDescent="0.45">
      <c r="A21" s="1530"/>
      <c r="B21" s="1584"/>
      <c r="C21" s="167" t="s">
        <v>152</v>
      </c>
      <c r="D21" s="52" t="s">
        <v>265</v>
      </c>
      <c r="E21" s="312" t="s">
        <v>164</v>
      </c>
      <c r="F21" s="1602"/>
    </row>
    <row r="22" spans="1:6" ht="56.45" customHeight="1" x14ac:dyDescent="0.45">
      <c r="A22" s="1530"/>
      <c r="B22" s="1584"/>
      <c r="C22" s="167" t="s">
        <v>153</v>
      </c>
      <c r="D22" s="52" t="s">
        <v>155</v>
      </c>
      <c r="E22" s="312" t="s">
        <v>165</v>
      </c>
      <c r="F22" s="1602"/>
    </row>
    <row r="23" spans="1:6" ht="36.6" customHeight="1" thickBot="1" x14ac:dyDescent="0.5">
      <c r="A23" s="1530"/>
      <c r="B23" s="1585"/>
      <c r="C23" s="54" t="s">
        <v>154</v>
      </c>
      <c r="D23" s="74" t="s">
        <v>156</v>
      </c>
      <c r="E23" s="313" t="s">
        <v>95</v>
      </c>
      <c r="F23" s="1608"/>
    </row>
    <row r="24" spans="1:6" ht="20.45" customHeight="1" thickBot="1" x14ac:dyDescent="0.5">
      <c r="B24" s="1553" t="s">
        <v>13</v>
      </c>
      <c r="C24" s="1554"/>
      <c r="D24" s="1555"/>
      <c r="E24" s="35"/>
      <c r="F24" s="1512">
        <f>'Continental Dboard Targets'!G24</f>
        <v>0.32271587672514934</v>
      </c>
    </row>
    <row r="25" spans="1:6" ht="36" customHeight="1" x14ac:dyDescent="0.45">
      <c r="A25" s="1530">
        <v>5</v>
      </c>
      <c r="B25" s="1541" t="s">
        <v>14</v>
      </c>
      <c r="C25" s="162" t="s">
        <v>115</v>
      </c>
      <c r="D25" s="162" t="s">
        <v>280</v>
      </c>
      <c r="E25" s="314" t="s">
        <v>166</v>
      </c>
      <c r="F25" s="1601">
        <f>'Continental Dboard Targets'!G25:G32</f>
        <v>0.32271587672514934</v>
      </c>
    </row>
    <row r="26" spans="1:6" ht="19.8" customHeight="1" x14ac:dyDescent="0.45">
      <c r="A26" s="1530"/>
      <c r="B26" s="1542"/>
      <c r="C26" s="1545" t="s">
        <v>158</v>
      </c>
      <c r="D26" s="163" t="s">
        <v>15</v>
      </c>
      <c r="E26" s="315" t="s">
        <v>167</v>
      </c>
      <c r="F26" s="1602"/>
    </row>
    <row r="27" spans="1:6" ht="19.8" customHeight="1" x14ac:dyDescent="0.45">
      <c r="A27" s="1530"/>
      <c r="B27" s="1542"/>
      <c r="C27" s="1603"/>
      <c r="D27" s="163" t="s">
        <v>16</v>
      </c>
      <c r="E27" s="315" t="s">
        <v>168</v>
      </c>
      <c r="F27" s="1602"/>
    </row>
    <row r="28" spans="1:6" ht="19.8" customHeight="1" x14ac:dyDescent="0.45">
      <c r="A28" s="1530"/>
      <c r="B28" s="1542"/>
      <c r="C28" s="1603"/>
      <c r="D28" s="163" t="s">
        <v>17</v>
      </c>
      <c r="E28" s="315" t="s">
        <v>169</v>
      </c>
      <c r="F28" s="1602"/>
    </row>
    <row r="29" spans="1:6" ht="30.6" customHeight="1" x14ac:dyDescent="0.45">
      <c r="A29" s="161"/>
      <c r="B29" s="1542"/>
      <c r="C29" s="1604" t="s">
        <v>116</v>
      </c>
      <c r="D29" s="163" t="s">
        <v>148</v>
      </c>
      <c r="E29" s="315" t="s">
        <v>170</v>
      </c>
      <c r="F29" s="1559"/>
    </row>
    <row r="30" spans="1:6" ht="20.45" customHeight="1" x14ac:dyDescent="0.45">
      <c r="A30" s="161"/>
      <c r="B30" s="1542"/>
      <c r="C30" s="1605"/>
      <c r="D30" s="163" t="s">
        <v>149</v>
      </c>
      <c r="E30" s="315" t="s">
        <v>171</v>
      </c>
      <c r="F30" s="1559"/>
    </row>
    <row r="31" spans="1:6" ht="20.45" customHeight="1" x14ac:dyDescent="0.45">
      <c r="A31" s="161"/>
      <c r="B31" s="1599"/>
      <c r="C31" s="1605"/>
      <c r="D31" s="167" t="s">
        <v>150</v>
      </c>
      <c r="E31" s="315" t="s">
        <v>172</v>
      </c>
      <c r="F31" s="1559"/>
    </row>
    <row r="32" spans="1:6" ht="23.65" thickBot="1" x14ac:dyDescent="0.5">
      <c r="A32" s="161"/>
      <c r="B32" s="1600"/>
      <c r="C32" s="54" t="s">
        <v>117</v>
      </c>
      <c r="D32" s="89" t="s">
        <v>223</v>
      </c>
      <c r="E32" s="316" t="s">
        <v>95</v>
      </c>
      <c r="F32" s="1560"/>
    </row>
    <row r="33" spans="1:6" ht="20.45" customHeight="1" thickBot="1" x14ac:dyDescent="0.5">
      <c r="B33" s="1593" t="s">
        <v>18</v>
      </c>
      <c r="C33" s="1594"/>
      <c r="D33" s="1595"/>
      <c r="E33" s="35"/>
      <c r="F33" s="1512">
        <f>'Continental Dboard Targets'!G33</f>
        <v>0.11712865785509866</v>
      </c>
    </row>
    <row r="34" spans="1:6" ht="33.6" customHeight="1" thickBot="1" x14ac:dyDescent="0.5">
      <c r="A34" s="161">
        <v>6</v>
      </c>
      <c r="B34" s="55" t="s">
        <v>19</v>
      </c>
      <c r="C34" s="56" t="s">
        <v>287</v>
      </c>
      <c r="D34" s="55" t="s">
        <v>288</v>
      </c>
      <c r="E34" s="317" t="s">
        <v>97</v>
      </c>
      <c r="F34" s="1512">
        <f>'Continental Dboard Targets'!G34</f>
        <v>0</v>
      </c>
    </row>
    <row r="35" spans="1:6" ht="51" customHeight="1" thickBot="1" x14ac:dyDescent="0.5">
      <c r="A35" s="161">
        <v>7</v>
      </c>
      <c r="B35" s="55" t="s">
        <v>20</v>
      </c>
      <c r="C35" s="55" t="s">
        <v>118</v>
      </c>
      <c r="D35" s="55" t="s">
        <v>21</v>
      </c>
      <c r="E35" s="317" t="s">
        <v>173</v>
      </c>
      <c r="F35" s="1512">
        <f>'Continental Dboard Targets'!G35</f>
        <v>0.3905506979598099</v>
      </c>
    </row>
    <row r="36" spans="1:6" ht="40.799999999999997" customHeight="1" thickBot="1" x14ac:dyDescent="0.5">
      <c r="A36" s="161">
        <v>8</v>
      </c>
      <c r="B36" s="55" t="s">
        <v>22</v>
      </c>
      <c r="C36" s="55" t="s">
        <v>119</v>
      </c>
      <c r="D36" s="55" t="s">
        <v>23</v>
      </c>
      <c r="E36" s="317" t="s">
        <v>174</v>
      </c>
      <c r="F36" s="1512">
        <f>'Continental Dboard Targets'!G36</f>
        <v>7.7963933460584736E-2</v>
      </c>
    </row>
    <row r="37" spans="1:6" ht="32.450000000000003" customHeight="1" thickBot="1" x14ac:dyDescent="0.5">
      <c r="A37" s="161">
        <v>9</v>
      </c>
      <c r="B37" s="55" t="s">
        <v>24</v>
      </c>
      <c r="C37" s="55" t="s">
        <v>275</v>
      </c>
      <c r="D37" s="57" t="s">
        <v>25</v>
      </c>
      <c r="E37" s="318" t="s">
        <v>175</v>
      </c>
      <c r="F37" s="1512">
        <f>'Continental Dboard Targets'!G37</f>
        <v>0</v>
      </c>
    </row>
    <row r="38" spans="1:6" ht="30.6" customHeight="1" thickBot="1" x14ac:dyDescent="0.5">
      <c r="B38" s="1596" t="s">
        <v>26</v>
      </c>
      <c r="C38" s="1597"/>
      <c r="D38" s="1598"/>
      <c r="E38" s="36"/>
      <c r="F38" s="1512">
        <f>'Continental Dboard Targets'!G38</f>
        <v>0.1250018200002912</v>
      </c>
    </row>
    <row r="39" spans="1:6" ht="25.8" customHeight="1" x14ac:dyDescent="0.45">
      <c r="A39" s="1530">
        <v>10</v>
      </c>
      <c r="B39" s="1583" t="s">
        <v>27</v>
      </c>
      <c r="C39" s="77" t="s">
        <v>120</v>
      </c>
      <c r="D39" s="78" t="s">
        <v>224</v>
      </c>
      <c r="E39" s="319" t="s">
        <v>176</v>
      </c>
      <c r="F39" s="1524">
        <f>'Continental Dboard Targets'!G39:G40</f>
        <v>0.1250018200002912</v>
      </c>
    </row>
    <row r="40" spans="1:6" ht="35.25" thickBot="1" x14ac:dyDescent="0.5">
      <c r="A40" s="1530"/>
      <c r="B40" s="1585"/>
      <c r="C40" s="73" t="s">
        <v>157</v>
      </c>
      <c r="D40" s="345" t="s">
        <v>225</v>
      </c>
      <c r="E40" s="325" t="s">
        <v>95</v>
      </c>
      <c r="F40" s="1526"/>
    </row>
    <row r="41" spans="1:6" ht="20.45" customHeight="1" thickBot="1" x14ac:dyDescent="0.5">
      <c r="B41" s="1578" t="s">
        <v>28</v>
      </c>
      <c r="C41" s="1579"/>
      <c r="D41" s="1580"/>
      <c r="E41" s="37"/>
      <c r="F41" s="1512">
        <f>'Continental Dboard Targets'!G41</f>
        <v>6.25E-2</v>
      </c>
    </row>
    <row r="42" spans="1:6" ht="34.9" x14ac:dyDescent="0.45">
      <c r="A42" s="1530">
        <v>11</v>
      </c>
      <c r="B42" s="1544" t="s">
        <v>29</v>
      </c>
      <c r="C42" s="165" t="s">
        <v>121</v>
      </c>
      <c r="D42" s="162" t="s">
        <v>30</v>
      </c>
      <c r="E42" s="346" t="s">
        <v>177</v>
      </c>
      <c r="F42" s="1591">
        <f>'Continental Dboard Targets'!G42:G43</f>
        <v>6.25E-2</v>
      </c>
    </row>
    <row r="43" spans="1:6" ht="35.25" thickBot="1" x14ac:dyDescent="0.5">
      <c r="A43" s="1530"/>
      <c r="B43" s="1546"/>
      <c r="C43" s="166" t="s">
        <v>122</v>
      </c>
      <c r="D43" s="164" t="s">
        <v>31</v>
      </c>
      <c r="E43" s="347" t="s">
        <v>95</v>
      </c>
      <c r="F43" s="1592"/>
    </row>
    <row r="44" spans="1:6" ht="30.6" customHeight="1" thickBot="1" x14ac:dyDescent="0.5">
      <c r="B44" s="1553" t="s">
        <v>32</v>
      </c>
      <c r="C44" s="1554"/>
      <c r="D44" s="1555"/>
      <c r="E44" s="35"/>
      <c r="F44" s="1512">
        <f>'Continental Dboard Targets'!G44</f>
        <v>0.28566358470617353</v>
      </c>
    </row>
    <row r="45" spans="1:6" ht="37.799999999999997" customHeight="1" x14ac:dyDescent="0.45">
      <c r="A45" s="1530">
        <v>12</v>
      </c>
      <c r="B45" s="1544" t="s">
        <v>33</v>
      </c>
      <c r="C45" s="162" t="s">
        <v>123</v>
      </c>
      <c r="D45" s="162" t="s">
        <v>34</v>
      </c>
      <c r="E45" s="309" t="s">
        <v>178</v>
      </c>
      <c r="F45" s="1524">
        <f>'Continental Dboard Targets'!G45:G46</f>
        <v>0.28566358470617353</v>
      </c>
    </row>
    <row r="46" spans="1:6" ht="35.25" thickBot="1" x14ac:dyDescent="0.5">
      <c r="A46" s="1530"/>
      <c r="B46" s="1546"/>
      <c r="C46" s="164" t="s">
        <v>124</v>
      </c>
      <c r="D46" s="164" t="s">
        <v>35</v>
      </c>
      <c r="E46" s="310" t="s">
        <v>179</v>
      </c>
      <c r="F46" s="1526"/>
    </row>
    <row r="47" spans="1:6" ht="30.6" customHeight="1" thickBot="1" x14ac:dyDescent="0.5">
      <c r="B47" s="1572" t="s">
        <v>36</v>
      </c>
      <c r="C47" s="1573"/>
      <c r="D47" s="1574"/>
      <c r="E47" s="38"/>
      <c r="F47" s="1512">
        <f>'Continental Dboard Targets'!G47</f>
        <v>0.31831027234041515</v>
      </c>
    </row>
    <row r="48" spans="1:6" ht="20.45" customHeight="1" thickBot="1" x14ac:dyDescent="0.5">
      <c r="B48" s="1538" t="s">
        <v>37</v>
      </c>
      <c r="C48" s="1539"/>
      <c r="D48" s="1540"/>
      <c r="E48" s="53"/>
      <c r="F48" s="1512">
        <f>'Continental Dboard Targets'!G48</f>
        <v>0</v>
      </c>
    </row>
    <row r="49" spans="1:8" ht="37.799999999999997" customHeight="1" x14ac:dyDescent="0.45">
      <c r="A49" s="1530">
        <v>13</v>
      </c>
      <c r="B49" s="1544" t="s">
        <v>38</v>
      </c>
      <c r="C49" s="158" t="s">
        <v>125</v>
      </c>
      <c r="D49" s="59" t="s">
        <v>289</v>
      </c>
      <c r="E49" s="314" t="s">
        <v>95</v>
      </c>
      <c r="F49" s="1524">
        <f>'Continental Dboard Targets'!G49:G50</f>
        <v>0</v>
      </c>
      <c r="H49" s="528"/>
    </row>
    <row r="50" spans="1:8" ht="30.6" customHeight="1" thickBot="1" x14ac:dyDescent="0.5">
      <c r="A50" s="1530"/>
      <c r="B50" s="1546"/>
      <c r="C50" s="159" t="s">
        <v>126</v>
      </c>
      <c r="D50" s="159" t="s">
        <v>290</v>
      </c>
      <c r="E50" s="316" t="s">
        <v>95</v>
      </c>
      <c r="F50" s="1526"/>
      <c r="H50" s="528"/>
    </row>
    <row r="51" spans="1:8" ht="23.65" customHeight="1" thickBot="1" x14ac:dyDescent="0.5">
      <c r="B51" s="1553" t="s">
        <v>39</v>
      </c>
      <c r="C51" s="1554"/>
      <c r="D51" s="1555"/>
      <c r="E51" s="39"/>
      <c r="F51" s="1512">
        <f>'Continental Dboard Targets'!G51</f>
        <v>0.91666666666666663</v>
      </c>
      <c r="H51" s="528"/>
    </row>
    <row r="52" spans="1:8" ht="30.6" customHeight="1" thickBot="1" x14ac:dyDescent="0.5">
      <c r="A52" s="15">
        <v>14</v>
      </c>
      <c r="B52" s="307" t="s">
        <v>226</v>
      </c>
      <c r="C52" s="308" t="s">
        <v>272</v>
      </c>
      <c r="D52" s="80" t="s">
        <v>266</v>
      </c>
      <c r="E52" s="321" t="s">
        <v>95</v>
      </c>
      <c r="F52" s="1512">
        <f>'Continental Dboard Targets'!G52</f>
        <v>0.91666666666666663</v>
      </c>
    </row>
    <row r="53" spans="1:8" ht="27.75" customHeight="1" thickBot="1" x14ac:dyDescent="0.5">
      <c r="B53" s="1553" t="s">
        <v>40</v>
      </c>
      <c r="C53" s="1554"/>
      <c r="D53" s="1555"/>
      <c r="E53" s="34"/>
      <c r="F53" s="1512">
        <f>'Continental Dboard Targets'!G53</f>
        <v>3.8264150354578703E-2</v>
      </c>
    </row>
    <row r="54" spans="1:8" ht="43.8" customHeight="1" x14ac:dyDescent="0.45">
      <c r="A54" s="1530">
        <v>15</v>
      </c>
      <c r="B54" s="1583" t="s">
        <v>108</v>
      </c>
      <c r="C54" s="60" t="s">
        <v>127</v>
      </c>
      <c r="D54" s="61" t="s">
        <v>41</v>
      </c>
      <c r="E54" s="322" t="s">
        <v>95</v>
      </c>
      <c r="F54" s="1586">
        <f>'Continental Dboard Targets'!G54:G59</f>
        <v>3.8264150354578703E-2</v>
      </c>
    </row>
    <row r="55" spans="1:8" ht="35.450000000000003" customHeight="1" x14ac:dyDescent="0.45">
      <c r="A55" s="1530"/>
      <c r="B55" s="1584"/>
      <c r="C55" s="88" t="s">
        <v>128</v>
      </c>
      <c r="D55" s="62" t="s">
        <v>42</v>
      </c>
      <c r="E55" s="323" t="s">
        <v>95</v>
      </c>
      <c r="F55" s="1587"/>
    </row>
    <row r="56" spans="1:8" ht="34.25" customHeight="1" x14ac:dyDescent="0.45">
      <c r="A56" s="1530"/>
      <c r="B56" s="1584"/>
      <c r="C56" s="88" t="s">
        <v>129</v>
      </c>
      <c r="D56" s="62" t="s">
        <v>43</v>
      </c>
      <c r="E56" s="323" t="s">
        <v>95</v>
      </c>
      <c r="F56" s="1587"/>
    </row>
    <row r="57" spans="1:8" ht="37.25" customHeight="1" x14ac:dyDescent="0.45">
      <c r="A57" s="1530"/>
      <c r="B57" s="1584"/>
      <c r="C57" s="88" t="s">
        <v>130</v>
      </c>
      <c r="D57" s="62" t="s">
        <v>44</v>
      </c>
      <c r="E57" s="323" t="s">
        <v>101</v>
      </c>
      <c r="F57" s="1587"/>
    </row>
    <row r="58" spans="1:8" ht="22.8" customHeight="1" x14ac:dyDescent="0.45">
      <c r="A58" s="1530"/>
      <c r="B58" s="1584"/>
      <c r="C58" s="1589" t="s">
        <v>131</v>
      </c>
      <c r="D58" s="62" t="s">
        <v>45</v>
      </c>
      <c r="E58" s="323" t="s">
        <v>180</v>
      </c>
      <c r="F58" s="1587"/>
    </row>
    <row r="59" spans="1:8" ht="15" customHeight="1" thickBot="1" x14ac:dyDescent="0.5">
      <c r="A59" s="1530"/>
      <c r="B59" s="1585"/>
      <c r="C59" s="1590"/>
      <c r="D59" s="48" t="s">
        <v>46</v>
      </c>
      <c r="E59" s="324" t="s">
        <v>95</v>
      </c>
      <c r="F59" s="1588"/>
    </row>
    <row r="60" spans="1:8" ht="23.45" customHeight="1" thickBot="1" x14ac:dyDescent="0.5">
      <c r="B60" s="1572" t="s">
        <v>47</v>
      </c>
      <c r="C60" s="1573"/>
      <c r="D60" s="1574"/>
      <c r="E60" s="157"/>
      <c r="F60" s="1512">
        <f>'Continental Dboard Targets'!G60</f>
        <v>0.1039186507936508</v>
      </c>
    </row>
    <row r="61" spans="1:8" ht="22.25" customHeight="1" thickBot="1" x14ac:dyDescent="0.5">
      <c r="B61" s="1553" t="s">
        <v>48</v>
      </c>
      <c r="C61" s="1554"/>
      <c r="D61" s="1555"/>
      <c r="E61" s="33"/>
      <c r="F61" s="1512">
        <f>'Continental Dboard Targets'!G61</f>
        <v>0.2078373015873016</v>
      </c>
    </row>
    <row r="62" spans="1:8" ht="39" customHeight="1" x14ac:dyDescent="0.45">
      <c r="A62" s="1530">
        <v>16</v>
      </c>
      <c r="B62" s="1541" t="s">
        <v>49</v>
      </c>
      <c r="C62" s="158" t="s">
        <v>133</v>
      </c>
      <c r="D62" s="158" t="s">
        <v>50</v>
      </c>
      <c r="E62" s="319" t="s">
        <v>181</v>
      </c>
      <c r="F62" s="1567">
        <f>'Continental Dboard Targets'!G62:G67</f>
        <v>0.2078373015873016</v>
      </c>
    </row>
    <row r="63" spans="1:8" ht="58.25" customHeight="1" x14ac:dyDescent="0.45">
      <c r="A63" s="1530"/>
      <c r="B63" s="1542"/>
      <c r="C63" s="160" t="s">
        <v>134</v>
      </c>
      <c r="D63" s="88" t="s">
        <v>276</v>
      </c>
      <c r="E63" s="320" t="s">
        <v>182</v>
      </c>
      <c r="F63" s="1581"/>
    </row>
    <row r="64" spans="1:8" ht="26.45" customHeight="1" x14ac:dyDescent="0.45">
      <c r="A64" s="1530"/>
      <c r="B64" s="1542"/>
      <c r="C64" s="160" t="s">
        <v>135</v>
      </c>
      <c r="D64" s="160" t="s">
        <v>51</v>
      </c>
      <c r="E64" s="320" t="s">
        <v>95</v>
      </c>
      <c r="F64" s="1581"/>
    </row>
    <row r="65" spans="1:6" ht="15" customHeight="1" x14ac:dyDescent="0.45">
      <c r="A65" s="1530"/>
      <c r="B65" s="1542"/>
      <c r="C65" s="1545" t="s">
        <v>136</v>
      </c>
      <c r="D65" s="63" t="s">
        <v>52</v>
      </c>
      <c r="E65" s="320" t="s">
        <v>95</v>
      </c>
      <c r="F65" s="1581"/>
    </row>
    <row r="66" spans="1:6" ht="14.25" x14ac:dyDescent="0.45">
      <c r="A66" s="1530"/>
      <c r="B66" s="1542"/>
      <c r="C66" s="1545"/>
      <c r="D66" s="63" t="s">
        <v>53</v>
      </c>
      <c r="E66" s="320" t="s">
        <v>95</v>
      </c>
      <c r="F66" s="1581"/>
    </row>
    <row r="67" spans="1:6" ht="27.6" customHeight="1" thickBot="1" x14ac:dyDescent="0.5">
      <c r="A67" s="1530"/>
      <c r="B67" s="1543"/>
      <c r="C67" s="1546"/>
      <c r="D67" s="64" t="s">
        <v>54</v>
      </c>
      <c r="E67" s="325" t="s">
        <v>95</v>
      </c>
      <c r="F67" s="1582"/>
    </row>
    <row r="68" spans="1:6" ht="27" customHeight="1" thickBot="1" x14ac:dyDescent="0.5">
      <c r="B68" s="1538" t="s">
        <v>55</v>
      </c>
      <c r="C68" s="1539"/>
      <c r="D68" s="1540"/>
      <c r="E68" s="46"/>
      <c r="F68" s="1512">
        <f>'Continental Dboard Targets'!G68</f>
        <v>0</v>
      </c>
    </row>
    <row r="69" spans="1:6" ht="70.150000000000006" thickBot="1" x14ac:dyDescent="0.5">
      <c r="A69" s="16">
        <v>17</v>
      </c>
      <c r="B69" s="65" t="s">
        <v>56</v>
      </c>
      <c r="C69" s="65" t="s">
        <v>137</v>
      </c>
      <c r="D69" s="65" t="s">
        <v>57</v>
      </c>
      <c r="E69" s="81" t="s">
        <v>132</v>
      </c>
      <c r="F69" s="1519">
        <f>'Continental Dboard Targets'!G69</f>
        <v>0</v>
      </c>
    </row>
    <row r="70" spans="1:6" ht="22.25" customHeight="1" thickBot="1" x14ac:dyDescent="0.5">
      <c r="B70" s="1575" t="s">
        <v>58</v>
      </c>
      <c r="C70" s="1576"/>
      <c r="D70" s="1577"/>
      <c r="E70" s="40"/>
      <c r="F70" s="1512">
        <f>'Continental Dboard Targets'!G70</f>
        <v>0.375</v>
      </c>
    </row>
    <row r="71" spans="1:6" ht="20.45" customHeight="1" thickBot="1" x14ac:dyDescent="0.5">
      <c r="B71" s="1553" t="s">
        <v>59</v>
      </c>
      <c r="C71" s="1554"/>
      <c r="D71" s="1555"/>
      <c r="E71" s="34"/>
      <c r="F71" s="1512">
        <f>'Continental Dboard Targets'!G71</f>
        <v>0.125</v>
      </c>
    </row>
    <row r="72" spans="1:6" ht="52.25" customHeight="1" thickBot="1" x14ac:dyDescent="0.5">
      <c r="A72" s="16">
        <v>18</v>
      </c>
      <c r="B72" s="66" t="s">
        <v>60</v>
      </c>
      <c r="C72" s="67" t="s">
        <v>138</v>
      </c>
      <c r="D72" s="145" t="s">
        <v>61</v>
      </c>
      <c r="E72" s="326" t="s">
        <v>183</v>
      </c>
      <c r="F72" s="1519">
        <f>'Continental Dboard Targets'!G72</f>
        <v>0.125</v>
      </c>
    </row>
    <row r="73" spans="1:6" ht="20.45" customHeight="1" thickBot="1" x14ac:dyDescent="0.5">
      <c r="B73" s="1578" t="s">
        <v>277</v>
      </c>
      <c r="C73" s="1579"/>
      <c r="D73" s="1580"/>
      <c r="E73" s="36"/>
      <c r="F73" s="1512">
        <f>'Continental Dboard Targets'!G73</f>
        <v>0.25</v>
      </c>
    </row>
    <row r="74" spans="1:6" ht="45" customHeight="1" thickBot="1" x14ac:dyDescent="0.5">
      <c r="A74" s="16">
        <v>19</v>
      </c>
      <c r="B74" s="68" t="s">
        <v>62</v>
      </c>
      <c r="C74" s="69" t="s">
        <v>139</v>
      </c>
      <c r="D74" s="146" t="s">
        <v>63</v>
      </c>
      <c r="E74" s="327" t="s">
        <v>95</v>
      </c>
      <c r="F74" s="1519">
        <f>'Continental Dboard Targets'!G74</f>
        <v>0.25</v>
      </c>
    </row>
    <row r="75" spans="1:6" ht="30.6" customHeight="1" thickBot="1" x14ac:dyDescent="0.5">
      <c r="B75" s="1553" t="s">
        <v>64</v>
      </c>
      <c r="C75" s="1554"/>
      <c r="D75" s="1555"/>
      <c r="E75" s="34"/>
      <c r="F75" s="1512">
        <f>'Continental Dboard Targets'!G75</f>
        <v>0.75</v>
      </c>
    </row>
    <row r="76" spans="1:6" ht="29.45" customHeight="1" thickBot="1" x14ac:dyDescent="0.5">
      <c r="A76" s="16">
        <v>20</v>
      </c>
      <c r="B76" s="68" t="s">
        <v>65</v>
      </c>
      <c r="C76" s="67" t="s">
        <v>140</v>
      </c>
      <c r="D76" s="69" t="s">
        <v>66</v>
      </c>
      <c r="E76" s="328" t="s">
        <v>95</v>
      </c>
      <c r="F76" s="1519">
        <f>'Continental Dboard Targets'!G76</f>
        <v>0.75</v>
      </c>
    </row>
    <row r="77" spans="1:6" ht="20.45" customHeight="1" thickBot="1" x14ac:dyDescent="0.5">
      <c r="B77" s="1569" t="s">
        <v>67</v>
      </c>
      <c r="C77" s="1570"/>
      <c r="D77" s="1571"/>
      <c r="E77" s="41"/>
      <c r="F77" s="1512">
        <f>'Continental Dboard Targets'!G77</f>
        <v>6.3606194690265488E-2</v>
      </c>
    </row>
    <row r="78" spans="1:6" ht="20.45" customHeight="1" thickBot="1" x14ac:dyDescent="0.5">
      <c r="B78" s="1553" t="s">
        <v>68</v>
      </c>
      <c r="C78" s="1554"/>
      <c r="D78" s="1555"/>
      <c r="E78" s="34"/>
      <c r="F78" s="1512">
        <f>'Continental Dboard Targets'!G78</f>
        <v>6.3606194690265488E-2</v>
      </c>
    </row>
    <row r="79" spans="1:6" ht="35.25" thickBot="1" x14ac:dyDescent="0.5">
      <c r="A79" s="16">
        <v>21</v>
      </c>
      <c r="B79" s="68" t="s">
        <v>69</v>
      </c>
      <c r="C79" s="70" t="s">
        <v>141</v>
      </c>
      <c r="D79" s="70" t="s">
        <v>70</v>
      </c>
      <c r="E79" s="329" t="s">
        <v>95</v>
      </c>
      <c r="F79" s="1519">
        <f>'Continental Dboard Targets'!G79</f>
        <v>6.3606194690265488E-2</v>
      </c>
    </row>
    <row r="80" spans="1:6" ht="21.6" customHeight="1" thickBot="1" x14ac:dyDescent="0.5">
      <c r="B80" s="1562" t="s">
        <v>71</v>
      </c>
      <c r="C80" s="1563"/>
      <c r="D80" s="1564"/>
      <c r="E80" s="41"/>
      <c r="F80" s="1512">
        <f>'Continental Dboard Targets'!G80</f>
        <v>0.30370445334494173</v>
      </c>
    </row>
    <row r="81" spans="1:6" ht="20.45" customHeight="1" thickBot="1" x14ac:dyDescent="0.5">
      <c r="B81" s="1538" t="s">
        <v>72</v>
      </c>
      <c r="C81" s="1539"/>
      <c r="D81" s="1540"/>
      <c r="E81" s="330"/>
      <c r="F81" s="1512">
        <f>'Continental Dboard Targets'!G81</f>
        <v>0.26896491293358338</v>
      </c>
    </row>
    <row r="82" spans="1:6" ht="58.15" x14ac:dyDescent="0.45">
      <c r="A82" s="161"/>
      <c r="B82" s="1565" t="s">
        <v>73</v>
      </c>
      <c r="C82" s="162" t="s">
        <v>267</v>
      </c>
      <c r="D82" s="60" t="s">
        <v>278</v>
      </c>
      <c r="E82" s="331" t="s">
        <v>279</v>
      </c>
      <c r="F82" s="1567">
        <f>'Continental Dboard Targets'!G82:G83</f>
        <v>0.39522688806550477</v>
      </c>
    </row>
    <row r="83" spans="1:6" ht="39.6" customHeight="1" thickBot="1" x14ac:dyDescent="0.5">
      <c r="A83" s="161"/>
      <c r="B83" s="1566"/>
      <c r="C83" s="164" t="s">
        <v>268</v>
      </c>
      <c r="D83" s="89" t="s">
        <v>74</v>
      </c>
      <c r="E83" s="332" t="s">
        <v>282</v>
      </c>
      <c r="F83" s="1568"/>
    </row>
    <row r="84" spans="1:6" ht="60" customHeight="1" x14ac:dyDescent="0.45">
      <c r="A84" s="161"/>
      <c r="B84" s="1547" t="s">
        <v>142</v>
      </c>
      <c r="C84" s="348" t="s">
        <v>145</v>
      </c>
      <c r="D84" s="162" t="s">
        <v>143</v>
      </c>
      <c r="E84" s="333" t="s">
        <v>184</v>
      </c>
      <c r="F84" s="1550">
        <f>'Continental Dboard Targets'!G84:G86</f>
        <v>0.14270293780166207</v>
      </c>
    </row>
    <row r="85" spans="1:6" ht="45" customHeight="1" x14ac:dyDescent="0.45">
      <c r="A85" s="161"/>
      <c r="B85" s="1548"/>
      <c r="C85" s="71" t="s">
        <v>146</v>
      </c>
      <c r="D85" s="88" t="s">
        <v>283</v>
      </c>
      <c r="E85" s="334" t="s">
        <v>185</v>
      </c>
      <c r="F85" s="1551"/>
    </row>
    <row r="86" spans="1:6" ht="38.450000000000003" customHeight="1" thickBot="1" x14ac:dyDescent="0.5">
      <c r="A86" s="161"/>
      <c r="B86" s="1549"/>
      <c r="C86" s="72" t="s">
        <v>147</v>
      </c>
      <c r="D86" s="89" t="s">
        <v>144</v>
      </c>
      <c r="E86" s="335" t="s">
        <v>284</v>
      </c>
      <c r="F86" s="1552"/>
    </row>
    <row r="87" spans="1:6" ht="20.45" customHeight="1" thickBot="1" x14ac:dyDescent="0.5">
      <c r="B87" s="1553" t="s">
        <v>75</v>
      </c>
      <c r="C87" s="1554"/>
      <c r="D87" s="1555"/>
      <c r="E87" s="35"/>
      <c r="F87" s="1512">
        <f>'Continental Dboard Targets'!G87</f>
        <v>0.37318353416765832</v>
      </c>
    </row>
    <row r="88" spans="1:6" ht="27.6" customHeight="1" x14ac:dyDescent="0.45">
      <c r="A88" s="1530">
        <v>24</v>
      </c>
      <c r="B88" s="1556" t="s">
        <v>76</v>
      </c>
      <c r="C88" s="77" t="s">
        <v>159</v>
      </c>
      <c r="D88" s="51" t="s">
        <v>285</v>
      </c>
      <c r="E88" s="349" t="s">
        <v>186</v>
      </c>
      <c r="F88" s="1524">
        <f>'Continental Dboard Targets'!G88:G92</f>
        <v>0.37318353416765832</v>
      </c>
    </row>
    <row r="89" spans="1:6" ht="25.8" customHeight="1" x14ac:dyDescent="0.45">
      <c r="A89" s="1530"/>
      <c r="B89" s="1557"/>
      <c r="C89" s="1561" t="s">
        <v>160</v>
      </c>
      <c r="D89" s="52" t="s">
        <v>77</v>
      </c>
      <c r="E89" s="336" t="s">
        <v>187</v>
      </c>
      <c r="F89" s="1559"/>
    </row>
    <row r="90" spans="1:6" ht="25.25" customHeight="1" x14ac:dyDescent="0.45">
      <c r="A90" s="1530"/>
      <c r="B90" s="1557"/>
      <c r="C90" s="1561"/>
      <c r="D90" s="52" t="s">
        <v>78</v>
      </c>
      <c r="E90" s="336" t="s">
        <v>188</v>
      </c>
      <c r="F90" s="1559"/>
    </row>
    <row r="91" spans="1:6" ht="26.45" customHeight="1" x14ac:dyDescent="0.45">
      <c r="A91" s="1530"/>
      <c r="B91" s="1557"/>
      <c r="C91" s="1561"/>
      <c r="D91" s="52" t="s">
        <v>79</v>
      </c>
      <c r="E91" s="337" t="s">
        <v>189</v>
      </c>
      <c r="F91" s="1559"/>
    </row>
    <row r="92" spans="1:6" ht="40.799999999999997" customHeight="1" thickBot="1" x14ac:dyDescent="0.5">
      <c r="A92" s="1530"/>
      <c r="B92" s="1558"/>
      <c r="C92" s="73" t="s">
        <v>161</v>
      </c>
      <c r="D92" s="74" t="s">
        <v>80</v>
      </c>
      <c r="E92" s="338" t="s">
        <v>95</v>
      </c>
      <c r="F92" s="1560"/>
    </row>
    <row r="93" spans="1:6" ht="26.65" customHeight="1" thickBot="1" x14ac:dyDescent="0.5">
      <c r="B93" s="1535" t="s">
        <v>81</v>
      </c>
      <c r="C93" s="1536"/>
      <c r="D93" s="1537"/>
      <c r="E93" s="38"/>
      <c r="F93" s="1512">
        <f>'Continental Dboard Targets'!G93</f>
        <v>0.22797834680584517</v>
      </c>
    </row>
    <row r="94" spans="1:6" ht="20.45" customHeight="1" thickBot="1" x14ac:dyDescent="0.5">
      <c r="B94" s="1538" t="s">
        <v>82</v>
      </c>
      <c r="C94" s="1539"/>
      <c r="D94" s="1540"/>
      <c r="E94" s="42"/>
      <c r="F94" s="1512">
        <f>'Continental Dboard Targets'!G94</f>
        <v>0.44717261904761901</v>
      </c>
    </row>
    <row r="95" spans="1:6" ht="34.799999999999997" customHeight="1" x14ac:dyDescent="0.45">
      <c r="A95" s="1530">
        <v>25</v>
      </c>
      <c r="B95" s="1541" t="s">
        <v>83</v>
      </c>
      <c r="C95" s="1544" t="s">
        <v>214</v>
      </c>
      <c r="D95" s="158" t="s">
        <v>269</v>
      </c>
      <c r="E95" s="339" t="s">
        <v>190</v>
      </c>
      <c r="F95" s="1524">
        <f>'Continental Dboard Targets'!G95:G97</f>
        <v>0.44717261904761901</v>
      </c>
    </row>
    <row r="96" spans="1:6" ht="39.6" customHeight="1" x14ac:dyDescent="0.45">
      <c r="A96" s="1530"/>
      <c r="B96" s="1542"/>
      <c r="C96" s="1545"/>
      <c r="D96" s="88" t="s">
        <v>270</v>
      </c>
      <c r="E96" s="340" t="s">
        <v>191</v>
      </c>
      <c r="F96" s="1525"/>
    </row>
    <row r="97" spans="1:6" ht="41.45" customHeight="1" thickBot="1" x14ac:dyDescent="0.5">
      <c r="A97" s="1530"/>
      <c r="B97" s="1543"/>
      <c r="C97" s="1546"/>
      <c r="D97" s="159" t="s">
        <v>84</v>
      </c>
      <c r="E97" s="341" t="s">
        <v>95</v>
      </c>
      <c r="F97" s="1526"/>
    </row>
    <row r="98" spans="1:6" ht="18" customHeight="1" thickBot="1" x14ac:dyDescent="0.5">
      <c r="B98" s="1527" t="s">
        <v>85</v>
      </c>
      <c r="C98" s="1528"/>
      <c r="D98" s="1529"/>
      <c r="E98" s="176"/>
      <c r="F98" s="1512">
        <f>'Continental Dboard Targets'!G98</f>
        <v>0.15491358939192054</v>
      </c>
    </row>
    <row r="99" spans="1:6" ht="29.45" customHeight="1" thickBot="1" x14ac:dyDescent="0.5">
      <c r="A99" s="161">
        <v>26</v>
      </c>
      <c r="B99" s="75" t="s">
        <v>86</v>
      </c>
      <c r="C99" s="75" t="s">
        <v>215</v>
      </c>
      <c r="D99" s="76" t="s">
        <v>291</v>
      </c>
      <c r="E99" s="342" t="s">
        <v>95</v>
      </c>
      <c r="F99" s="1519">
        <f>'Continental Dboard Targets'!G99</f>
        <v>9.1463414634146367E-2</v>
      </c>
    </row>
    <row r="100" spans="1:6" ht="35.25" thickBot="1" x14ac:dyDescent="0.5">
      <c r="A100" s="161">
        <v>27</v>
      </c>
      <c r="B100" s="75" t="s">
        <v>87</v>
      </c>
      <c r="C100" s="75" t="s">
        <v>216</v>
      </c>
      <c r="D100" s="76" t="s">
        <v>271</v>
      </c>
      <c r="E100" s="342" t="s">
        <v>192</v>
      </c>
      <c r="F100" s="1519">
        <f>'Continental Dboard Targets'!G100</f>
        <v>3.6468157985477256E-2</v>
      </c>
    </row>
    <row r="101" spans="1:6" ht="30.4" x14ac:dyDescent="0.45">
      <c r="A101" s="1530">
        <v>28</v>
      </c>
      <c r="B101" s="1531" t="s">
        <v>88</v>
      </c>
      <c r="C101" s="1531" t="s">
        <v>217</v>
      </c>
      <c r="D101" s="60" t="s">
        <v>89</v>
      </c>
      <c r="E101" s="343" t="s">
        <v>193</v>
      </c>
      <c r="F101" s="1533">
        <f>'Continental Dboard Targets'!G101:G102</f>
        <v>0.33680919555613797</v>
      </c>
    </row>
    <row r="102" spans="1:6" ht="38.450000000000003" customHeight="1" thickBot="1" x14ac:dyDescent="0.5">
      <c r="A102" s="1530"/>
      <c r="B102" s="1532"/>
      <c r="C102" s="1532"/>
      <c r="D102" s="164" t="s">
        <v>90</v>
      </c>
      <c r="E102" s="344" t="s">
        <v>95</v>
      </c>
      <c r="F102" s="1534"/>
    </row>
    <row r="104" spans="1:6" x14ac:dyDescent="0.5">
      <c r="B104" s="19"/>
    </row>
    <row r="107" spans="1:6" x14ac:dyDescent="0.5">
      <c r="B107" s="19"/>
    </row>
    <row r="108" spans="1:6" x14ac:dyDescent="0.5">
      <c r="B108" s="20"/>
    </row>
  </sheetData>
  <mergeCells count="85">
    <mergeCell ref="B5:D5"/>
    <mergeCell ref="B8:D8"/>
    <mergeCell ref="B10:D10"/>
    <mergeCell ref="B11:D11"/>
    <mergeCell ref="C4:D4"/>
    <mergeCell ref="A16:A18"/>
    <mergeCell ref="B16:B18"/>
    <mergeCell ref="C16:C18"/>
    <mergeCell ref="F16:F18"/>
    <mergeCell ref="A12:A13"/>
    <mergeCell ref="B12:B13"/>
    <mergeCell ref="F12:F13"/>
    <mergeCell ref="A14:A15"/>
    <mergeCell ref="B14:B15"/>
    <mergeCell ref="F14:F15"/>
    <mergeCell ref="B19:D19"/>
    <mergeCell ref="A20:A23"/>
    <mergeCell ref="B20:B23"/>
    <mergeCell ref="F20:F23"/>
    <mergeCell ref="B24:D24"/>
    <mergeCell ref="A25:A28"/>
    <mergeCell ref="B25:B32"/>
    <mergeCell ref="F25:F32"/>
    <mergeCell ref="C26:C28"/>
    <mergeCell ref="C29:C31"/>
    <mergeCell ref="B33:D33"/>
    <mergeCell ref="B38:D38"/>
    <mergeCell ref="A39:A40"/>
    <mergeCell ref="B39:B40"/>
    <mergeCell ref="F39:F40"/>
    <mergeCell ref="B41:D41"/>
    <mergeCell ref="A42:A43"/>
    <mergeCell ref="B42:B43"/>
    <mergeCell ref="F42:F43"/>
    <mergeCell ref="B44:D44"/>
    <mergeCell ref="A45:A46"/>
    <mergeCell ref="B45:B46"/>
    <mergeCell ref="F45:F46"/>
    <mergeCell ref="B47:D47"/>
    <mergeCell ref="B48:D48"/>
    <mergeCell ref="A49:A50"/>
    <mergeCell ref="B49:B50"/>
    <mergeCell ref="F49:F50"/>
    <mergeCell ref="B51:D51"/>
    <mergeCell ref="B53:D53"/>
    <mergeCell ref="F62:F67"/>
    <mergeCell ref="C65:C67"/>
    <mergeCell ref="A54:A59"/>
    <mergeCell ref="B54:B59"/>
    <mergeCell ref="F54:F59"/>
    <mergeCell ref="C58:C59"/>
    <mergeCell ref="B77:D77"/>
    <mergeCell ref="B60:D60"/>
    <mergeCell ref="B61:D61"/>
    <mergeCell ref="A62:A67"/>
    <mergeCell ref="B62:B67"/>
    <mergeCell ref="B68:D68"/>
    <mergeCell ref="B70:D70"/>
    <mergeCell ref="B71:D71"/>
    <mergeCell ref="B73:D73"/>
    <mergeCell ref="B75:D75"/>
    <mergeCell ref="B88:B92"/>
    <mergeCell ref="F88:F92"/>
    <mergeCell ref="C89:C91"/>
    <mergeCell ref="B78:D78"/>
    <mergeCell ref="B80:D80"/>
    <mergeCell ref="B81:D81"/>
    <mergeCell ref="B82:B83"/>
    <mergeCell ref="F82:F83"/>
    <mergeCell ref="B2:F2"/>
    <mergeCell ref="F95:F97"/>
    <mergeCell ref="B98:D98"/>
    <mergeCell ref="A101:A102"/>
    <mergeCell ref="B101:B102"/>
    <mergeCell ref="C101:C102"/>
    <mergeCell ref="F101:F102"/>
    <mergeCell ref="B93:D93"/>
    <mergeCell ref="B94:D94"/>
    <mergeCell ref="A95:A97"/>
    <mergeCell ref="B95:B97"/>
    <mergeCell ref="C95:C97"/>
    <mergeCell ref="B84:B86"/>
    <mergeCell ref="F84:F86"/>
    <mergeCell ref="B87:D87"/>
    <mergeCell ref="A88:A92"/>
  </mergeCells>
  <conditionalFormatting sqref="F20:F23 F39:F40 F54 F12:F15">
    <cfRule type="colorScale" priority="50">
      <colorScale>
        <cfvo type="num" val="0"/>
        <cfvo type="num" val="0.6"/>
        <cfvo type="num" val="1"/>
        <color rgb="FFFF0000"/>
        <color rgb="FFFFFF00"/>
        <color rgb="FF92FB4B"/>
      </colorScale>
    </cfRule>
  </conditionalFormatting>
  <conditionalFormatting sqref="F16:F18">
    <cfRule type="colorScale" priority="49">
      <colorScale>
        <cfvo type="num" val="0"/>
        <cfvo type="num" val="0.6"/>
        <cfvo type="num" val="1"/>
        <color rgb="FFFF0000"/>
        <color rgb="FFFFFF00"/>
        <color rgb="FF92FB4B"/>
      </colorScale>
    </cfRule>
  </conditionalFormatting>
  <conditionalFormatting sqref="F25:F28">
    <cfRule type="colorScale" priority="48">
      <colorScale>
        <cfvo type="num" val="0"/>
        <cfvo type="num" val="0.6"/>
        <cfvo type="num" val="1"/>
        <color rgb="FFFF0000"/>
        <color rgb="FFFFFF00"/>
        <color rgb="FF92FB4B"/>
      </colorScale>
    </cfRule>
  </conditionalFormatting>
  <conditionalFormatting sqref="F34:F38">
    <cfRule type="colorScale" priority="47">
      <colorScale>
        <cfvo type="num" val="0"/>
        <cfvo type="num" val="0.6"/>
        <cfvo type="num" val="1"/>
        <color rgb="FFFF0000"/>
        <color rgb="FFFFFF00"/>
        <color rgb="FF92FB4B"/>
      </colorScale>
    </cfRule>
  </conditionalFormatting>
  <conditionalFormatting sqref="F42:F43">
    <cfRule type="colorScale" priority="46">
      <colorScale>
        <cfvo type="num" val="0"/>
        <cfvo type="num" val="0.6"/>
        <cfvo type="num" val="1"/>
        <color rgb="FFFF0000"/>
        <color rgb="FFFFFF00"/>
        <color rgb="FF92FB4B"/>
      </colorScale>
    </cfRule>
  </conditionalFormatting>
  <conditionalFormatting sqref="F45:F46">
    <cfRule type="colorScale" priority="45">
      <colorScale>
        <cfvo type="num" val="0"/>
        <cfvo type="num" val="0.6"/>
        <cfvo type="num" val="1"/>
        <color rgb="FFFF0000"/>
        <color rgb="FFFFFF00"/>
        <color rgb="FF92FB4B"/>
      </colorScale>
    </cfRule>
  </conditionalFormatting>
  <conditionalFormatting sqref="F49:F50">
    <cfRule type="colorScale" priority="44">
      <colorScale>
        <cfvo type="num" val="0"/>
        <cfvo type="num" val="0.6"/>
        <cfvo type="num" val="1"/>
        <color rgb="FFFF0000"/>
        <color rgb="FFFFFF00"/>
        <color rgb="FF92FB4B"/>
      </colorScale>
    </cfRule>
  </conditionalFormatting>
  <conditionalFormatting sqref="F62">
    <cfRule type="colorScale" priority="43">
      <colorScale>
        <cfvo type="num" val="0"/>
        <cfvo type="num" val="0.6"/>
        <cfvo type="num" val="1"/>
        <color rgb="FFFF0000"/>
        <color rgb="FFFFFF00"/>
        <color rgb="FF92FB4B"/>
      </colorScale>
    </cfRule>
  </conditionalFormatting>
  <conditionalFormatting sqref="F79">
    <cfRule type="colorScale" priority="39">
      <colorScale>
        <cfvo type="num" val="0"/>
        <cfvo type="num" val="0.6"/>
        <cfvo type="num" val="1"/>
        <color rgb="FFFF0000"/>
        <color rgb="FFFFFF00"/>
        <color rgb="FF92FB4B"/>
      </colorScale>
    </cfRule>
  </conditionalFormatting>
  <conditionalFormatting sqref="F69">
    <cfRule type="colorScale" priority="42">
      <colorScale>
        <cfvo type="num" val="0"/>
        <cfvo type="num" val="0.6"/>
        <cfvo type="num" val="1"/>
        <color rgb="FFFF0000"/>
        <color rgb="FFFFFF00"/>
        <color rgb="FF92FB4B"/>
      </colorScale>
    </cfRule>
  </conditionalFormatting>
  <conditionalFormatting sqref="F72">
    <cfRule type="colorScale" priority="41">
      <colorScale>
        <cfvo type="num" val="0"/>
        <cfvo type="num" val="0.6"/>
        <cfvo type="num" val="1"/>
        <color rgb="FFFF0000"/>
        <color rgb="FFFFFF00"/>
        <color rgb="FF92FB4B"/>
      </colorScale>
    </cfRule>
  </conditionalFormatting>
  <conditionalFormatting sqref="F74">
    <cfRule type="colorScale" priority="40">
      <colorScale>
        <cfvo type="num" val="0"/>
        <cfvo type="num" val="0.6"/>
        <cfvo type="num" val="1"/>
        <color rgb="FFFF0000"/>
        <color rgb="FFFFFF00"/>
        <color rgb="FF92FB4B"/>
      </colorScale>
    </cfRule>
  </conditionalFormatting>
  <conditionalFormatting sqref="F82">
    <cfRule type="colorScale" priority="38">
      <colorScale>
        <cfvo type="num" val="0"/>
        <cfvo type="num" val="0.6"/>
        <cfvo type="num" val="1"/>
        <color rgb="FFFF0000"/>
        <color rgb="FFFFFF00"/>
        <color rgb="FF92FB4B"/>
      </colorScale>
    </cfRule>
  </conditionalFormatting>
  <conditionalFormatting sqref="F88">
    <cfRule type="colorScale" priority="37">
      <colorScale>
        <cfvo type="num" val="0"/>
        <cfvo type="num" val="0.6"/>
        <cfvo type="num" val="1"/>
        <color rgb="FFFF0000"/>
        <color rgb="FFFFFF00"/>
        <color rgb="FF92FB4B"/>
      </colorScale>
    </cfRule>
  </conditionalFormatting>
  <conditionalFormatting sqref="F95">
    <cfRule type="colorScale" priority="36">
      <colorScale>
        <cfvo type="num" val="0"/>
        <cfvo type="num" val="0.6"/>
        <cfvo type="num" val="1"/>
        <color rgb="FFFF0000"/>
        <color rgb="FFFFFF00"/>
        <color rgb="FF92FB4B"/>
      </colorScale>
    </cfRule>
  </conditionalFormatting>
  <conditionalFormatting sqref="F99:F100">
    <cfRule type="colorScale" priority="35">
      <colorScale>
        <cfvo type="num" val="0"/>
        <cfvo type="num" val="0.6"/>
        <cfvo type="num" val="1"/>
        <color rgb="FFFF0000"/>
        <color rgb="FFFFFF00"/>
        <color rgb="FF92FB4B"/>
      </colorScale>
    </cfRule>
  </conditionalFormatting>
  <conditionalFormatting sqref="F101:F102">
    <cfRule type="colorScale" priority="34">
      <colorScale>
        <cfvo type="num" val="0"/>
        <cfvo type="num" val="0.6"/>
        <cfvo type="num" val="1"/>
        <color rgb="FFFF0000"/>
        <color rgb="FFFFFF00"/>
        <color rgb="FF92FB4B"/>
      </colorScale>
    </cfRule>
  </conditionalFormatting>
  <conditionalFormatting sqref="F52">
    <cfRule type="colorScale" priority="33">
      <colorScale>
        <cfvo type="num" val="0"/>
        <cfvo type="num" val="0.6"/>
        <cfvo type="num" val="1"/>
        <color rgb="FFFF0000"/>
        <color rgb="FFFFFF00"/>
        <color rgb="FF92FB4B"/>
      </colorScale>
    </cfRule>
  </conditionalFormatting>
  <conditionalFormatting sqref="F84">
    <cfRule type="colorScale" priority="32">
      <colorScale>
        <cfvo type="num" val="0"/>
        <cfvo type="num" val="0.6"/>
        <cfvo type="num" val="1"/>
        <color rgb="FFFF0000"/>
        <color rgb="FFFFFF00"/>
        <color rgb="FF92FB4B"/>
      </colorScale>
    </cfRule>
  </conditionalFormatting>
  <conditionalFormatting sqref="F76">
    <cfRule type="colorScale" priority="31">
      <colorScale>
        <cfvo type="num" val="0"/>
        <cfvo type="num" val="0.6"/>
        <cfvo type="num" val="1"/>
        <color rgb="FFFF0000"/>
        <color rgb="FFFFFF00"/>
        <color rgb="FF92FB4B"/>
      </colorScale>
    </cfRule>
  </conditionalFormatting>
  <conditionalFormatting sqref="F11">
    <cfRule type="colorScale" priority="30">
      <colorScale>
        <cfvo type="num" val="0"/>
        <cfvo type="num" val="0.6"/>
        <cfvo type="num" val="1"/>
        <color rgb="FFFF0000"/>
        <color rgb="FFFFFF00"/>
        <color rgb="FF92FB4B"/>
      </colorScale>
    </cfRule>
  </conditionalFormatting>
  <conditionalFormatting sqref="F33">
    <cfRule type="colorScale" priority="29">
      <colorScale>
        <cfvo type="num" val="0"/>
        <cfvo type="num" val="0.6"/>
        <cfvo type="num" val="1"/>
        <color rgb="FFFF0000"/>
        <color rgb="FFFFFF00"/>
        <color rgb="FF92FB4B"/>
      </colorScale>
    </cfRule>
  </conditionalFormatting>
  <conditionalFormatting sqref="F41">
    <cfRule type="colorScale" priority="27">
      <colorScale>
        <cfvo type="num" val="0"/>
        <cfvo type="num" val="0.6"/>
        <cfvo type="num" val="1"/>
        <color rgb="FFFF0000"/>
        <color rgb="FFFFFF00"/>
        <color rgb="FF92FB4B"/>
      </colorScale>
    </cfRule>
  </conditionalFormatting>
  <conditionalFormatting sqref="F48">
    <cfRule type="colorScale" priority="26">
      <colorScale>
        <cfvo type="num" val="0"/>
        <cfvo type="num" val="0.6"/>
        <cfvo type="num" val="1"/>
        <color rgb="FFFF0000"/>
        <color rgb="FFFFFF00"/>
        <color rgb="FF92FB4B"/>
      </colorScale>
    </cfRule>
  </conditionalFormatting>
  <conditionalFormatting sqref="F51">
    <cfRule type="colorScale" priority="25">
      <colorScale>
        <cfvo type="num" val="0"/>
        <cfvo type="num" val="0.6"/>
        <cfvo type="num" val="1"/>
        <color rgb="FFFF0000"/>
        <color rgb="FFFFFF00"/>
        <color rgb="FF92FB4B"/>
      </colorScale>
    </cfRule>
  </conditionalFormatting>
  <conditionalFormatting sqref="F71">
    <cfRule type="colorScale" priority="24">
      <colorScale>
        <cfvo type="num" val="0"/>
        <cfvo type="num" val="0.6"/>
        <cfvo type="num" val="1"/>
        <color rgb="FFFF0000"/>
        <color rgb="FFFFFF00"/>
        <color rgb="FF92FB4B"/>
      </colorScale>
    </cfRule>
  </conditionalFormatting>
  <conditionalFormatting sqref="F75">
    <cfRule type="colorScale" priority="23">
      <colorScale>
        <cfvo type="num" val="0"/>
        <cfvo type="num" val="0.6"/>
        <cfvo type="num" val="1"/>
        <color rgb="FFFF0000"/>
        <color rgb="FFFFFF00"/>
        <color rgb="FF92FB4B"/>
      </colorScale>
    </cfRule>
  </conditionalFormatting>
  <conditionalFormatting sqref="F78">
    <cfRule type="colorScale" priority="22">
      <colorScale>
        <cfvo type="num" val="0"/>
        <cfvo type="num" val="0.6"/>
        <cfvo type="num" val="1"/>
        <color rgb="FFFF0000"/>
        <color rgb="FFFFFF00"/>
        <color rgb="FF92FB4B"/>
      </colorScale>
    </cfRule>
  </conditionalFormatting>
  <conditionalFormatting sqref="F81">
    <cfRule type="colorScale" priority="21">
      <colorScale>
        <cfvo type="num" val="0"/>
        <cfvo type="num" val="0.6"/>
        <cfvo type="num" val="1"/>
        <color rgb="FFFF0000"/>
        <color rgb="FFFFFF00"/>
        <color rgb="FF92FB4B"/>
      </colorScale>
    </cfRule>
  </conditionalFormatting>
  <conditionalFormatting sqref="F87">
    <cfRule type="colorScale" priority="20">
      <colorScale>
        <cfvo type="num" val="0"/>
        <cfvo type="num" val="0.6"/>
        <cfvo type="num" val="1"/>
        <color rgb="FFFF0000"/>
        <color rgb="FFFFFF00"/>
        <color rgb="FF92FB4B"/>
      </colorScale>
    </cfRule>
  </conditionalFormatting>
  <conditionalFormatting sqref="F94">
    <cfRule type="colorScale" priority="19">
      <colorScale>
        <cfvo type="num" val="0"/>
        <cfvo type="num" val="0.6"/>
        <cfvo type="num" val="1"/>
        <color rgb="FFFF0000"/>
        <color rgb="FFFFFF00"/>
        <color rgb="FF92FB4B"/>
      </colorScale>
    </cfRule>
  </conditionalFormatting>
  <conditionalFormatting sqref="F98">
    <cfRule type="colorScale" priority="18">
      <colorScale>
        <cfvo type="num" val="0"/>
        <cfvo type="num" val="0.6"/>
        <cfvo type="num" val="1"/>
        <color rgb="FFFF0000"/>
        <color rgb="FFFFFF00"/>
        <color rgb="FF92FB4B"/>
      </colorScale>
    </cfRule>
  </conditionalFormatting>
  <conditionalFormatting sqref="F10">
    <cfRule type="colorScale" priority="17">
      <colorScale>
        <cfvo type="num" val="0"/>
        <cfvo type="num" val="0.6"/>
        <cfvo type="num" val="1"/>
        <color rgb="FFFF0000"/>
        <color rgb="FFFFFF00"/>
        <color rgb="FF92FB4B"/>
      </colorScale>
    </cfRule>
  </conditionalFormatting>
  <conditionalFormatting sqref="F47">
    <cfRule type="colorScale" priority="16">
      <colorScale>
        <cfvo type="num" val="0"/>
        <cfvo type="num" val="0.6"/>
        <cfvo type="num" val="1"/>
        <color rgb="FFFF0000"/>
        <color rgb="FFFFFF00"/>
        <color rgb="FF92FB4B"/>
      </colorScale>
    </cfRule>
  </conditionalFormatting>
  <conditionalFormatting sqref="F60">
    <cfRule type="colorScale" priority="15">
      <colorScale>
        <cfvo type="num" val="0"/>
        <cfvo type="num" val="0.6"/>
        <cfvo type="num" val="1"/>
        <color rgb="FFFF0000"/>
        <color rgb="FFFFFF00"/>
        <color rgb="FF92FB4B"/>
      </colorScale>
    </cfRule>
  </conditionalFormatting>
  <conditionalFormatting sqref="F70">
    <cfRule type="colorScale" priority="14">
      <colorScale>
        <cfvo type="num" val="0"/>
        <cfvo type="num" val="0.6"/>
        <cfvo type="num" val="1"/>
        <color rgb="FFFF0000"/>
        <color rgb="FFFFFF00"/>
        <color rgb="FF92FB4B"/>
      </colorScale>
    </cfRule>
  </conditionalFormatting>
  <conditionalFormatting sqref="F77">
    <cfRule type="colorScale" priority="13">
      <colorScale>
        <cfvo type="num" val="0"/>
        <cfvo type="num" val="0.6"/>
        <cfvo type="num" val="1"/>
        <color rgb="FFFF0000"/>
        <color rgb="FFFFFF00"/>
        <color rgb="FF92FB4B"/>
      </colorScale>
    </cfRule>
  </conditionalFormatting>
  <conditionalFormatting sqref="F80">
    <cfRule type="colorScale" priority="12">
      <colorScale>
        <cfvo type="num" val="0"/>
        <cfvo type="num" val="0.6"/>
        <cfvo type="num" val="1"/>
        <color rgb="FFFF0000"/>
        <color rgb="FFFFFF00"/>
        <color rgb="FF92FB4B"/>
      </colorScale>
    </cfRule>
  </conditionalFormatting>
  <conditionalFormatting sqref="F93">
    <cfRule type="colorScale" priority="11">
      <colorScale>
        <cfvo type="num" val="0"/>
        <cfvo type="num" val="0.6"/>
        <cfvo type="num" val="1"/>
        <color rgb="FFFF0000"/>
        <color rgb="FFFFFF00"/>
        <color rgb="FF92FB4B"/>
      </colorScale>
    </cfRule>
  </conditionalFormatting>
  <conditionalFormatting sqref="F4">
    <cfRule type="colorScale" priority="10">
      <colorScale>
        <cfvo type="num" val="0"/>
        <cfvo type="num" val="0.6"/>
        <cfvo type="num" val="1"/>
        <color rgb="FFFF0000"/>
        <color rgb="FFFFFF00"/>
        <color rgb="FF92FB4B"/>
      </colorScale>
    </cfRule>
  </conditionalFormatting>
  <conditionalFormatting sqref="F24">
    <cfRule type="colorScale" priority="9">
      <colorScale>
        <cfvo type="num" val="0"/>
        <cfvo type="num" val="0.6"/>
        <cfvo type="num" val="1"/>
        <color rgb="FFFF0000"/>
        <color rgb="FFFFFF00"/>
        <color rgb="FF92FB4B"/>
      </colorScale>
    </cfRule>
  </conditionalFormatting>
  <conditionalFormatting sqref="F61">
    <cfRule type="colorScale" priority="8">
      <colorScale>
        <cfvo type="num" val="0"/>
        <cfvo type="num" val="0.6"/>
        <cfvo type="num" val="1"/>
        <color rgb="FFFF0000"/>
        <color rgb="FFFFFF00"/>
        <color rgb="FF92FB4B"/>
      </colorScale>
    </cfRule>
  </conditionalFormatting>
  <conditionalFormatting sqref="F68">
    <cfRule type="colorScale" priority="7">
      <colorScale>
        <cfvo type="num" val="0"/>
        <cfvo type="num" val="0.6"/>
        <cfvo type="num" val="1"/>
        <color rgb="FFFF0000"/>
        <color rgb="FFFFFF00"/>
        <color rgb="FF92FB4B"/>
      </colorScale>
    </cfRule>
  </conditionalFormatting>
  <conditionalFormatting sqref="F73">
    <cfRule type="colorScale" priority="6">
      <colorScale>
        <cfvo type="num" val="0"/>
        <cfvo type="num" val="0.6"/>
        <cfvo type="num" val="1"/>
        <color rgb="FFFF0000"/>
        <color rgb="FFFFFF00"/>
        <color rgb="FF92FB4B"/>
      </colorScale>
    </cfRule>
  </conditionalFormatting>
  <conditionalFormatting sqref="F19">
    <cfRule type="colorScale" priority="5">
      <colorScale>
        <cfvo type="num" val="0"/>
        <cfvo type="num" val="0.6"/>
        <cfvo type="num" val="1"/>
        <color rgb="FFFF0000"/>
        <color rgb="FFFFFF00"/>
        <color rgb="FF92FB4B"/>
      </colorScale>
    </cfRule>
  </conditionalFormatting>
  <conditionalFormatting sqref="F44">
    <cfRule type="colorScale" priority="4">
      <colorScale>
        <cfvo type="num" val="0"/>
        <cfvo type="num" val="0.6"/>
        <cfvo type="num" val="1"/>
        <color rgb="FFFF0000"/>
        <color rgb="FFFFFF00"/>
        <color rgb="FF92FB4B"/>
      </colorScale>
    </cfRule>
  </conditionalFormatting>
  <conditionalFormatting sqref="F53">
    <cfRule type="colorScale" priority="3">
      <colorScale>
        <cfvo type="num" val="0"/>
        <cfvo type="num" val="0.6"/>
        <cfvo type="num" val="1"/>
        <color rgb="FFFF0000"/>
        <color rgb="FFFFFF00"/>
        <color rgb="FF92FB4B"/>
      </colorScale>
    </cfRule>
  </conditionalFormatting>
  <conditionalFormatting sqref="F6">
    <cfRule type="colorScale" priority="2">
      <colorScale>
        <cfvo type="num" val="0"/>
        <cfvo type="num" val="0.6"/>
        <cfvo type="num" val="1"/>
        <color rgb="FFFF0000"/>
        <color rgb="FFFFFF00"/>
        <color rgb="FF92FB4B"/>
      </colorScale>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512EE-E1FB-4D0D-A7D9-58DAB5AC9B89}">
  <dimension ref="A1:O108"/>
  <sheetViews>
    <sheetView topLeftCell="B1" zoomScale="70" zoomScaleNormal="70" workbookViewId="0">
      <selection activeCell="I8" sqref="I8"/>
    </sheetView>
  </sheetViews>
  <sheetFormatPr defaultColWidth="8.86328125" defaultRowHeight="15.75" x14ac:dyDescent="0.5"/>
  <cols>
    <col min="1" max="1" width="0" style="5" hidden="1" customWidth="1"/>
    <col min="2" max="2" width="24" style="5" customWidth="1"/>
    <col min="3" max="3" width="41.86328125" style="5" customWidth="1"/>
    <col min="4" max="4" width="38.6640625" style="5" customWidth="1"/>
    <col min="5" max="5" width="36.59765625" style="21" customWidth="1"/>
    <col min="6" max="6" width="25.06640625" style="21" customWidth="1"/>
    <col min="7" max="7" width="16.1328125" style="19" customWidth="1"/>
    <col min="8" max="8" width="4.86328125" style="5" customWidth="1"/>
    <col min="9" max="9" width="8.86328125" style="21"/>
    <col min="10" max="14" width="0" style="21" hidden="1" customWidth="1"/>
    <col min="15" max="15" width="8.86328125" style="21"/>
    <col min="16" max="18" width="28.46484375" style="5" customWidth="1"/>
    <col min="19" max="16384" width="8.86328125" style="5"/>
  </cols>
  <sheetData>
    <row r="1" spans="1:15" x14ac:dyDescent="0.5">
      <c r="B1" s="304"/>
      <c r="C1" s="305"/>
      <c r="D1" s="305"/>
      <c r="E1" s="306"/>
      <c r="F1" s="306"/>
      <c r="G1" s="1516"/>
    </row>
    <row r="2" spans="1:15" ht="46.15" customHeight="1" x14ac:dyDescent="0.45">
      <c r="B2" s="1521" t="s">
        <v>336</v>
      </c>
      <c r="C2" s="1522"/>
      <c r="D2" s="1522"/>
      <c r="E2" s="1522"/>
      <c r="F2" s="1522"/>
      <c r="G2" s="1523"/>
    </row>
    <row r="3" spans="1:15" x14ac:dyDescent="0.5">
      <c r="B3" s="293"/>
      <c r="C3" s="294"/>
      <c r="D3" s="295"/>
      <c r="E3" s="294"/>
      <c r="F3" s="294"/>
      <c r="G3" s="1517"/>
    </row>
    <row r="4" spans="1:15" ht="26.45" customHeight="1" x14ac:dyDescent="0.45">
      <c r="B4" s="293"/>
      <c r="C4" s="1630" t="s">
        <v>555</v>
      </c>
      <c r="D4" s="1631"/>
      <c r="E4" s="294"/>
      <c r="F4" s="294"/>
      <c r="G4" s="1511"/>
    </row>
    <row r="5" spans="1:15" ht="18.399999999999999" thickBot="1" x14ac:dyDescent="0.6">
      <c r="B5" s="1622"/>
      <c r="C5" s="1623"/>
      <c r="D5" s="1623"/>
      <c r="E5" s="294"/>
      <c r="F5" s="294"/>
      <c r="G5" s="1517"/>
    </row>
    <row r="6" spans="1:15" ht="23.65" thickBot="1" x14ac:dyDescent="0.75">
      <c r="B6" s="423"/>
      <c r="C6" s="424"/>
      <c r="D6" s="424"/>
      <c r="E6" s="430"/>
      <c r="F6" s="301" t="s">
        <v>292</v>
      </c>
      <c r="G6" s="1512">
        <f>('South Africa'!P4+Namibia!P4+Zimbabwe!P4+Botswana!P4+Mozambique!P4+Zambia!P4+Lesotho!P4+Eswatini!P4)/8</f>
        <v>0.26836943663017554</v>
      </c>
    </row>
    <row r="7" spans="1:15" ht="18.399999999999999" thickBot="1" x14ac:dyDescent="0.6">
      <c r="B7" s="298"/>
      <c r="C7" s="299"/>
      <c r="D7" s="299"/>
      <c r="E7" s="300"/>
      <c r="F7" s="300"/>
      <c r="G7" s="1518"/>
    </row>
    <row r="8" spans="1:15" ht="6.75" customHeight="1" thickBot="1" x14ac:dyDescent="0.5">
      <c r="B8" s="1624"/>
      <c r="C8" s="1625"/>
      <c r="D8" s="1626"/>
      <c r="E8" s="303"/>
      <c r="F8" s="303"/>
      <c r="G8" s="784"/>
    </row>
    <row r="9" spans="1:15" ht="25.25" customHeight="1" thickBot="1" x14ac:dyDescent="0.5">
      <c r="B9" s="302" t="s">
        <v>2</v>
      </c>
      <c r="C9" s="302" t="s">
        <v>3</v>
      </c>
      <c r="D9" s="302" t="s">
        <v>337</v>
      </c>
      <c r="E9" s="302" t="s">
        <v>102</v>
      </c>
      <c r="F9" s="302" t="s">
        <v>372</v>
      </c>
      <c r="G9" s="1513" t="s">
        <v>338</v>
      </c>
      <c r="J9" s="43" t="s">
        <v>151</v>
      </c>
      <c r="K9" s="44"/>
      <c r="L9" s="44"/>
      <c r="M9" s="44"/>
      <c r="N9" s="45"/>
    </row>
    <row r="10" spans="1:15" ht="25.25" customHeight="1" thickBot="1" x14ac:dyDescent="0.5">
      <c r="B10" s="1627" t="s">
        <v>0</v>
      </c>
      <c r="C10" s="1628"/>
      <c r="D10" s="1629"/>
      <c r="E10" s="49"/>
      <c r="F10" s="49"/>
      <c r="G10" s="1512">
        <f>('South Africa'!P9+Namibia!P9+Zimbabwe!P9+Botswana!P9+Mozambique!P9+Zambia!P9+Lesotho!P9+Eswatini!P9)/8</f>
        <v>0.27832869728193038</v>
      </c>
      <c r="J10" s="148"/>
      <c r="K10" s="149"/>
      <c r="L10" s="149"/>
      <c r="M10" s="149"/>
      <c r="N10" s="150"/>
    </row>
    <row r="11" spans="1:15" s="92" customFormat="1" ht="25.25" customHeight="1" thickBot="1" x14ac:dyDescent="0.5">
      <c r="B11" s="1632" t="s">
        <v>1</v>
      </c>
      <c r="C11" s="1633"/>
      <c r="D11" s="1633"/>
      <c r="E11" s="1509"/>
      <c r="F11" s="1510"/>
      <c r="G11" s="1514">
        <f>('South Africa'!P10+Namibia!P10+Zimbabwe!P10+Botswana!P10+Mozambique!P10+Zambia!P10+Lesotho!P10+Eswatini!P10)/8</f>
        <v>0.60448346529768848</v>
      </c>
      <c r="I11" s="151"/>
      <c r="J11" s="152"/>
      <c r="K11" s="153"/>
      <c r="L11" s="153"/>
      <c r="M11" s="153"/>
      <c r="N11" s="154"/>
      <c r="O11" s="151"/>
    </row>
    <row r="12" spans="1:15" ht="27.6" customHeight="1" x14ac:dyDescent="0.45">
      <c r="A12" s="1530">
        <v>1</v>
      </c>
      <c r="B12" s="1614" t="s">
        <v>4</v>
      </c>
      <c r="C12" s="435" t="s">
        <v>111</v>
      </c>
      <c r="D12" s="51" t="s">
        <v>5</v>
      </c>
      <c r="E12" s="564" t="s">
        <v>97</v>
      </c>
      <c r="F12" s="652">
        <f>('South Africa'!M11+Namibia!M11+Zimbabwe!M11+Botswana!M11+Mozambique!M11+Zambia!M11+Lesotho!M11+Eswatini!M11)/8</f>
        <v>-0.17466570060279069</v>
      </c>
      <c r="G12" s="1637">
        <f>('South Africa'!P11+Namibia!P11+Zimbabwe!P11+Botswana!P11+Mozambique!P11+Zambia!P11+Lesotho!P11+Eswatini!P11)/8</f>
        <v>0.65131298849217767</v>
      </c>
      <c r="J12" s="22" t="s">
        <v>109</v>
      </c>
      <c r="K12" s="23" t="e">
        <f>#REF!</f>
        <v>#REF!</v>
      </c>
      <c r="L12" s="24"/>
      <c r="M12" s="24"/>
      <c r="N12" s="25"/>
    </row>
    <row r="13" spans="1:15" ht="27" customHeight="1" thickBot="1" x14ac:dyDescent="0.5">
      <c r="A13" s="1530"/>
      <c r="B13" s="1615"/>
      <c r="C13" s="1496" t="s">
        <v>112</v>
      </c>
      <c r="D13" s="74" t="s">
        <v>281</v>
      </c>
      <c r="E13" s="427" t="s">
        <v>98</v>
      </c>
      <c r="F13" s="653">
        <f>('South Africa'!M12+Namibia!M12+Zimbabwe!M12+Botswana!M12+Mozambique!M12+Zambia!M12+Lesotho!M12+Eswatini!M12)/8</f>
        <v>-0.16025209043153046</v>
      </c>
      <c r="G13" s="1638"/>
      <c r="J13" s="26">
        <v>0.02</v>
      </c>
      <c r="K13" s="27" t="e">
        <f>(K12-(K12*J13))</f>
        <v>#REF!</v>
      </c>
      <c r="L13" s="27" t="e">
        <f>K12-(J13*K12)</f>
        <v>#REF!</v>
      </c>
      <c r="M13" s="24"/>
      <c r="N13" s="25"/>
    </row>
    <row r="14" spans="1:15" ht="32.450000000000003" customHeight="1" x14ac:dyDescent="0.45">
      <c r="A14" s="1530">
        <v>2</v>
      </c>
      <c r="B14" s="1618" t="s">
        <v>6</v>
      </c>
      <c r="C14" s="1497" t="s">
        <v>273</v>
      </c>
      <c r="D14" s="1498" t="s">
        <v>7</v>
      </c>
      <c r="E14" s="428" t="s">
        <v>99</v>
      </c>
      <c r="F14" s="652">
        <f>('South Africa'!M13+Namibia!M13+Zimbabwe!M13+Botswana!M13+Mozambique!M13+Zambia!M13+Lesotho!M13+Eswatini!M13)/8</f>
        <v>0.39096639684060175</v>
      </c>
      <c r="G14" s="1637">
        <f>('South Africa'!P13+Namibia!P13+Zimbabwe!P13+Botswana!P13+Mozambique!P13+Zambia!P13+Lesotho!P13+Eswatini!P13)/8</f>
        <v>0.45901042166110967</v>
      </c>
      <c r="J14" s="26">
        <v>0.02</v>
      </c>
      <c r="K14" s="27" t="e">
        <f>(#REF!-(#REF!*J14))</f>
        <v>#REF!</v>
      </c>
      <c r="L14" s="27" t="e">
        <f>(K12-(J13*K12))-((K12-(J13*K12))*0.02)-(((K12-(J13*K12))-((K12-(J13*K12))*0.02))*0.02)-(((K12-(J13*K12))-((K12-(J13*K12))*0.02)-(((K12-(J13*K12))-((K12-(J13*K12))*0.02))*0.02))*0.02)</f>
        <v>#REF!</v>
      </c>
      <c r="M14" s="28" t="e">
        <f>(K12-K15)/K12</f>
        <v>#REF!</v>
      </c>
      <c r="N14" s="25"/>
    </row>
    <row r="15" spans="1:15" ht="33" customHeight="1" thickBot="1" x14ac:dyDescent="0.5">
      <c r="A15" s="1530"/>
      <c r="B15" s="1619"/>
      <c r="C15" s="785" t="s">
        <v>274</v>
      </c>
      <c r="D15" s="439" t="s">
        <v>8</v>
      </c>
      <c r="E15" s="429" t="s">
        <v>100</v>
      </c>
      <c r="F15" s="653">
        <f>('South Africa'!M14+Namibia!M14+Zimbabwe!M14+Botswana!M14+Mozambique!M14+Zambia!M14+Lesotho!M14+Eswatini!M14)/8</f>
        <v>0.53899863009036519</v>
      </c>
      <c r="G15" s="1638"/>
      <c r="J15" s="29">
        <v>0.02</v>
      </c>
      <c r="K15" s="30" t="e">
        <f>(#REF!-(#REF!*J15))</f>
        <v>#REF!</v>
      </c>
      <c r="L15" s="30" t="e">
        <f>(K12-(J13*K12))-((K12-(J13*K12))*0.02)-(((K12-(J13*K12))-((K12-(J13*K12))*0.02))*0.02)-(((K12-(J13*K12))-((K12-(J13*K12))*0.02)-(((K12-(J13*K12))-((K12-(J13*K12))*0.02))*0.02))*0.02)-(((K12-(J13*K12))-((K12-(J13*K12))*0.02)-(((K12-(J13*K12))-((K12-(J13*K12))*0.02))*0.02)-(((K12-(J13*K12))-((K12-(J13*K12))*0.02)-(((K12-(J13*K12))-((K12-(J13*K13))*0.02))*0.02))*0.02))*0.02)-(((K12-(J13*K12))-((K12-(J13*K12))*0.02)-(((K12-(J13*K12))-((K12-(J13*K12))*0.02))*0.02)-(((K12-(J13*K12))-((K12-(J13*K12))*0.02)-(((K12-(J13*K12))-((K12-(J13*K12))*0.02))*0.02))*0.02)-(((K12-(J13*K12))-((K12-(J13*K12))*0.02)-(((K12-(J13*K12))-((K12-(J13*K12))*0.02))*0.02)-(((K12-(J13*K12))-((K12-(J13*K12))*0.02)-(((K12-(J13*K12))-((K12-(J13*K12))*0.02))*0.02))*0.02))*0.02))*0.02)</f>
        <v>#REF!</v>
      </c>
      <c r="M15" s="31" t="e">
        <f>K12-L15</f>
        <v>#REF!</v>
      </c>
      <c r="N15" s="32"/>
    </row>
    <row r="16" spans="1:15" ht="22.25" customHeight="1" x14ac:dyDescent="0.45">
      <c r="A16" s="1530">
        <v>3</v>
      </c>
      <c r="B16" s="1609" t="s">
        <v>9</v>
      </c>
      <c r="C16" s="1639" t="s">
        <v>113</v>
      </c>
      <c r="D16" s="1498" t="s">
        <v>221</v>
      </c>
      <c r="E16" s="432" t="s">
        <v>101</v>
      </c>
      <c r="F16" s="652">
        <f>('South Africa'!M15+Namibia!M15+Zimbabwe!M15+Botswana!M15+Mozambique!M15+Zambia!M15+Lesotho!M15+Eswatini!M15)/8</f>
        <v>0.79535833988871407</v>
      </c>
      <c r="G16" s="1640">
        <f>('South Africa'!P15+Namibia!P15+Zimbabwe!P15+Botswana!P15+Mozambique!P15+Zambia!P15+Lesotho!P15+Eswatini!P15)/8</f>
        <v>0.70312698573977783</v>
      </c>
    </row>
    <row r="17" spans="1:9" ht="14.25" x14ac:dyDescent="0.45">
      <c r="A17" s="1530"/>
      <c r="B17" s="1610"/>
      <c r="C17" s="1612"/>
      <c r="D17" s="438" t="s">
        <v>220</v>
      </c>
      <c r="E17" s="433" t="s">
        <v>95</v>
      </c>
      <c r="F17" s="654">
        <f>('South Africa'!M16+Namibia!M16+Zimbabwe!M16+Botswana!M16+Mozambique!M16+Zambia!M16+Lesotho!M16+Eswatini!M16)/8</f>
        <v>0.18333535811626378</v>
      </c>
      <c r="G17" s="1641"/>
    </row>
    <row r="18" spans="1:9" ht="25.25" customHeight="1" thickBot="1" x14ac:dyDescent="0.5">
      <c r="A18" s="1530"/>
      <c r="B18" s="1611"/>
      <c r="C18" s="1613"/>
      <c r="D18" s="439" t="s">
        <v>10</v>
      </c>
      <c r="E18" s="434" t="s">
        <v>162</v>
      </c>
      <c r="F18" s="653">
        <f>('South Africa'!M17+Namibia!M17+Zimbabwe!M17+Botswana!M17+Mozambique!M17+Zambia!M17+Lesotho!M17+Eswatini!M17)/8</f>
        <v>3.309834259975434</v>
      </c>
      <c r="G18" s="1642"/>
    </row>
    <row r="19" spans="1:9" ht="26.25" customHeight="1" thickBot="1" x14ac:dyDescent="0.7">
      <c r="A19" s="14"/>
      <c r="B19" s="1553" t="s">
        <v>11</v>
      </c>
      <c r="C19" s="1606"/>
      <c r="D19" s="1607"/>
      <c r="E19" s="35"/>
      <c r="F19" s="33"/>
      <c r="G19" s="1512">
        <f>('South Africa'!P18+Namibia!P18+Zimbabwe!P18+Botswana!P18+Mozambique!P18+Zambia!P18+Lesotho!P18+Eswatini!P18)/8</f>
        <v>0.26209805863809033</v>
      </c>
    </row>
    <row r="20" spans="1:9" ht="34.25" customHeight="1" x14ac:dyDescent="0.45">
      <c r="A20" s="1530">
        <v>4</v>
      </c>
      <c r="B20" s="1583" t="s">
        <v>12</v>
      </c>
      <c r="C20" s="50" t="s">
        <v>114</v>
      </c>
      <c r="D20" s="51" t="s">
        <v>222</v>
      </c>
      <c r="E20" s="311" t="s">
        <v>163</v>
      </c>
      <c r="F20" s="652">
        <f>('South Africa'!M19+Namibia!M19+Zimbabwe!M19+Botswana!M19+Mozambique!M19+Zambia!M19+Lesotho!M19+Eswatini!M19)/8</f>
        <v>0.1814904669993693</v>
      </c>
      <c r="G20" s="1634">
        <f>('South Africa'!P19+Namibia!P19+Zimbabwe!P19+Botswana!P19+Mozambique!P19+Zambia!P19+Lesotho!P19+Eswatini!P19)/8</f>
        <v>0.26209805863809033</v>
      </c>
    </row>
    <row r="21" spans="1:9" ht="39" customHeight="1" x14ac:dyDescent="0.45">
      <c r="A21" s="1530"/>
      <c r="B21" s="1584"/>
      <c r="C21" s="787" t="s">
        <v>152</v>
      </c>
      <c r="D21" s="52" t="s">
        <v>265</v>
      </c>
      <c r="E21" s="312" t="s">
        <v>164</v>
      </c>
      <c r="F21" s="654">
        <f>('South Africa'!M20+Namibia!M20+Zimbabwe!M20+Botswana!M20+Mozambique!M20+Zambia!M20+Lesotho!M20)/7</f>
        <v>0.6464878490502951</v>
      </c>
      <c r="G21" s="1635"/>
    </row>
    <row r="22" spans="1:9" ht="56.45" customHeight="1" x14ac:dyDescent="0.45">
      <c r="A22" s="1530"/>
      <c r="B22" s="1584"/>
      <c r="C22" s="787" t="s">
        <v>153</v>
      </c>
      <c r="D22" s="52" t="s">
        <v>155</v>
      </c>
      <c r="E22" s="312" t="s">
        <v>165</v>
      </c>
      <c r="F22" s="654">
        <f>('South Africa'!M21+Namibia!M21+Zimbabwe!M21+Botswana!M21+Mozambique!M21+Zambia!M21+Lesotho!M21+Eswatini!M21)/8</f>
        <v>7.6375921654366394E-2</v>
      </c>
      <c r="G22" s="1635"/>
    </row>
    <row r="23" spans="1:9" ht="36.6" customHeight="1" thickBot="1" x14ac:dyDescent="0.5">
      <c r="A23" s="1530"/>
      <c r="B23" s="1585"/>
      <c r="C23" s="54" t="s">
        <v>154</v>
      </c>
      <c r="D23" s="74" t="s">
        <v>156</v>
      </c>
      <c r="E23" s="313" t="s">
        <v>95</v>
      </c>
      <c r="F23" s="653">
        <f>('South Africa'!M22+Namibia!M22+Zimbabwe!M22+Botswana!M22+Mozambique!M22+Zambia!M22+Lesotho!M22+Eswatini!M22)/8</f>
        <v>4.2848824124608789E-2</v>
      </c>
      <c r="G23" s="1636"/>
    </row>
    <row r="24" spans="1:9" ht="20.45" customHeight="1" thickBot="1" x14ac:dyDescent="0.5">
      <c r="B24" s="1643" t="s">
        <v>13</v>
      </c>
      <c r="C24" s="1606"/>
      <c r="D24" s="1607"/>
      <c r="E24" s="47"/>
      <c r="F24" s="33"/>
      <c r="G24" s="1515">
        <f>('South Africa'!P23+Namibia!P23+Zimbabwe!P23+Botswana!P23+Mozambique!P23+Zambia!P23+Lesotho!P23+Eswatini!P23)/8</f>
        <v>0.32271587672514934</v>
      </c>
      <c r="I24" s="528"/>
    </row>
    <row r="25" spans="1:9" ht="36" customHeight="1" x14ac:dyDescent="0.45">
      <c r="A25" s="1530">
        <v>5</v>
      </c>
      <c r="B25" s="1541" t="s">
        <v>14</v>
      </c>
      <c r="C25" s="788" t="s">
        <v>115</v>
      </c>
      <c r="D25" s="788" t="s">
        <v>280</v>
      </c>
      <c r="E25" s="314" t="s">
        <v>166</v>
      </c>
      <c r="F25" s="652">
        <f>('South Africa'!M24+Namibia!M24+Zimbabwe!M24+Botswana!M24+Mozambique!M24+Zambia!M24+Lesotho!M24+Eswatini!M24)/8</f>
        <v>0.56242908265689096</v>
      </c>
      <c r="G25" s="1634">
        <f>('South Africa'!P24+Namibia!P24+Zimbabwe!P24+Botswana!P24+Mozambique!P24+Zambia!P24+Lesotho!P24+Eswatini!P24)/8</f>
        <v>0.32271587672514934</v>
      </c>
    </row>
    <row r="26" spans="1:9" ht="19.8" customHeight="1" x14ac:dyDescent="0.45">
      <c r="A26" s="1530"/>
      <c r="B26" s="1542"/>
      <c r="C26" s="1545" t="s">
        <v>158</v>
      </c>
      <c r="D26" s="786" t="s">
        <v>15</v>
      </c>
      <c r="E26" s="315" t="s">
        <v>167</v>
      </c>
      <c r="F26" s="654">
        <f>('South Africa'!M25+Namibia!M25+Zimbabwe!M25+Botswana!M25+Mozambique!M25+Zambia!M25+Lesotho!M25+Eswatini!M25)/8</f>
        <v>0.2854899541197633</v>
      </c>
      <c r="G26" s="1635"/>
    </row>
    <row r="27" spans="1:9" ht="19.8" customHeight="1" x14ac:dyDescent="0.45">
      <c r="A27" s="1530"/>
      <c r="B27" s="1542"/>
      <c r="C27" s="1603"/>
      <c r="D27" s="786" t="s">
        <v>16</v>
      </c>
      <c r="E27" s="315" t="s">
        <v>168</v>
      </c>
      <c r="F27" s="654">
        <f>('South Africa'!M26+Namibia!M26+Zimbabwe!M26+Botswana!M26+Mozambique!M26+Zambia!M26+Lesotho!M26+Eswatini!M26)/8</f>
        <v>-5.6171108886092336E-2</v>
      </c>
      <c r="G27" s="1635"/>
    </row>
    <row r="28" spans="1:9" ht="19.8" customHeight="1" x14ac:dyDescent="0.45">
      <c r="A28" s="1530"/>
      <c r="B28" s="1542"/>
      <c r="C28" s="1603"/>
      <c r="D28" s="786" t="s">
        <v>17</v>
      </c>
      <c r="E28" s="315" t="s">
        <v>169</v>
      </c>
      <c r="F28" s="654">
        <f>('South Africa'!M27+Namibia!M27+Zimbabwe!M27+Botswana!M27+Mozambique!M27+Zambia!M27+Lesotho!M27+Eswatini!M27)/8</f>
        <v>-0.36952409506965922</v>
      </c>
      <c r="G28" s="1635"/>
    </row>
    <row r="29" spans="1:9" ht="30.6" customHeight="1" x14ac:dyDescent="0.45">
      <c r="A29" s="425"/>
      <c r="B29" s="1542"/>
      <c r="C29" s="1604" t="s">
        <v>116</v>
      </c>
      <c r="D29" s="786" t="s">
        <v>148</v>
      </c>
      <c r="E29" s="315" t="s">
        <v>170</v>
      </c>
      <c r="F29" s="654">
        <f>('South Africa'!M28+Namibia!M28+Zimbabwe!M28+Botswana!M28+Mozambique!M28+Zambia!M28+Lesotho!M28+Eswatini!M28)/8</f>
        <v>0.84548413637320508</v>
      </c>
      <c r="G29" s="1644"/>
    </row>
    <row r="30" spans="1:9" ht="20.45" customHeight="1" x14ac:dyDescent="0.45">
      <c r="A30" s="425"/>
      <c r="B30" s="1542"/>
      <c r="C30" s="1605"/>
      <c r="D30" s="786" t="s">
        <v>149</v>
      </c>
      <c r="E30" s="315" t="s">
        <v>171</v>
      </c>
      <c r="F30" s="654">
        <f>('South Africa'!M29+Namibia!M29+Zimbabwe!M29+Botswana!M29+Mozambique!M29+Zambia!M29+Lesotho!M29+Eswatini!M29)/8</f>
        <v>0.5737480555983494</v>
      </c>
      <c r="G30" s="1644"/>
    </row>
    <row r="31" spans="1:9" ht="20.45" customHeight="1" x14ac:dyDescent="0.45">
      <c r="A31" s="425"/>
      <c r="B31" s="1599"/>
      <c r="C31" s="1605"/>
      <c r="D31" s="787" t="s">
        <v>150</v>
      </c>
      <c r="E31" s="315" t="s">
        <v>172</v>
      </c>
      <c r="F31" s="654">
        <f>('South Africa'!M30+Namibia!M30+Zimbabwe!M30+Botswana!M30+Mozambique!M30+Zambia!M30+Lesotho!M30+Eswatini!M30)/8</f>
        <v>-0.82995014245014254</v>
      </c>
      <c r="G31" s="1644"/>
    </row>
    <row r="32" spans="1:9" ht="23.65" thickBot="1" x14ac:dyDescent="0.5">
      <c r="A32" s="425"/>
      <c r="B32" s="1600"/>
      <c r="C32" s="54" t="s">
        <v>117</v>
      </c>
      <c r="D32" s="89" t="s">
        <v>223</v>
      </c>
      <c r="E32" s="316" t="s">
        <v>95</v>
      </c>
      <c r="F32" s="653">
        <f>('South Africa'!M31+Namibia!M31+Zimbabwe!M31+Botswana!M31+Mozambique!M31+Zambia!M31+Lesotho!M31+Eswatini!M31)/8</f>
        <v>0.22773577885001944</v>
      </c>
      <c r="G32" s="1645"/>
    </row>
    <row r="33" spans="1:7" ht="20.45" customHeight="1" thickBot="1" x14ac:dyDescent="0.5">
      <c r="B33" s="1593" t="s">
        <v>18</v>
      </c>
      <c r="C33" s="1594"/>
      <c r="D33" s="1595"/>
      <c r="E33" s="35"/>
      <c r="F33" s="33"/>
      <c r="G33" s="1512">
        <f>('South Africa'!P32+Namibia!P32+Zimbabwe!P32+Botswana!P32+Mozambique!P32+Zambia!P32+Lesotho!P32+Eswatini!P32)/8</f>
        <v>0.11712865785509866</v>
      </c>
    </row>
    <row r="34" spans="1:7" ht="33.6" customHeight="1" thickBot="1" x14ac:dyDescent="0.5">
      <c r="A34" s="425">
        <v>6</v>
      </c>
      <c r="B34" s="55" t="s">
        <v>19</v>
      </c>
      <c r="C34" s="56" t="s">
        <v>287</v>
      </c>
      <c r="D34" s="55" t="s">
        <v>288</v>
      </c>
      <c r="E34" s="317" t="s">
        <v>97</v>
      </c>
      <c r="F34" s="156">
        <f>('South Africa'!M33+Namibia!M33+Zimbabwe!M33+Botswana!M33+Mozambique!M33+Zambia!M33+Lesotho!M33+Eswatini!M33)/8</f>
        <v>-0.70121428571428579</v>
      </c>
      <c r="G34" s="1512">
        <f>('South Africa'!P33+Namibia!P33+Zimbabwe!P33+Botswana!P33+Mozambique!P33+Zambia!P33+Lesotho!P33+Eswatini!P33)/8</f>
        <v>0</v>
      </c>
    </row>
    <row r="35" spans="1:7" ht="51" customHeight="1" thickBot="1" x14ac:dyDescent="0.5">
      <c r="A35" s="425">
        <v>7</v>
      </c>
      <c r="B35" s="55" t="s">
        <v>20</v>
      </c>
      <c r="C35" s="55" t="s">
        <v>118</v>
      </c>
      <c r="D35" s="55" t="s">
        <v>21</v>
      </c>
      <c r="E35" s="317" t="s">
        <v>173</v>
      </c>
      <c r="F35" s="156">
        <f>('South Africa'!M34+Namibia!M34+Zimbabwe!M34+Botswana!M34+Mozambique!M34+Zambia!M34+Lesotho!M34+Eswatini!M34)/8</f>
        <v>1.1092755270698762</v>
      </c>
      <c r="G35" s="1512">
        <f>('South Africa'!P34+Namibia!P34+Zimbabwe!P34+Botswana!P34+Mozambique!P34+Zambia!P34+Lesotho!P34+Eswatini!P34)/8</f>
        <v>0.3905506979598099</v>
      </c>
    </row>
    <row r="36" spans="1:7" ht="40.799999999999997" customHeight="1" thickBot="1" x14ac:dyDescent="0.5">
      <c r="A36" s="425">
        <v>8</v>
      </c>
      <c r="B36" s="55" t="s">
        <v>22</v>
      </c>
      <c r="C36" s="55" t="s">
        <v>119</v>
      </c>
      <c r="D36" s="55" t="s">
        <v>23</v>
      </c>
      <c r="E36" s="317" t="s">
        <v>174</v>
      </c>
      <c r="F36" s="156">
        <f>('South Africa'!M35+Namibia!M35+Zimbabwe!M35+Botswana!M35+Mozambique!M35+Zambia!M35+Lesotho!M35+Eswatini!M35)/8</f>
        <v>7.7963933460584736E-2</v>
      </c>
      <c r="G36" s="1512">
        <f>('South Africa'!P35+Namibia!P35+Zimbabwe!P35+Botswana!P35+Mozambique!P35+Zambia!P35+Lesotho!P35+Eswatini!P35)/8</f>
        <v>7.7963933460584736E-2</v>
      </c>
    </row>
    <row r="37" spans="1:7" ht="32.450000000000003" customHeight="1" thickBot="1" x14ac:dyDescent="0.5">
      <c r="A37" s="425">
        <v>9</v>
      </c>
      <c r="B37" s="55" t="s">
        <v>24</v>
      </c>
      <c r="C37" s="55" t="s">
        <v>275</v>
      </c>
      <c r="D37" s="57" t="s">
        <v>25</v>
      </c>
      <c r="E37" s="318" t="s">
        <v>175</v>
      </c>
      <c r="F37" s="156">
        <f>('South Africa'!M36+Namibia!M36+Zimbabwe!M36+Botswana!M36+Mozambique!M36+Zambia!M36+Lesotho!M36+Eswatini!M36)/8</f>
        <v>-0.31794357347268887</v>
      </c>
      <c r="G37" s="1512">
        <f>('South Africa'!P36+Namibia!P36+Zimbabwe!P36+Botswana!P36+Mozambique!P36+Zambia!P36+Lesotho!P36+Eswatini!P36)/8</f>
        <v>0</v>
      </c>
    </row>
    <row r="38" spans="1:7" ht="30.6" customHeight="1" thickBot="1" x14ac:dyDescent="0.5">
      <c r="B38" s="1646" t="s">
        <v>26</v>
      </c>
      <c r="C38" s="1647"/>
      <c r="D38" s="1648"/>
      <c r="E38" s="172"/>
      <c r="F38" s="738"/>
      <c r="G38" s="1515">
        <f>('South Africa'!P37+Namibia!P37+Zimbabwe!P37+Botswana!P37+Mozambique!P37+Zambia!P37+Lesotho!P37+Eswatini!P37)/8</f>
        <v>0.1250018200002912</v>
      </c>
    </row>
    <row r="39" spans="1:7" ht="25.8" customHeight="1" x14ac:dyDescent="0.45">
      <c r="A39" s="1530">
        <v>10</v>
      </c>
      <c r="B39" s="1583" t="s">
        <v>27</v>
      </c>
      <c r="C39" s="77" t="s">
        <v>120</v>
      </c>
      <c r="D39" s="50" t="s">
        <v>224</v>
      </c>
      <c r="E39" s="319" t="s">
        <v>176</v>
      </c>
      <c r="F39" s="652">
        <f>('South Africa'!M38+Namibia!M38+Zimbabwe!M38+Botswana!M38+Mozambique!M38+Zambia!M38+Lesotho!M38+Eswatini!M38)/8</f>
        <v>0.50201876471893037</v>
      </c>
      <c r="G39" s="1637">
        <f>('South Africa'!P38+Namibia!P38+Zimbabwe!P38+Botswana!P38+Mozambique!P38+Zambia!P38+Lesotho!P38+Eswatini!P38)/8</f>
        <v>0.1250018200002912</v>
      </c>
    </row>
    <row r="40" spans="1:7" ht="35.25" thickBot="1" x14ac:dyDescent="0.5">
      <c r="A40" s="1530"/>
      <c r="B40" s="1585"/>
      <c r="C40" s="73" t="s">
        <v>157</v>
      </c>
      <c r="D40" s="54" t="s">
        <v>225</v>
      </c>
      <c r="E40" s="325" t="s">
        <v>95</v>
      </c>
      <c r="F40" s="653">
        <f>('South Africa'!M39+Namibia!M39+Zimbabwe!M39+Botswana!M39+Mozambique!M39+Zambia!M39+Lesotho!M39+Eswatini!M39)/8</f>
        <v>0</v>
      </c>
      <c r="G40" s="1638"/>
    </row>
    <row r="41" spans="1:7" ht="20.45" customHeight="1" thickBot="1" x14ac:dyDescent="0.5">
      <c r="B41" s="1578" t="s">
        <v>28</v>
      </c>
      <c r="C41" s="1579"/>
      <c r="D41" s="1580"/>
      <c r="E41" s="37"/>
      <c r="F41" s="655"/>
      <c r="G41" s="1512">
        <f>('South Africa'!P40+Namibia!P40+Zimbabwe!P40+Botswana!P40+Mozambique!P40+Zambia!P40+Lesotho!P40+Eswatini!P40)/8</f>
        <v>6.25E-2</v>
      </c>
    </row>
    <row r="42" spans="1:7" ht="34.9" x14ac:dyDescent="0.45">
      <c r="A42" s="1530">
        <v>11</v>
      </c>
      <c r="B42" s="1544" t="s">
        <v>29</v>
      </c>
      <c r="C42" s="790" t="s">
        <v>121</v>
      </c>
      <c r="D42" s="788" t="s">
        <v>30</v>
      </c>
      <c r="E42" s="1499" t="s">
        <v>177</v>
      </c>
      <c r="F42" s="652">
        <f>('South Africa'!M41+Namibia!M41+Zimbabwe!M41+Botswana!M41+Mozambique!M41+Zambia!M41+Lesotho!M41+Eswatini!M41)/8</f>
        <v>-8.3333333333333356E-2</v>
      </c>
      <c r="G42" s="1637">
        <f>('South Africa'!P41+Namibia!P41+Zimbabwe!P41+Botswana!P41+Mozambique!P41+Zambia!P41+Lesotho!P41+Eswatini!P41)/8</f>
        <v>6.25E-2</v>
      </c>
    </row>
    <row r="43" spans="1:7" ht="35.25" thickBot="1" x14ac:dyDescent="0.5">
      <c r="A43" s="1530"/>
      <c r="B43" s="1546"/>
      <c r="C43" s="791" t="s">
        <v>122</v>
      </c>
      <c r="D43" s="789" t="s">
        <v>31</v>
      </c>
      <c r="E43" s="1500" t="s">
        <v>95</v>
      </c>
      <c r="F43" s="653">
        <f>('South Africa'!M42+Namibia!M42+Zimbabwe!M42+Botswana!M42+Mozambique!M42+Zambia!M42+Lesotho!M42+Eswatini!M42)/8</f>
        <v>0.125</v>
      </c>
      <c r="G43" s="1638"/>
    </row>
    <row r="44" spans="1:7" ht="30.6" customHeight="1" thickBot="1" x14ac:dyDescent="0.5">
      <c r="B44" s="1553" t="s">
        <v>32</v>
      </c>
      <c r="C44" s="1554"/>
      <c r="D44" s="1555"/>
      <c r="E44" s="35"/>
      <c r="F44" s="33"/>
      <c r="G44" s="1512">
        <f>('South Africa'!P43+Namibia!P43+Zimbabwe!P43+Botswana!P43+Mozambique!P43+Zambia!P43+Lesotho!P43+Eswatini!P43)/8</f>
        <v>0.28566358470617353</v>
      </c>
    </row>
    <row r="45" spans="1:7" ht="37.799999999999997" customHeight="1" x14ac:dyDescent="0.45">
      <c r="A45" s="1530">
        <v>12</v>
      </c>
      <c r="B45" s="1544" t="s">
        <v>33</v>
      </c>
      <c r="C45" s="788" t="s">
        <v>123</v>
      </c>
      <c r="D45" s="788" t="s">
        <v>34</v>
      </c>
      <c r="E45" s="1501" t="s">
        <v>178</v>
      </c>
      <c r="F45" s="652">
        <f>('South Africa'!M44+Namibia!M44+Zimbabwe!M44+Botswana!M44+Mozambique!M44+Zambia!M44+Lesotho!M44+Eswatini!M44)/8</f>
        <v>0</v>
      </c>
      <c r="G45" s="1637">
        <f>('South Africa'!P44+Namibia!P44+Zimbabwe!P44+Botswana!P44+Mozambique!P44+Zambia!P44+Lesotho!P44+Eswatini!P44)/8</f>
        <v>0.28566358470617353</v>
      </c>
    </row>
    <row r="46" spans="1:7" ht="35.25" thickBot="1" x14ac:dyDescent="0.5">
      <c r="A46" s="1530"/>
      <c r="B46" s="1546"/>
      <c r="C46" s="789" t="s">
        <v>124</v>
      </c>
      <c r="D46" s="789" t="s">
        <v>35</v>
      </c>
      <c r="E46" s="1502" t="s">
        <v>179</v>
      </c>
      <c r="F46" s="653">
        <f>('South Africa'!M45+Namibia!M45+Zimbabwe!M45+Botswana!M45+Mozambique!M45+Zambia!M45+Lesotho!M45+Eswatini!M45)/8</f>
        <v>0.94904411764705887</v>
      </c>
      <c r="G46" s="1638"/>
    </row>
    <row r="47" spans="1:7" ht="30.6" customHeight="1" thickBot="1" x14ac:dyDescent="0.5">
      <c r="B47" s="1572" t="s">
        <v>36</v>
      </c>
      <c r="C47" s="1573"/>
      <c r="D47" s="1574"/>
      <c r="E47" s="38"/>
      <c r="F47" s="38"/>
      <c r="G47" s="1512">
        <f>('South Africa'!P46+Namibia!P46+Zimbabwe!P46+Botswana!P46+Mozambique!P46+Zambia!P46+Lesotho!P46+Eswatini!P46)/8</f>
        <v>0.31831027234041515</v>
      </c>
    </row>
    <row r="48" spans="1:7" ht="20.45" customHeight="1" thickBot="1" x14ac:dyDescent="0.5">
      <c r="B48" s="1538" t="s">
        <v>37</v>
      </c>
      <c r="C48" s="1539"/>
      <c r="D48" s="1540"/>
      <c r="E48" s="53"/>
      <c r="F48" s="53"/>
      <c r="G48" s="1512">
        <f>('South Africa'!P47+Namibia!P47+Zimbabwe!P47+Botswana!P47+Mozambique!P47+Zambia!P47+Lesotho!P47+Eswatini!P47)/8</f>
        <v>0</v>
      </c>
    </row>
    <row r="49" spans="1:7" ht="37.799999999999997" customHeight="1" x14ac:dyDescent="0.45">
      <c r="A49" s="1530">
        <v>13</v>
      </c>
      <c r="B49" s="1544" t="s">
        <v>38</v>
      </c>
      <c r="C49" s="788" t="s">
        <v>125</v>
      </c>
      <c r="D49" s="59" t="s">
        <v>289</v>
      </c>
      <c r="E49" s="314" t="s">
        <v>95</v>
      </c>
      <c r="F49" s="652">
        <f>('South Africa'!M48+Namibia!M48+Zimbabwe!M48+Botswana!M48+Mozambique!M48+Zambia!M48+Lesotho!M48+Eswatini!M48)/8</f>
        <v>-0.25</v>
      </c>
      <c r="G49" s="1637">
        <f>('South Africa'!P48+Namibia!P48+Zimbabwe!P48+Botswana!P48+Mozambique!P48+Zambia!P48+Lesotho!P48+Eswatini!P48)/8</f>
        <v>0</v>
      </c>
    </row>
    <row r="50" spans="1:7" ht="30.6" customHeight="1" thickBot="1" x14ac:dyDescent="0.5">
      <c r="A50" s="1530"/>
      <c r="B50" s="1546"/>
      <c r="C50" s="789" t="s">
        <v>126</v>
      </c>
      <c r="D50" s="789" t="s">
        <v>290</v>
      </c>
      <c r="E50" s="316" t="s">
        <v>95</v>
      </c>
      <c r="F50" s="653">
        <f>('South Africa'!M49+Namibia!M49+Zimbabwe!M49+Botswana!M49+Mozambique!M49+Zambia!M49+Lesotho!M49+Eswatini!M49)/8</f>
        <v>4.3854376922539441E-3</v>
      </c>
      <c r="G50" s="1638"/>
    </row>
    <row r="51" spans="1:7" ht="23.65" customHeight="1" thickBot="1" x14ac:dyDescent="0.5">
      <c r="B51" s="1553" t="s">
        <v>39</v>
      </c>
      <c r="C51" s="1554"/>
      <c r="D51" s="1555"/>
      <c r="E51" s="39"/>
      <c r="F51" s="39"/>
      <c r="G51" s="1512">
        <f>('South Africa'!P50+Namibia!P50+Zimbabwe!P50+Botswana!P50+Mozambique!P50+Zambia!P50+Lesotho!P50+Eswatini!P50)/8</f>
        <v>0.91666666666666663</v>
      </c>
    </row>
    <row r="52" spans="1:7" ht="30.6" customHeight="1" thickBot="1" x14ac:dyDescent="0.5">
      <c r="A52" s="15">
        <v>14</v>
      </c>
      <c r="B52" s="1503" t="s">
        <v>226</v>
      </c>
      <c r="C52" s="1504" t="s">
        <v>272</v>
      </c>
      <c r="D52" s="67" t="s">
        <v>266</v>
      </c>
      <c r="E52" s="1505" t="s">
        <v>95</v>
      </c>
      <c r="F52" s="156">
        <f>('South Africa'!M51+Namibia!M51+Zimbabwe!M51+Botswana!M51+Mozambique!M51+Zambia!M51+Lesotho!M51)/7</f>
        <v>1.1904761904761902</v>
      </c>
      <c r="G52" s="1512">
        <f>('South Africa'!P51+Namibia!P51+Zimbabwe!P51+Botswana!P51+Mozambique!P51+Zambia!P51+Lesotho!P51+Eswatini!P51)/8</f>
        <v>0.91666666666666663</v>
      </c>
    </row>
    <row r="53" spans="1:7" ht="27.75" customHeight="1" thickBot="1" x14ac:dyDescent="0.5">
      <c r="B53" s="1553" t="s">
        <v>40</v>
      </c>
      <c r="C53" s="1554"/>
      <c r="D53" s="1555"/>
      <c r="E53" s="34"/>
      <c r="F53" s="53"/>
      <c r="G53" s="1512">
        <f>('South Africa'!P52+Namibia!P52+Zimbabwe!P52+Botswana!P52+Mozambique!P52+Zambia!P52+Lesotho!P52+Eswatini!P52)/8</f>
        <v>3.8264150354578703E-2</v>
      </c>
    </row>
    <row r="54" spans="1:7" ht="43.8" customHeight="1" x14ac:dyDescent="0.45">
      <c r="A54" s="1530">
        <v>15</v>
      </c>
      <c r="B54" s="1583" t="s">
        <v>108</v>
      </c>
      <c r="C54" s="60" t="s">
        <v>127</v>
      </c>
      <c r="D54" s="61" t="s">
        <v>41</v>
      </c>
      <c r="E54" s="322" t="s">
        <v>95</v>
      </c>
      <c r="F54" s="652">
        <f>('South Africa'!M53+Namibia!M53+Zimbabwe!M53+Botswana!M53+Mozambique!M53+Zambia!M53+Lesotho!M53+Eswatini!M53)/8</f>
        <v>0</v>
      </c>
      <c r="G54" s="1649">
        <f>('South Africa'!P53+Namibia!P53+Zimbabwe!P53+Botswana!P53+Mozambique!P53+Zambia!P53+Lesotho!P53+Eswatini!P53)/8</f>
        <v>3.8264150354578703E-2</v>
      </c>
    </row>
    <row r="55" spans="1:7" ht="35.450000000000003" customHeight="1" x14ac:dyDescent="0.45">
      <c r="A55" s="1530"/>
      <c r="B55" s="1584"/>
      <c r="C55" s="88" t="s">
        <v>128</v>
      </c>
      <c r="D55" s="62" t="s">
        <v>42</v>
      </c>
      <c r="E55" s="323" t="s">
        <v>95</v>
      </c>
      <c r="F55" s="654">
        <f>('South Africa'!M54+Namibia!M54+Zimbabwe!M54+Botswana!M54+Mozambique!M54+Zambia!M54+Lesotho!M54+Eswatini!M54)/8</f>
        <v>0</v>
      </c>
      <c r="G55" s="1650"/>
    </row>
    <row r="56" spans="1:7" ht="34.25" customHeight="1" x14ac:dyDescent="0.45">
      <c r="A56" s="1530"/>
      <c r="B56" s="1584"/>
      <c r="C56" s="88" t="s">
        <v>129</v>
      </c>
      <c r="D56" s="62" t="s">
        <v>43</v>
      </c>
      <c r="E56" s="323" t="s">
        <v>95</v>
      </c>
      <c r="F56" s="654">
        <f>('South Africa'!M55+Namibia!M55+Zimbabwe!M55+Botswana!M55+Mozambique!M55+Zambia!M55+Lesotho!M55+Eswatini!M55)/8</f>
        <v>4.1666666666666664E-2</v>
      </c>
      <c r="G56" s="1650"/>
    </row>
    <row r="57" spans="1:7" ht="37.25" customHeight="1" x14ac:dyDescent="0.45">
      <c r="A57" s="1530"/>
      <c r="B57" s="1584"/>
      <c r="C57" s="88" t="s">
        <v>130</v>
      </c>
      <c r="D57" s="62" t="s">
        <v>44</v>
      </c>
      <c r="E57" s="323" t="s">
        <v>101</v>
      </c>
      <c r="F57" s="654">
        <f>('South Africa'!M56+Namibia!M56+Zimbabwe!M56+Botswana!M56+Mozambique!M56+Zambia!M56+Lesotho!M56+Eswatini!M56)/8</f>
        <v>-1.2712448815659361</v>
      </c>
      <c r="G57" s="1650"/>
    </row>
    <row r="58" spans="1:7" ht="22.8" customHeight="1" x14ac:dyDescent="0.45">
      <c r="A58" s="1530"/>
      <c r="B58" s="1584"/>
      <c r="C58" s="1589" t="s">
        <v>131</v>
      </c>
      <c r="D58" s="62" t="s">
        <v>45</v>
      </c>
      <c r="E58" s="323" t="s">
        <v>180</v>
      </c>
      <c r="F58" s="654">
        <f>('South Africa'!M57+Namibia!M57+Zimbabwe!M57+Botswana!M57+Mozambique!M57+Zambia!M57+Lesotho!M57+Eswatini!M57)/8</f>
        <v>0.11554007863443647</v>
      </c>
      <c r="G58" s="1650"/>
    </row>
    <row r="59" spans="1:7" ht="21.4" customHeight="1" thickBot="1" x14ac:dyDescent="0.5">
      <c r="A59" s="1530"/>
      <c r="B59" s="1585"/>
      <c r="C59" s="1590"/>
      <c r="D59" s="48" t="s">
        <v>46</v>
      </c>
      <c r="E59" s="324" t="s">
        <v>95</v>
      </c>
      <c r="F59" s="653">
        <f>('South Africa'!M58+Namibia!M58+Zimbabwe!M58+Botswana!M58+Mozambique!M58+Zambia!M58+Lesotho!M58+Eswatini!M58)/8</f>
        <v>-8.6309523809523822E-2</v>
      </c>
      <c r="G59" s="1651"/>
    </row>
    <row r="60" spans="1:7" ht="23.45" customHeight="1" thickBot="1" x14ac:dyDescent="0.5">
      <c r="B60" s="1572" t="s">
        <v>47</v>
      </c>
      <c r="C60" s="1573"/>
      <c r="D60" s="1574"/>
      <c r="E60" s="426"/>
      <c r="F60" s="426"/>
      <c r="G60" s="1512">
        <f>('South Africa'!P59+Namibia!P59+Zimbabwe!P59+Botswana!P59+Mozambique!P59+Zambia!P59+Lesotho!P59+Eswatini!P59)/8</f>
        <v>0.1039186507936508</v>
      </c>
    </row>
    <row r="61" spans="1:7" ht="22.25" customHeight="1" thickBot="1" x14ac:dyDescent="0.5">
      <c r="B61" s="1553" t="s">
        <v>48</v>
      </c>
      <c r="C61" s="1554"/>
      <c r="D61" s="1555"/>
      <c r="E61" s="33"/>
      <c r="F61" s="33"/>
      <c r="G61" s="1512">
        <f>('South Africa'!P60+Namibia!P60+Zimbabwe!P60+Botswana!P60+Mozambique!P60+Zambia!P60+Lesotho!P60+Eswatini!P60)/8</f>
        <v>0.2078373015873016</v>
      </c>
    </row>
    <row r="62" spans="1:7" ht="39" customHeight="1" x14ac:dyDescent="0.45">
      <c r="A62" s="1530">
        <v>16</v>
      </c>
      <c r="B62" s="1541" t="s">
        <v>49</v>
      </c>
      <c r="C62" s="788" t="s">
        <v>133</v>
      </c>
      <c r="D62" s="788" t="s">
        <v>50</v>
      </c>
      <c r="E62" s="1506" t="s">
        <v>181</v>
      </c>
      <c r="F62" s="652">
        <f>('South Africa'!M61+Namibia!M61+Zimbabwe!M61+Botswana!M61+Mozambique!M61+Zambia!M61+Lesotho!M61+Eswatini!M61)/8</f>
        <v>0</v>
      </c>
      <c r="G62" s="1649">
        <f>('South Africa'!P61+Namibia!P61+Zimbabwe!P61+Botswana!P61+Mozambique!P61+Zambia!P61+Lesotho!P61+Eswatini!P61)/8</f>
        <v>0.2078373015873016</v>
      </c>
    </row>
    <row r="63" spans="1:7" ht="58.25" customHeight="1" x14ac:dyDescent="0.45">
      <c r="A63" s="1530"/>
      <c r="B63" s="1542"/>
      <c r="C63" s="786" t="s">
        <v>134</v>
      </c>
      <c r="D63" s="88" t="s">
        <v>276</v>
      </c>
      <c r="E63" s="1507" t="s">
        <v>182</v>
      </c>
      <c r="F63" s="654">
        <f>('South Africa'!M62+Namibia!M62+Zimbabwe!M62+Botswana!M62+Mozambique!M62+Zambia!M62+Lesotho!M62+Eswatini!M62)/8</f>
        <v>0</v>
      </c>
      <c r="G63" s="1650"/>
    </row>
    <row r="64" spans="1:7" ht="26.45" customHeight="1" x14ac:dyDescent="0.45">
      <c r="A64" s="1530"/>
      <c r="B64" s="1542"/>
      <c r="C64" s="786" t="s">
        <v>135</v>
      </c>
      <c r="D64" s="786" t="s">
        <v>51</v>
      </c>
      <c r="E64" s="1507" t="s">
        <v>95</v>
      </c>
      <c r="F64" s="654">
        <f>('South Africa'!M63+Namibia!M63+Zimbabwe!M63+Botswana!M63+Mozambique!M63+Zambia!M63+Lesotho!M63+Eswatini!M63)/8</f>
        <v>0.17857142857142858</v>
      </c>
      <c r="G64" s="1650"/>
    </row>
    <row r="65" spans="1:9" ht="24" customHeight="1" x14ac:dyDescent="0.45">
      <c r="A65" s="1530"/>
      <c r="B65" s="1542"/>
      <c r="C65" s="1545" t="s">
        <v>136</v>
      </c>
      <c r="D65" s="63" t="s">
        <v>52</v>
      </c>
      <c r="E65" s="1507" t="s">
        <v>95</v>
      </c>
      <c r="F65" s="654">
        <f>('South Africa'!M64+Namibia!M64+Zimbabwe!M64+Botswana!M64+Mozambique!M64+Zambia!M64+Lesotho!M64+Eswatini!M64)/8</f>
        <v>0.875</v>
      </c>
      <c r="G65" s="1650"/>
    </row>
    <row r="66" spans="1:9" ht="22.5" customHeight="1" x14ac:dyDescent="0.45">
      <c r="A66" s="1530"/>
      <c r="B66" s="1542"/>
      <c r="C66" s="1545"/>
      <c r="D66" s="63" t="s">
        <v>53</v>
      </c>
      <c r="E66" s="1507" t="s">
        <v>95</v>
      </c>
      <c r="F66" s="654">
        <f>('South Africa'!M65+Namibia!M65+Zimbabwe!M65+Botswana!M65+Mozambique!M65+Zambia!M65+Lesotho!M65+Eswatini!M65)/8</f>
        <v>0.70833333333333337</v>
      </c>
      <c r="G66" s="1650"/>
    </row>
    <row r="67" spans="1:9" ht="27.6" customHeight="1" thickBot="1" x14ac:dyDescent="0.5">
      <c r="A67" s="1530"/>
      <c r="B67" s="1543"/>
      <c r="C67" s="1546"/>
      <c r="D67" s="64" t="s">
        <v>54</v>
      </c>
      <c r="E67" s="1508" t="s">
        <v>95</v>
      </c>
      <c r="F67" s="653">
        <f>('South Africa'!M66+Namibia!M66+Zimbabwe!M66+Botswana!M66+Mozambique!M66+Zambia!M66+Lesotho!M66+Eswatini!M66)/8</f>
        <v>0.375</v>
      </c>
      <c r="G67" s="1651"/>
    </row>
    <row r="68" spans="1:9" ht="27" customHeight="1" thickBot="1" x14ac:dyDescent="0.5">
      <c r="B68" s="1538" t="s">
        <v>55</v>
      </c>
      <c r="C68" s="1539"/>
      <c r="D68" s="1540"/>
      <c r="E68" s="46"/>
      <c r="F68" s="46"/>
      <c r="G68" s="1512">
        <f>('South Africa'!P67+Namibia!P67+Zimbabwe!P67+Botswana!P67+Mozambique!P67+Zambia!P67+Lesotho!P67+Eswatini!P67)/8</f>
        <v>0</v>
      </c>
    </row>
    <row r="69" spans="1:9" ht="70.150000000000006" thickBot="1" x14ac:dyDescent="0.5">
      <c r="A69" s="16">
        <v>17</v>
      </c>
      <c r="B69" s="65" t="s">
        <v>56</v>
      </c>
      <c r="C69" s="65" t="s">
        <v>137</v>
      </c>
      <c r="D69" s="65" t="s">
        <v>57</v>
      </c>
      <c r="E69" s="81" t="s">
        <v>132</v>
      </c>
      <c r="F69" s="156">
        <f>('South Africa'!M68+Namibia!M68+Zimbabwe!M68+Botswana!M68+Mozambique!M68+Zambia!M68+Lesotho!M68+Eswatini!M68)/8</f>
        <v>-0.24232227149191818</v>
      </c>
      <c r="G69" s="1512">
        <f>('South Africa'!P68+Namibia!P68+Zimbabwe!P68+Botswana!P68+Mozambique!P68+Zambia!P68+Lesotho!P68+Eswatini!P68)/8</f>
        <v>0</v>
      </c>
    </row>
    <row r="70" spans="1:9" ht="22.25" customHeight="1" thickBot="1" x14ac:dyDescent="0.5">
      <c r="B70" s="1575" t="s">
        <v>58</v>
      </c>
      <c r="C70" s="1576"/>
      <c r="D70" s="1577"/>
      <c r="E70" s="40"/>
      <c r="F70" s="40"/>
      <c r="G70" s="1512">
        <f>('South Africa'!P69+Namibia!P69+Zimbabwe!P69+Botswana!P69+Mozambique!P69+Zambia!P69+Lesotho!P69+Eswatini!P69)/8</f>
        <v>0.375</v>
      </c>
    </row>
    <row r="71" spans="1:9" ht="20.45" customHeight="1" thickBot="1" x14ac:dyDescent="0.5">
      <c r="B71" s="1553" t="s">
        <v>59</v>
      </c>
      <c r="C71" s="1554"/>
      <c r="D71" s="1555"/>
      <c r="E71" s="34"/>
      <c r="F71" s="34"/>
      <c r="G71" s="1512">
        <f>('South Africa'!P70+Namibia!P70+Zimbabwe!P70+Botswana!P70+Mozambique!P70+Zambia!P70+Lesotho!P70+Eswatini!P70)/8</f>
        <v>0.125</v>
      </c>
    </row>
    <row r="72" spans="1:9" ht="52.25" customHeight="1" thickBot="1" x14ac:dyDescent="0.5">
      <c r="A72" s="16">
        <v>18</v>
      </c>
      <c r="B72" s="66" t="s">
        <v>60</v>
      </c>
      <c r="C72" s="67" t="s">
        <v>138</v>
      </c>
      <c r="D72" s="145" t="s">
        <v>61</v>
      </c>
      <c r="E72" s="326" t="s">
        <v>183</v>
      </c>
      <c r="F72" s="652">
        <f>('South Africa'!M71+Namibia!M71+Zimbabwe!M71+Botswana!M71+Mozambique!M71+Zambia!M71+Lesotho!M71+Eswatini!M71)/8</f>
        <v>0.125</v>
      </c>
      <c r="G72" s="1512">
        <f>('South Africa'!P71+Namibia!P71+Zimbabwe!P71+Botswana!P71+Mozambique!P71+Zambia!P71+Lesotho!P71+Eswatini!P71)/8</f>
        <v>0.125</v>
      </c>
      <c r="I72" s="1495"/>
    </row>
    <row r="73" spans="1:9" ht="20.45" customHeight="1" thickBot="1" x14ac:dyDescent="0.5">
      <c r="B73" s="1578" t="s">
        <v>277</v>
      </c>
      <c r="C73" s="1579"/>
      <c r="D73" s="1580"/>
      <c r="E73" s="36"/>
      <c r="F73" s="36"/>
      <c r="G73" s="1512">
        <f>('South Africa'!P72+Namibia!P72+Zimbabwe!P72+Botswana!P72+Mozambique!P72+Zambia!P72+Lesotho!P72+Eswatini!P72)/8</f>
        <v>0.25</v>
      </c>
      <c r="I73" s="1495"/>
    </row>
    <row r="74" spans="1:9" ht="45" customHeight="1" thickBot="1" x14ac:dyDescent="0.5">
      <c r="A74" s="16">
        <v>19</v>
      </c>
      <c r="B74" s="68" t="s">
        <v>62</v>
      </c>
      <c r="C74" s="69" t="s">
        <v>139</v>
      </c>
      <c r="D74" s="146" t="s">
        <v>63</v>
      </c>
      <c r="E74" s="327" t="s">
        <v>95</v>
      </c>
      <c r="F74" s="652">
        <f>('South Africa'!M73+Namibia!M73+Zimbabwe!M73+Botswana!M73+Mozambique!M73+Zambia!M73+Lesotho!M73+Eswatini!M73)/8</f>
        <v>0.25</v>
      </c>
      <c r="G74" s="1512">
        <f>('South Africa'!P73+Namibia!P73+Zimbabwe!P73+Botswana!P73+Mozambique!P73+Zambia!P73+Lesotho!P73+Eswatini!P73)/8</f>
        <v>0.25</v>
      </c>
      <c r="I74" s="1495"/>
    </row>
    <row r="75" spans="1:9" ht="30.6" customHeight="1" thickBot="1" x14ac:dyDescent="0.5">
      <c r="B75" s="1553" t="s">
        <v>64</v>
      </c>
      <c r="C75" s="1554"/>
      <c r="D75" s="1555"/>
      <c r="E75" s="34"/>
      <c r="F75" s="34"/>
      <c r="G75" s="1512">
        <f>('South Africa'!P74+Namibia!P74+Zimbabwe!P74+Botswana!P74+Mozambique!P74+Zambia!P74+Lesotho!P74+Eswatini!P74)/8</f>
        <v>0.75</v>
      </c>
      <c r="I75" s="1495"/>
    </row>
    <row r="76" spans="1:9" ht="29.45" customHeight="1" thickBot="1" x14ac:dyDescent="0.5">
      <c r="A76" s="16">
        <v>20</v>
      </c>
      <c r="B76" s="68" t="s">
        <v>65</v>
      </c>
      <c r="C76" s="67" t="s">
        <v>140</v>
      </c>
      <c r="D76" s="69" t="s">
        <v>66</v>
      </c>
      <c r="E76" s="328" t="s">
        <v>95</v>
      </c>
      <c r="F76" s="652">
        <f>('South Africa'!M75+Namibia!M75+Zimbabwe!M75+Botswana!M75+Mozambique!M75+Zambia!M75+Lesotho!M75+Eswatini!M75)/8</f>
        <v>0.75</v>
      </c>
      <c r="G76" s="1512">
        <f>('South Africa'!P75+Namibia!P75+Zimbabwe!P75+Botswana!P75+Mozambique!P75+Zambia!P75+Lesotho!P75+Eswatini!P75)/8</f>
        <v>0.75</v>
      </c>
      <c r="I76" s="1495"/>
    </row>
    <row r="77" spans="1:9" ht="20.45" customHeight="1" thickBot="1" x14ac:dyDescent="0.5">
      <c r="B77" s="1569" t="s">
        <v>67</v>
      </c>
      <c r="C77" s="1570"/>
      <c r="D77" s="1571"/>
      <c r="E77" s="41"/>
      <c r="F77" s="41"/>
      <c r="G77" s="1512">
        <f>('South Africa'!P76+Namibia!P76+Zimbabwe!P76+Botswana!P76+Mozambique!P76+Zambia!P76+Lesotho!P76+Eswatini!P76)/8</f>
        <v>6.3606194690265488E-2</v>
      </c>
      <c r="I77" s="1495"/>
    </row>
    <row r="78" spans="1:9" ht="20.45" customHeight="1" thickBot="1" x14ac:dyDescent="0.5">
      <c r="B78" s="1553" t="s">
        <v>68</v>
      </c>
      <c r="C78" s="1554"/>
      <c r="D78" s="1555"/>
      <c r="E78" s="34"/>
      <c r="F78" s="34"/>
      <c r="G78" s="1512">
        <f>('South Africa'!P77+Namibia!P77+Zimbabwe!P77+Botswana!P77+Mozambique!P77+Zambia!P77+Lesotho!P77+Eswatini!P77)/8</f>
        <v>6.3606194690265488E-2</v>
      </c>
      <c r="I78" s="1495"/>
    </row>
    <row r="79" spans="1:9" ht="35.25" thickBot="1" x14ac:dyDescent="0.5">
      <c r="A79" s="16">
        <v>21</v>
      </c>
      <c r="B79" s="68" t="s">
        <v>69</v>
      </c>
      <c r="C79" s="70" t="s">
        <v>141</v>
      </c>
      <c r="D79" s="70" t="s">
        <v>70</v>
      </c>
      <c r="E79" s="329" t="s">
        <v>95</v>
      </c>
      <c r="F79" s="652">
        <f>('South Africa'!M78+Namibia!M78+Zimbabwe!M78+Botswana!M78+Mozambique!M78+Zambia!M78+Lesotho!M78+Eswatini!M78)/8</f>
        <v>6.3606194690265488E-2</v>
      </c>
      <c r="G79" s="1512">
        <f>('South Africa'!P78+Namibia!P78+Zimbabwe!P78+Botswana!P78+Mozambique!P78+Zambia!P78+Lesotho!P78+Eswatini!P78)/8</f>
        <v>6.3606194690265488E-2</v>
      </c>
    </row>
    <row r="80" spans="1:9" ht="21.6" customHeight="1" thickBot="1" x14ac:dyDescent="0.5">
      <c r="B80" s="1562" t="s">
        <v>71</v>
      </c>
      <c r="C80" s="1563"/>
      <c r="D80" s="1564"/>
      <c r="E80" s="41"/>
      <c r="F80" s="41"/>
      <c r="G80" s="1512">
        <f>('South Africa'!P79+Namibia!P79+Zimbabwe!P79+Botswana!P79+Mozambique!P79+Zambia!P79+Lesotho!P79+Eswatini!P79)/8</f>
        <v>0.30370445334494173</v>
      </c>
    </row>
    <row r="81" spans="1:9" ht="20.45" customHeight="1" thickBot="1" x14ac:dyDescent="0.5">
      <c r="B81" s="1538" t="s">
        <v>72</v>
      </c>
      <c r="C81" s="1539"/>
      <c r="D81" s="1540"/>
      <c r="E81" s="330"/>
      <c r="F81" s="330"/>
      <c r="G81" s="1512">
        <f>('South Africa'!P80+Namibia!P80+Zimbabwe!P80+Botswana!P80+Mozambique!P80+Zambia!P80+Lesotho!P80+Eswatini!P80)/8</f>
        <v>0.26896491293358338</v>
      </c>
      <c r="I81" s="528"/>
    </row>
    <row r="82" spans="1:9" ht="58.15" x14ac:dyDescent="0.45">
      <c r="A82" s="425"/>
      <c r="B82" s="1565" t="s">
        <v>73</v>
      </c>
      <c r="C82" s="788" t="s">
        <v>267</v>
      </c>
      <c r="D82" s="60" t="s">
        <v>278</v>
      </c>
      <c r="E82" s="331" t="s">
        <v>279</v>
      </c>
      <c r="F82" s="652">
        <f>('South Africa'!M81+Namibia!M81+Zimbabwe!M81+Botswana!M81+Mozambique!M81+Zambia!M81+Lesotho!M81+Eswatini!M81)/8</f>
        <v>3.2083333333333332E-2</v>
      </c>
      <c r="G82" s="1637">
        <f>('South Africa'!P81+Namibia!P81+Zimbabwe!P81+Botswana!P81+Mozambique!P81+Zambia!P81+Lesotho!P81+Eswatini!P81)/8</f>
        <v>0.39522688806550477</v>
      </c>
      <c r="I82" s="528"/>
    </row>
    <row r="83" spans="1:9" ht="39.6" customHeight="1" thickBot="1" x14ac:dyDescent="0.5">
      <c r="A83" s="425"/>
      <c r="B83" s="1566"/>
      <c r="C83" s="789" t="s">
        <v>268</v>
      </c>
      <c r="D83" s="89" t="s">
        <v>74</v>
      </c>
      <c r="E83" s="332" t="s">
        <v>282</v>
      </c>
      <c r="F83" s="782">
        <f>('South Africa'!M82+Namibia!M82+Zimbabwe!M82+Botswana!M82+Mozambique!M82+Zambia!M82+Lesotho!M82+Eswatini!M82)/8</f>
        <v>0.75837044279767629</v>
      </c>
      <c r="G83" s="1638"/>
      <c r="I83" s="528"/>
    </row>
    <row r="84" spans="1:9" ht="60" customHeight="1" x14ac:dyDescent="0.45">
      <c r="A84" s="425"/>
      <c r="B84" s="1547" t="s">
        <v>142</v>
      </c>
      <c r="C84" s="348" t="s">
        <v>145</v>
      </c>
      <c r="D84" s="788" t="s">
        <v>143</v>
      </c>
      <c r="E84" s="333" t="s">
        <v>184</v>
      </c>
      <c r="F84" s="652">
        <f>('South Africa'!M83+Namibia!M83+Zimbabwe!M83+Botswana!M83+Mozambique!M83+Zambia!M83+Lesotho!M83+Eswatini!M83)/8</f>
        <v>0</v>
      </c>
      <c r="G84" s="1640">
        <f>('South Africa'!P83+Namibia!P83+Zimbabwe!P83+Botswana!P83+Mozambique!P83+Zambia!P83+Lesotho!P83+Eswatini!P83)/8</f>
        <v>0.14270293780166207</v>
      </c>
    </row>
    <row r="85" spans="1:9" ht="45" customHeight="1" x14ac:dyDescent="0.45">
      <c r="A85" s="425"/>
      <c r="B85" s="1548"/>
      <c r="C85" s="71" t="s">
        <v>146</v>
      </c>
      <c r="D85" s="88" t="s">
        <v>283</v>
      </c>
      <c r="E85" s="334" t="s">
        <v>185</v>
      </c>
      <c r="F85" s="654">
        <f>('South Africa'!M84+Namibia!M84+Zimbabwe!M84+Botswana!M84+Mozambique!M84+Zambia!M84+Lesotho!M84+Eswatini!M84)/8</f>
        <v>0.25</v>
      </c>
      <c r="G85" s="1641"/>
    </row>
    <row r="86" spans="1:9" ht="38.450000000000003" customHeight="1" thickBot="1" x14ac:dyDescent="0.5">
      <c r="A86" s="425"/>
      <c r="B86" s="1549"/>
      <c r="C86" s="72" t="s">
        <v>147</v>
      </c>
      <c r="D86" s="89" t="s">
        <v>144</v>
      </c>
      <c r="E86" s="335" t="s">
        <v>284</v>
      </c>
      <c r="F86" s="653">
        <f>('South Africa'!M85+Namibia!M85+Zimbabwe!M85+Botswana!M85+Mozambique!M85+Zambia!M85+Lesotho!M85+Eswatini!M85)/8</f>
        <v>0.17810881340498624</v>
      </c>
      <c r="G86" s="1642"/>
    </row>
    <row r="87" spans="1:9" ht="20.45" customHeight="1" thickBot="1" x14ac:dyDescent="0.5">
      <c r="B87" s="1553" t="s">
        <v>75</v>
      </c>
      <c r="C87" s="1554"/>
      <c r="D87" s="1555"/>
      <c r="E87" s="35"/>
      <c r="F87" s="33"/>
      <c r="G87" s="1512">
        <f>('South Africa'!P86+Namibia!P86+Zimbabwe!P86+Botswana!P86+Mozambique!P86+Zambia!P86+Lesotho!P86+Eswatini!P86)/8</f>
        <v>0.37318353416765832</v>
      </c>
    </row>
    <row r="88" spans="1:9" ht="27.6" customHeight="1" x14ac:dyDescent="0.45">
      <c r="A88" s="1530">
        <v>24</v>
      </c>
      <c r="B88" s="1556" t="s">
        <v>76</v>
      </c>
      <c r="C88" s="77" t="s">
        <v>159</v>
      </c>
      <c r="D88" s="51" t="s">
        <v>285</v>
      </c>
      <c r="E88" s="349" t="s">
        <v>186</v>
      </c>
      <c r="F88" s="652">
        <f>('South Africa'!M87+Namibia!M87+Zimbabwe!M87+Botswana!M87+Mozambique!M87+Zambia!M87+Lesotho!M87+Eswatini!M87)/8</f>
        <v>0.19288528595262627</v>
      </c>
      <c r="G88" s="1640">
        <f>('South Africa'!P87+Namibia!P87+Zimbabwe!P87+Botswana!P87+Mozambique!P87+Zambia!P87+Lesotho!P87+Eswatini!P87)/8</f>
        <v>0.37318353416765832</v>
      </c>
    </row>
    <row r="89" spans="1:9" ht="25.8" customHeight="1" x14ac:dyDescent="0.45">
      <c r="A89" s="1530"/>
      <c r="B89" s="1557"/>
      <c r="C89" s="1561" t="s">
        <v>160</v>
      </c>
      <c r="D89" s="52" t="s">
        <v>77</v>
      </c>
      <c r="E89" s="336" t="s">
        <v>187</v>
      </c>
      <c r="F89" s="654">
        <f>('South Africa'!M88+Namibia!M88+Zimbabwe!M88+Botswana!M88+Mozambique!M88+Zambia!M88+Lesotho!M88+Eswatini!M88)/8</f>
        <v>-0.19503546099290778</v>
      </c>
      <c r="G89" s="1644"/>
    </row>
    <row r="90" spans="1:9" ht="25.25" customHeight="1" x14ac:dyDescent="0.45">
      <c r="A90" s="1530"/>
      <c r="B90" s="1557"/>
      <c r="C90" s="1561"/>
      <c r="D90" s="52" t="s">
        <v>78</v>
      </c>
      <c r="E90" s="336" t="s">
        <v>188</v>
      </c>
      <c r="F90" s="654">
        <f>('South Africa'!M89+Namibia!M89+Zimbabwe!M89+Botswana!M89+Mozambique!M89+Zambia!M89+Lesotho!M89+Eswatini!M89)/8</f>
        <v>0.32125411958568739</v>
      </c>
      <c r="G90" s="1644"/>
    </row>
    <row r="91" spans="1:9" ht="26.45" customHeight="1" x14ac:dyDescent="0.45">
      <c r="A91" s="1530"/>
      <c r="B91" s="1557"/>
      <c r="C91" s="1561"/>
      <c r="D91" s="52" t="s">
        <v>79</v>
      </c>
      <c r="E91" s="337" t="s">
        <v>189</v>
      </c>
      <c r="F91" s="654">
        <f>('South Africa'!M90+Namibia!M90+Zimbabwe!M90+Botswana!M90+Mozambique!M90+Zambia!M90+Lesotho!M90+Eswatini!M90)/8</f>
        <v>0.21180555555555558</v>
      </c>
      <c r="G91" s="1644"/>
    </row>
    <row r="92" spans="1:9" ht="40.799999999999997" customHeight="1" thickBot="1" x14ac:dyDescent="0.5">
      <c r="A92" s="1530"/>
      <c r="B92" s="1558"/>
      <c r="C92" s="73" t="s">
        <v>161</v>
      </c>
      <c r="D92" s="74" t="s">
        <v>80</v>
      </c>
      <c r="E92" s="338" t="s">
        <v>95</v>
      </c>
      <c r="F92" s="653">
        <f>('South Africa'!M91+Namibia!M91+Zimbabwe!M91+Botswana!M91+Mozambique!M91+Zambia!M91+Lesotho!M91+Eswatini!M91)/8</f>
        <v>0.88541666666666652</v>
      </c>
      <c r="G92" s="1645"/>
    </row>
    <row r="93" spans="1:9" ht="26.65" customHeight="1" thickBot="1" x14ac:dyDescent="0.5">
      <c r="B93" s="1535" t="s">
        <v>81</v>
      </c>
      <c r="C93" s="1536"/>
      <c r="D93" s="1537"/>
      <c r="E93" s="38"/>
      <c r="F93" s="38"/>
      <c r="G93" s="1512">
        <f>('South Africa'!P92+Namibia!P92+Zimbabwe!P92+Botswana!P92+Mozambique!P92+Zambia!P92+Lesotho!P92+Eswatini!P92)/8</f>
        <v>0.22797834680584517</v>
      </c>
    </row>
    <row r="94" spans="1:9" ht="20.45" customHeight="1" thickBot="1" x14ac:dyDescent="0.5">
      <c r="B94" s="1538" t="s">
        <v>82</v>
      </c>
      <c r="C94" s="1539"/>
      <c r="D94" s="1540"/>
      <c r="E94" s="42"/>
      <c r="F94" s="42"/>
      <c r="G94" s="1512">
        <f>('South Africa'!P93+Namibia!P93+Zimbabwe!P93+Botswana!P93+Mozambique!P93+Zambia!P93+Lesotho!P93+Eswatini!P93)/8</f>
        <v>0.44717261904761901</v>
      </c>
    </row>
    <row r="95" spans="1:9" ht="34.799999999999997" customHeight="1" x14ac:dyDescent="0.45">
      <c r="A95" s="1530">
        <v>25</v>
      </c>
      <c r="B95" s="1541" t="s">
        <v>83</v>
      </c>
      <c r="C95" s="1544" t="s">
        <v>214</v>
      </c>
      <c r="D95" s="788" t="s">
        <v>269</v>
      </c>
      <c r="E95" s="339" t="s">
        <v>190</v>
      </c>
      <c r="F95" s="652">
        <f>('South Africa'!M94+Namibia!M94+Zimbabwe!M94+Botswana!M94+Mozambique!M94+Zambia!M94+Lesotho!M94+Eswatini!M94)/8</f>
        <v>0.625</v>
      </c>
      <c r="G95" s="1640">
        <f>('South Africa'!P94+Namibia!P94+Zimbabwe!P94+Botswana!P94+Mozambique!P94+Zambia!P94+Lesotho!P94+Eswatini!P94)/8</f>
        <v>0.44717261904761901</v>
      </c>
    </row>
    <row r="96" spans="1:9" ht="39.6" customHeight="1" x14ac:dyDescent="0.45">
      <c r="A96" s="1530"/>
      <c r="B96" s="1542"/>
      <c r="C96" s="1545"/>
      <c r="D96" s="88" t="s">
        <v>270</v>
      </c>
      <c r="E96" s="340" t="s">
        <v>191</v>
      </c>
      <c r="F96" s="654">
        <f>('South Africa'!M95+Namibia!M95+Zimbabwe!M95+Botswana!M95+Mozambique!M95+Zambia!M95+Lesotho!M95+Eswatini!M95)/8</f>
        <v>0.24095535714285712</v>
      </c>
      <c r="G96" s="1641"/>
    </row>
    <row r="97" spans="1:7" ht="41.45" customHeight="1" thickBot="1" x14ac:dyDescent="0.5">
      <c r="A97" s="1530"/>
      <c r="B97" s="1543"/>
      <c r="C97" s="1546"/>
      <c r="D97" s="789" t="s">
        <v>84</v>
      </c>
      <c r="E97" s="341" t="s">
        <v>95</v>
      </c>
      <c r="F97" s="653">
        <f>('South Africa'!M96+Namibia!M96+Zimbabwe!M96+Botswana!M96+Mozambique!M96+Zambia!M96+Lesotho!M96+Eswatini!M96)/8</f>
        <v>0.625</v>
      </c>
      <c r="G97" s="1642"/>
    </row>
    <row r="98" spans="1:7" ht="18" customHeight="1" thickBot="1" x14ac:dyDescent="0.5">
      <c r="B98" s="1527" t="s">
        <v>85</v>
      </c>
      <c r="C98" s="1528"/>
      <c r="D98" s="1529"/>
      <c r="E98" s="176"/>
      <c r="F98" s="783"/>
      <c r="G98" s="1512">
        <f>('South Africa'!P97+Namibia!P97+Zimbabwe!P97+Botswana!P97+Mozambique!P97+Zambia!P97+Lesotho!P97+Eswatini!P97)/8</f>
        <v>0.15491358939192054</v>
      </c>
    </row>
    <row r="99" spans="1:7" ht="29.45" customHeight="1" thickBot="1" x14ac:dyDescent="0.5">
      <c r="A99" s="425">
        <v>26</v>
      </c>
      <c r="B99" s="75" t="s">
        <v>86</v>
      </c>
      <c r="C99" s="75" t="s">
        <v>215</v>
      </c>
      <c r="D99" s="76" t="s">
        <v>291</v>
      </c>
      <c r="E99" s="342" t="s">
        <v>95</v>
      </c>
      <c r="F99" s="156">
        <f>('South Africa'!M98+Namibia!M98+Zimbabwe!M98+Botswana!M98+Mozambique!M98+Zambia!M98+Lesotho!M98+Eswatini!M98)/8</f>
        <v>9.1463414634146367E-2</v>
      </c>
      <c r="G99" s="1512">
        <f>('South Africa'!P98+Namibia!P98+Zimbabwe!P98+Botswana!P98+Mozambique!P98+Zambia!P98+Lesotho!P98+Eswatini!P98)/8</f>
        <v>9.1463414634146367E-2</v>
      </c>
    </row>
    <row r="100" spans="1:7" ht="35.25" thickBot="1" x14ac:dyDescent="0.5">
      <c r="A100" s="425">
        <v>27</v>
      </c>
      <c r="B100" s="75" t="s">
        <v>87</v>
      </c>
      <c r="C100" s="75" t="s">
        <v>216</v>
      </c>
      <c r="D100" s="76" t="s">
        <v>271</v>
      </c>
      <c r="E100" s="342" t="s">
        <v>192</v>
      </c>
      <c r="F100" s="792">
        <f>('South Africa'!M99+Namibia!M99+Zimbabwe!M99+Botswana!M99+Mozambique!M99+Zambia!M99+Lesotho!M99+Eswatini!M99)/8</f>
        <v>-5.4109380658027749E-2</v>
      </c>
      <c r="G100" s="1512">
        <f>('South Africa'!P99+Namibia!P99+Zimbabwe!P99+Botswana!P99+Mozambique!P99+Zambia!P99+Lesotho!P99+Eswatini!P99)/8</f>
        <v>3.6468157985477256E-2</v>
      </c>
    </row>
    <row r="101" spans="1:7" ht="30.4" x14ac:dyDescent="0.45">
      <c r="A101" s="1530">
        <v>28</v>
      </c>
      <c r="B101" s="1531" t="s">
        <v>88</v>
      </c>
      <c r="C101" s="1531" t="s">
        <v>217</v>
      </c>
      <c r="D101" s="60" t="s">
        <v>89</v>
      </c>
      <c r="E101" s="343" t="s">
        <v>193</v>
      </c>
      <c r="F101" s="652">
        <f>('South Africa'!M100+Namibia!M100+Zimbabwe!M100+Botswana!M100+Mozambique!M100+Zambia!M100+Lesotho!M100+Eswatini!M100)/8</f>
        <v>0.72177624872579016</v>
      </c>
      <c r="G101" s="1616">
        <f>('South Africa'!P100+Namibia!P100+Zimbabwe!P100+Botswana!P100+Mozambique!P100+Zambia!P100+Lesotho!P100+Eswatini!P100)/8</f>
        <v>0.33680919555613797</v>
      </c>
    </row>
    <row r="102" spans="1:7" ht="38.450000000000003" customHeight="1" thickBot="1" x14ac:dyDescent="0.5">
      <c r="A102" s="1530"/>
      <c r="B102" s="1532"/>
      <c r="C102" s="1532"/>
      <c r="D102" s="789" t="s">
        <v>90</v>
      </c>
      <c r="E102" s="344" t="s">
        <v>95</v>
      </c>
      <c r="F102" s="653">
        <f>('South Africa'!M101+Namibia!M101+Zimbabwe!M101+Botswana!M101+Mozambique!M101+Zambia!M101+Lesotho!M101+Eswatini!M101)/8</f>
        <v>0</v>
      </c>
      <c r="G102" s="1617"/>
    </row>
    <row r="104" spans="1:7" x14ac:dyDescent="0.5">
      <c r="B104" s="19"/>
    </row>
    <row r="107" spans="1:7" x14ac:dyDescent="0.5">
      <c r="B107" s="19"/>
    </row>
    <row r="108" spans="1:7" x14ac:dyDescent="0.5">
      <c r="B108" s="20"/>
    </row>
  </sheetData>
  <mergeCells count="85">
    <mergeCell ref="B93:D93"/>
    <mergeCell ref="A101:A102"/>
    <mergeCell ref="B101:B102"/>
    <mergeCell ref="C101:C102"/>
    <mergeCell ref="G101:G102"/>
    <mergeCell ref="B94:D94"/>
    <mergeCell ref="A95:A97"/>
    <mergeCell ref="B95:B97"/>
    <mergeCell ref="C95:C97"/>
    <mergeCell ref="G95:G97"/>
    <mergeCell ref="B98:D98"/>
    <mergeCell ref="A88:A92"/>
    <mergeCell ref="B88:B92"/>
    <mergeCell ref="G88:G92"/>
    <mergeCell ref="C89:C91"/>
    <mergeCell ref="B87:D87"/>
    <mergeCell ref="G54:G59"/>
    <mergeCell ref="C58:C59"/>
    <mergeCell ref="B78:D78"/>
    <mergeCell ref="B61:D61"/>
    <mergeCell ref="B70:D70"/>
    <mergeCell ref="B71:D71"/>
    <mergeCell ref="B73:D73"/>
    <mergeCell ref="B75:D75"/>
    <mergeCell ref="B77:D77"/>
    <mergeCell ref="B60:D60"/>
    <mergeCell ref="B80:D80"/>
    <mergeCell ref="B81:D81"/>
    <mergeCell ref="B82:B83"/>
    <mergeCell ref="G82:G83"/>
    <mergeCell ref="B84:B86"/>
    <mergeCell ref="G84:G86"/>
    <mergeCell ref="A62:A67"/>
    <mergeCell ref="B62:B67"/>
    <mergeCell ref="G62:G67"/>
    <mergeCell ref="C65:C67"/>
    <mergeCell ref="B68:D68"/>
    <mergeCell ref="A54:A59"/>
    <mergeCell ref="B54:B59"/>
    <mergeCell ref="G49:G50"/>
    <mergeCell ref="B51:D51"/>
    <mergeCell ref="A42:A43"/>
    <mergeCell ref="B42:B43"/>
    <mergeCell ref="G42:G43"/>
    <mergeCell ref="B44:D44"/>
    <mergeCell ref="A45:A46"/>
    <mergeCell ref="B45:B46"/>
    <mergeCell ref="G45:G46"/>
    <mergeCell ref="B47:D47"/>
    <mergeCell ref="B48:D48"/>
    <mergeCell ref="A49:A50"/>
    <mergeCell ref="B49:B50"/>
    <mergeCell ref="B53:D53"/>
    <mergeCell ref="B41:D41"/>
    <mergeCell ref="B24:D24"/>
    <mergeCell ref="A25:A28"/>
    <mergeCell ref="B25:B32"/>
    <mergeCell ref="G25:G32"/>
    <mergeCell ref="C26:C28"/>
    <mergeCell ref="C29:C31"/>
    <mergeCell ref="B33:D33"/>
    <mergeCell ref="B38:D38"/>
    <mergeCell ref="A39:A40"/>
    <mergeCell ref="B39:B40"/>
    <mergeCell ref="G39:G40"/>
    <mergeCell ref="A20:A23"/>
    <mergeCell ref="B20:B23"/>
    <mergeCell ref="G20:G23"/>
    <mergeCell ref="A12:A13"/>
    <mergeCell ref="B12:B13"/>
    <mergeCell ref="G12:G13"/>
    <mergeCell ref="A14:A15"/>
    <mergeCell ref="B14:B15"/>
    <mergeCell ref="G14:G15"/>
    <mergeCell ref="A16:A18"/>
    <mergeCell ref="B16:B18"/>
    <mergeCell ref="C16:C18"/>
    <mergeCell ref="G16:G18"/>
    <mergeCell ref="B19:D19"/>
    <mergeCell ref="B11:D11"/>
    <mergeCell ref="B2:G2"/>
    <mergeCell ref="C4:D4"/>
    <mergeCell ref="B5:D5"/>
    <mergeCell ref="B8:D8"/>
    <mergeCell ref="B10:D10"/>
  </mergeCells>
  <conditionalFormatting sqref="G20:G23 G54 G12:G15 G39:G40">
    <cfRule type="colorScale" priority="894">
      <colorScale>
        <cfvo type="num" val="0"/>
        <cfvo type="num" val="0.6"/>
        <cfvo type="num" val="1"/>
        <color rgb="FFFF0000"/>
        <color rgb="FFFFFF00"/>
        <color rgb="FF92FB4B"/>
      </colorScale>
    </cfRule>
  </conditionalFormatting>
  <conditionalFormatting sqref="G16:G18">
    <cfRule type="colorScale" priority="893">
      <colorScale>
        <cfvo type="num" val="0"/>
        <cfvo type="num" val="0.6"/>
        <cfvo type="num" val="1"/>
        <color rgb="FFFF0000"/>
        <color rgb="FFFFFF00"/>
        <color rgb="FF92FB4B"/>
      </colorScale>
    </cfRule>
  </conditionalFormatting>
  <conditionalFormatting sqref="G25:G28">
    <cfRule type="colorScale" priority="892">
      <colorScale>
        <cfvo type="num" val="0"/>
        <cfvo type="num" val="0.6"/>
        <cfvo type="num" val="1"/>
        <color rgb="FFFF0000"/>
        <color rgb="FFFFFF00"/>
        <color rgb="FF92FB4B"/>
      </colorScale>
    </cfRule>
  </conditionalFormatting>
  <conditionalFormatting sqref="G88">
    <cfRule type="colorScale" priority="881">
      <colorScale>
        <cfvo type="num" val="0"/>
        <cfvo type="num" val="0.6"/>
        <cfvo type="num" val="1"/>
        <color rgb="FFFF0000"/>
        <color rgb="FFFFFF00"/>
        <color rgb="FF92FB4B"/>
      </colorScale>
    </cfRule>
  </conditionalFormatting>
  <conditionalFormatting sqref="G4">
    <cfRule type="colorScale" priority="854">
      <colorScale>
        <cfvo type="num" val="0"/>
        <cfvo type="num" val="0.6"/>
        <cfvo type="num" val="1"/>
        <color rgb="FFFF0000"/>
        <color rgb="FFFFFF00"/>
        <color rgb="FF92FB4B"/>
      </colorScale>
    </cfRule>
  </conditionalFormatting>
  <conditionalFormatting sqref="G6">
    <cfRule type="colorScale" priority="846">
      <colorScale>
        <cfvo type="num" val="0"/>
        <cfvo type="num" val="0.6"/>
        <cfvo type="num" val="1"/>
        <color rgb="FFFF0000"/>
        <color rgb="FFFFFF00"/>
        <color rgb="FF92FB4B"/>
      </colorScale>
    </cfRule>
  </conditionalFormatting>
  <conditionalFormatting sqref="F12:F18">
    <cfRule type="colorScale" priority="845">
      <colorScale>
        <cfvo type="num" val="0"/>
        <cfvo type="num" val="0.6"/>
        <cfvo type="num" val="1"/>
        <color rgb="FFFF0000"/>
        <color rgb="FFFFFF00"/>
        <color rgb="FF92FB4B"/>
      </colorScale>
    </cfRule>
  </conditionalFormatting>
  <conditionalFormatting sqref="G10">
    <cfRule type="colorScale" priority="626">
      <colorScale>
        <cfvo type="num" val="0"/>
        <cfvo type="num" val="0.6"/>
        <cfvo type="num" val="1"/>
        <color rgb="FFFF0000"/>
        <color rgb="FFFFFF00"/>
        <color rgb="FF92FB4B"/>
      </colorScale>
    </cfRule>
  </conditionalFormatting>
  <conditionalFormatting sqref="G11">
    <cfRule type="colorScale" priority="316">
      <colorScale>
        <cfvo type="num" val="0"/>
        <cfvo type="num" val="0.6"/>
        <cfvo type="num" val="1"/>
        <color rgb="FFFF0000"/>
        <color rgb="FFFFFF00"/>
        <color rgb="FF92FB4B"/>
      </colorScale>
    </cfRule>
  </conditionalFormatting>
  <conditionalFormatting sqref="F21">
    <cfRule type="colorScale" priority="163">
      <colorScale>
        <cfvo type="num" val="0"/>
        <cfvo type="num" val="0.6"/>
        <cfvo type="num" val="1"/>
        <color rgb="FFFF0000"/>
        <color rgb="FFFFFF00"/>
        <color rgb="FF92FB4B"/>
      </colorScale>
    </cfRule>
  </conditionalFormatting>
  <conditionalFormatting sqref="F52">
    <cfRule type="colorScale" priority="139">
      <colorScale>
        <cfvo type="num" val="0"/>
        <cfvo type="num" val="0.6"/>
        <cfvo type="num" val="1"/>
        <color rgb="FFFF0000"/>
        <color rgb="FFFFFF00"/>
        <color rgb="FF92FB4B"/>
      </colorScale>
    </cfRule>
  </conditionalFormatting>
  <conditionalFormatting sqref="G42:G43">
    <cfRule type="colorScale" priority="102">
      <colorScale>
        <cfvo type="num" val="0"/>
        <cfvo type="num" val="0.6"/>
        <cfvo type="num" val="1"/>
        <color rgb="FFFF0000"/>
        <color rgb="FFFFFF00"/>
        <color rgb="FF92FB4B"/>
      </colorScale>
    </cfRule>
  </conditionalFormatting>
  <conditionalFormatting sqref="G45:G46">
    <cfRule type="colorScale" priority="101">
      <colorScale>
        <cfvo type="num" val="0"/>
        <cfvo type="num" val="0.6"/>
        <cfvo type="num" val="1"/>
        <color rgb="FFFF0000"/>
        <color rgb="FFFFFF00"/>
        <color rgb="FF92FB4B"/>
      </colorScale>
    </cfRule>
  </conditionalFormatting>
  <conditionalFormatting sqref="G49:G50">
    <cfRule type="colorScale" priority="100">
      <colorScale>
        <cfvo type="num" val="0"/>
        <cfvo type="num" val="0.6"/>
        <cfvo type="num" val="1"/>
        <color rgb="FFFF0000"/>
        <color rgb="FFFFFF00"/>
        <color rgb="FF92FB4B"/>
      </colorScale>
    </cfRule>
  </conditionalFormatting>
  <conditionalFormatting sqref="G82:G83">
    <cfRule type="colorScale" priority="99">
      <colorScale>
        <cfvo type="num" val="0"/>
        <cfvo type="num" val="0.6"/>
        <cfvo type="num" val="1"/>
        <color rgb="FFFF0000"/>
        <color rgb="FFFFFF00"/>
        <color rgb="FF92FB4B"/>
      </colorScale>
    </cfRule>
  </conditionalFormatting>
  <conditionalFormatting sqref="G101:G102">
    <cfRule type="colorScale" priority="98">
      <colorScale>
        <cfvo type="num" val="0"/>
        <cfvo type="num" val="0.6"/>
        <cfvo type="num" val="1"/>
        <color rgb="FFFF0000"/>
        <color rgb="FFFFFF00"/>
        <color rgb="FF92FB4B"/>
      </colorScale>
    </cfRule>
  </conditionalFormatting>
  <conditionalFormatting sqref="G84:G86">
    <cfRule type="colorScale" priority="97">
      <colorScale>
        <cfvo type="num" val="0"/>
        <cfvo type="num" val="0.6"/>
        <cfvo type="num" val="1"/>
        <color rgb="FFFF0000"/>
        <color rgb="FFFFFF00"/>
        <color rgb="FF92FB4B"/>
      </colorScale>
    </cfRule>
  </conditionalFormatting>
  <conditionalFormatting sqref="G95:G97">
    <cfRule type="colorScale" priority="96">
      <colorScale>
        <cfvo type="num" val="0"/>
        <cfvo type="num" val="0.6"/>
        <cfvo type="num" val="1"/>
        <color rgb="FFFF0000"/>
        <color rgb="FFFFFF00"/>
        <color rgb="FF92FB4B"/>
      </colorScale>
    </cfRule>
  </conditionalFormatting>
  <conditionalFormatting sqref="G19">
    <cfRule type="colorScale" priority="95">
      <colorScale>
        <cfvo type="num" val="0"/>
        <cfvo type="num" val="0.6"/>
        <cfvo type="num" val="1"/>
        <color rgb="FFFF0000"/>
        <color rgb="FFFFFF00"/>
        <color rgb="FF92FB4B"/>
      </colorScale>
    </cfRule>
  </conditionalFormatting>
  <conditionalFormatting sqref="G24">
    <cfRule type="colorScale" priority="94">
      <colorScale>
        <cfvo type="num" val="0"/>
        <cfvo type="num" val="0.6"/>
        <cfvo type="num" val="1"/>
        <color rgb="FFFF0000"/>
        <color rgb="FFFFFF00"/>
        <color rgb="FF92FB4B"/>
      </colorScale>
    </cfRule>
  </conditionalFormatting>
  <conditionalFormatting sqref="G33">
    <cfRule type="colorScale" priority="93">
      <colorScale>
        <cfvo type="num" val="0"/>
        <cfvo type="num" val="0.6"/>
        <cfvo type="num" val="1"/>
        <color rgb="FFFF0000"/>
        <color rgb="FFFFFF00"/>
        <color rgb="FF92FB4B"/>
      </colorScale>
    </cfRule>
  </conditionalFormatting>
  <conditionalFormatting sqref="G34">
    <cfRule type="colorScale" priority="92">
      <colorScale>
        <cfvo type="num" val="0"/>
        <cfvo type="num" val="0.6"/>
        <cfvo type="num" val="1"/>
        <color rgb="FFFF0000"/>
        <color rgb="FFFFFF00"/>
        <color rgb="FF92FB4B"/>
      </colorScale>
    </cfRule>
  </conditionalFormatting>
  <conditionalFormatting sqref="G35">
    <cfRule type="colorScale" priority="91">
      <colorScale>
        <cfvo type="num" val="0"/>
        <cfvo type="num" val="0.6"/>
        <cfvo type="num" val="1"/>
        <color rgb="FFFF0000"/>
        <color rgb="FFFFFF00"/>
        <color rgb="FF92FB4B"/>
      </colorScale>
    </cfRule>
  </conditionalFormatting>
  <conditionalFormatting sqref="G36">
    <cfRule type="colorScale" priority="90">
      <colorScale>
        <cfvo type="num" val="0"/>
        <cfvo type="num" val="0.6"/>
        <cfvo type="num" val="1"/>
        <color rgb="FFFF0000"/>
        <color rgb="FFFFFF00"/>
        <color rgb="FF92FB4B"/>
      </colorScale>
    </cfRule>
  </conditionalFormatting>
  <conditionalFormatting sqref="G37">
    <cfRule type="colorScale" priority="89">
      <colorScale>
        <cfvo type="num" val="0"/>
        <cfvo type="num" val="0.6"/>
        <cfvo type="num" val="1"/>
        <color rgb="FFFF0000"/>
        <color rgb="FFFFFF00"/>
        <color rgb="FF92FB4B"/>
      </colorScale>
    </cfRule>
  </conditionalFormatting>
  <conditionalFormatting sqref="G38">
    <cfRule type="colorScale" priority="88">
      <colorScale>
        <cfvo type="num" val="0"/>
        <cfvo type="num" val="0.6"/>
        <cfvo type="num" val="1"/>
        <color rgb="FFFF0000"/>
        <color rgb="FFFFFF00"/>
        <color rgb="FF92FB4B"/>
      </colorScale>
    </cfRule>
  </conditionalFormatting>
  <conditionalFormatting sqref="G41">
    <cfRule type="colorScale" priority="87">
      <colorScale>
        <cfvo type="num" val="0"/>
        <cfvo type="num" val="0.6"/>
        <cfvo type="num" val="1"/>
        <color rgb="FFFF0000"/>
        <color rgb="FFFFFF00"/>
        <color rgb="FF92FB4B"/>
      </colorScale>
    </cfRule>
  </conditionalFormatting>
  <conditionalFormatting sqref="G44">
    <cfRule type="colorScale" priority="86">
      <colorScale>
        <cfvo type="num" val="0"/>
        <cfvo type="num" val="0.6"/>
        <cfvo type="num" val="1"/>
        <color rgb="FFFF0000"/>
        <color rgb="FFFFFF00"/>
        <color rgb="FF92FB4B"/>
      </colorScale>
    </cfRule>
  </conditionalFormatting>
  <conditionalFormatting sqref="G47">
    <cfRule type="colorScale" priority="85">
      <colorScale>
        <cfvo type="num" val="0"/>
        <cfvo type="num" val="0.6"/>
        <cfvo type="num" val="1"/>
        <color rgb="FFFF0000"/>
        <color rgb="FFFFFF00"/>
        <color rgb="FF92FB4B"/>
      </colorScale>
    </cfRule>
  </conditionalFormatting>
  <conditionalFormatting sqref="G48">
    <cfRule type="colorScale" priority="84">
      <colorScale>
        <cfvo type="num" val="0"/>
        <cfvo type="num" val="0.6"/>
        <cfvo type="num" val="1"/>
        <color rgb="FFFF0000"/>
        <color rgb="FFFFFF00"/>
        <color rgb="FF92FB4B"/>
      </colorScale>
    </cfRule>
  </conditionalFormatting>
  <conditionalFormatting sqref="G51">
    <cfRule type="colorScale" priority="83">
      <colorScale>
        <cfvo type="num" val="0"/>
        <cfvo type="num" val="0.6"/>
        <cfvo type="num" val="1"/>
        <color rgb="FFFF0000"/>
        <color rgb="FFFFFF00"/>
        <color rgb="FF92FB4B"/>
      </colorScale>
    </cfRule>
  </conditionalFormatting>
  <conditionalFormatting sqref="G52">
    <cfRule type="colorScale" priority="82">
      <colorScale>
        <cfvo type="num" val="0"/>
        <cfvo type="num" val="0.6"/>
        <cfvo type="num" val="1"/>
        <color rgb="FFFF0000"/>
        <color rgb="FFFFFF00"/>
        <color rgb="FF92FB4B"/>
      </colorScale>
    </cfRule>
  </conditionalFormatting>
  <conditionalFormatting sqref="G53">
    <cfRule type="colorScale" priority="81">
      <colorScale>
        <cfvo type="num" val="0"/>
        <cfvo type="num" val="0.6"/>
        <cfvo type="num" val="1"/>
        <color rgb="FFFF0000"/>
        <color rgb="FFFFFF00"/>
        <color rgb="FF92FB4B"/>
      </colorScale>
    </cfRule>
  </conditionalFormatting>
  <conditionalFormatting sqref="G60">
    <cfRule type="colorScale" priority="80">
      <colorScale>
        <cfvo type="num" val="0"/>
        <cfvo type="num" val="0.6"/>
        <cfvo type="num" val="1"/>
        <color rgb="FFFF0000"/>
        <color rgb="FFFFFF00"/>
        <color rgb="FF92FB4B"/>
      </colorScale>
    </cfRule>
  </conditionalFormatting>
  <conditionalFormatting sqref="G61">
    <cfRule type="colorScale" priority="79">
      <colorScale>
        <cfvo type="num" val="0"/>
        <cfvo type="num" val="0.6"/>
        <cfvo type="num" val="1"/>
        <color rgb="FFFF0000"/>
        <color rgb="FFFFFF00"/>
        <color rgb="FF92FB4B"/>
      </colorScale>
    </cfRule>
  </conditionalFormatting>
  <conditionalFormatting sqref="G68">
    <cfRule type="colorScale" priority="78">
      <colorScale>
        <cfvo type="num" val="0"/>
        <cfvo type="num" val="0.6"/>
        <cfvo type="num" val="1"/>
        <color rgb="FFFF0000"/>
        <color rgb="FFFFFF00"/>
        <color rgb="FF92FB4B"/>
      </colorScale>
    </cfRule>
  </conditionalFormatting>
  <conditionalFormatting sqref="G69">
    <cfRule type="colorScale" priority="77">
      <colorScale>
        <cfvo type="num" val="0"/>
        <cfvo type="num" val="0.6"/>
        <cfvo type="num" val="1"/>
        <color rgb="FFFF0000"/>
        <color rgb="FFFFFF00"/>
        <color rgb="FF92FB4B"/>
      </colorScale>
    </cfRule>
  </conditionalFormatting>
  <conditionalFormatting sqref="G70">
    <cfRule type="colorScale" priority="76">
      <colorScale>
        <cfvo type="num" val="0"/>
        <cfvo type="num" val="0.6"/>
        <cfvo type="num" val="1"/>
        <color rgb="FFFF0000"/>
        <color rgb="FFFFFF00"/>
        <color rgb="FF92FB4B"/>
      </colorScale>
    </cfRule>
  </conditionalFormatting>
  <conditionalFormatting sqref="G71">
    <cfRule type="colorScale" priority="75">
      <colorScale>
        <cfvo type="num" val="0"/>
        <cfvo type="num" val="0.6"/>
        <cfvo type="num" val="1"/>
        <color rgb="FFFF0000"/>
        <color rgb="FFFFFF00"/>
        <color rgb="FF92FB4B"/>
      </colorScale>
    </cfRule>
  </conditionalFormatting>
  <conditionalFormatting sqref="G72">
    <cfRule type="colorScale" priority="74">
      <colorScale>
        <cfvo type="num" val="0"/>
        <cfvo type="num" val="0.6"/>
        <cfvo type="num" val="1"/>
        <color rgb="FFFF0000"/>
        <color rgb="FFFFFF00"/>
        <color rgb="FF92FB4B"/>
      </colorScale>
    </cfRule>
  </conditionalFormatting>
  <conditionalFormatting sqref="G73">
    <cfRule type="colorScale" priority="73">
      <colorScale>
        <cfvo type="num" val="0"/>
        <cfvo type="num" val="0.6"/>
        <cfvo type="num" val="1"/>
        <color rgb="FFFF0000"/>
        <color rgb="FFFFFF00"/>
        <color rgb="FF92FB4B"/>
      </colorScale>
    </cfRule>
  </conditionalFormatting>
  <conditionalFormatting sqref="G74">
    <cfRule type="colorScale" priority="72">
      <colorScale>
        <cfvo type="num" val="0"/>
        <cfvo type="num" val="0.6"/>
        <cfvo type="num" val="1"/>
        <color rgb="FFFF0000"/>
        <color rgb="FFFFFF00"/>
        <color rgb="FF92FB4B"/>
      </colorScale>
    </cfRule>
  </conditionalFormatting>
  <conditionalFormatting sqref="G75">
    <cfRule type="colorScale" priority="71">
      <colorScale>
        <cfvo type="num" val="0"/>
        <cfvo type="num" val="0.6"/>
        <cfvo type="num" val="1"/>
        <color rgb="FFFF0000"/>
        <color rgb="FFFFFF00"/>
        <color rgb="FF92FB4B"/>
      </colorScale>
    </cfRule>
  </conditionalFormatting>
  <conditionalFormatting sqref="G76">
    <cfRule type="colorScale" priority="70">
      <colorScale>
        <cfvo type="num" val="0"/>
        <cfvo type="num" val="0.6"/>
        <cfvo type="num" val="1"/>
        <color rgb="FFFF0000"/>
        <color rgb="FFFFFF00"/>
        <color rgb="FF92FB4B"/>
      </colorScale>
    </cfRule>
  </conditionalFormatting>
  <conditionalFormatting sqref="G77">
    <cfRule type="colorScale" priority="69">
      <colorScale>
        <cfvo type="num" val="0"/>
        <cfvo type="num" val="0.6"/>
        <cfvo type="num" val="1"/>
        <color rgb="FFFF0000"/>
        <color rgb="FFFFFF00"/>
        <color rgb="FF92FB4B"/>
      </colorScale>
    </cfRule>
  </conditionalFormatting>
  <conditionalFormatting sqref="G78">
    <cfRule type="colorScale" priority="68">
      <colorScale>
        <cfvo type="num" val="0"/>
        <cfvo type="num" val="0.6"/>
        <cfvo type="num" val="1"/>
        <color rgb="FFFF0000"/>
        <color rgb="FFFFFF00"/>
        <color rgb="FF92FB4B"/>
      </colorScale>
    </cfRule>
  </conditionalFormatting>
  <conditionalFormatting sqref="G79">
    <cfRule type="colorScale" priority="67">
      <colorScale>
        <cfvo type="num" val="0"/>
        <cfvo type="num" val="0.6"/>
        <cfvo type="num" val="1"/>
        <color rgb="FFFF0000"/>
        <color rgb="FFFFFF00"/>
        <color rgb="FF92FB4B"/>
      </colorScale>
    </cfRule>
  </conditionalFormatting>
  <conditionalFormatting sqref="G80">
    <cfRule type="colorScale" priority="66">
      <colorScale>
        <cfvo type="num" val="0"/>
        <cfvo type="num" val="0.6"/>
        <cfvo type="num" val="1"/>
        <color rgb="FFFF0000"/>
        <color rgb="FFFFFF00"/>
        <color rgb="FF92FB4B"/>
      </colorScale>
    </cfRule>
  </conditionalFormatting>
  <conditionalFormatting sqref="G81">
    <cfRule type="colorScale" priority="65">
      <colorScale>
        <cfvo type="num" val="0"/>
        <cfvo type="num" val="0.6"/>
        <cfvo type="num" val="1"/>
        <color rgb="FFFF0000"/>
        <color rgb="FFFFFF00"/>
        <color rgb="FF92FB4B"/>
      </colorScale>
    </cfRule>
  </conditionalFormatting>
  <conditionalFormatting sqref="G87">
    <cfRule type="colorScale" priority="64">
      <colorScale>
        <cfvo type="num" val="0"/>
        <cfvo type="num" val="0.6"/>
        <cfvo type="num" val="1"/>
        <color rgb="FFFF0000"/>
        <color rgb="FFFFFF00"/>
        <color rgb="FF92FB4B"/>
      </colorScale>
    </cfRule>
  </conditionalFormatting>
  <conditionalFormatting sqref="G93">
    <cfRule type="colorScale" priority="63">
      <colorScale>
        <cfvo type="num" val="0"/>
        <cfvo type="num" val="0.6"/>
        <cfvo type="num" val="1"/>
        <color rgb="FFFF0000"/>
        <color rgb="FFFFFF00"/>
        <color rgb="FF92FB4B"/>
      </colorScale>
    </cfRule>
  </conditionalFormatting>
  <conditionalFormatting sqref="G94">
    <cfRule type="colorScale" priority="62">
      <colorScale>
        <cfvo type="num" val="0"/>
        <cfvo type="num" val="0.6"/>
        <cfvo type="num" val="1"/>
        <color rgb="FFFF0000"/>
        <color rgb="FFFFFF00"/>
        <color rgb="FF92FB4B"/>
      </colorScale>
    </cfRule>
  </conditionalFormatting>
  <conditionalFormatting sqref="G98">
    <cfRule type="colorScale" priority="61">
      <colorScale>
        <cfvo type="num" val="0"/>
        <cfvo type="num" val="0.6"/>
        <cfvo type="num" val="1"/>
        <color rgb="FFFF0000"/>
        <color rgb="FFFFFF00"/>
        <color rgb="FF92FB4B"/>
      </colorScale>
    </cfRule>
  </conditionalFormatting>
  <conditionalFormatting sqref="G99">
    <cfRule type="colorScale" priority="60">
      <colorScale>
        <cfvo type="num" val="0"/>
        <cfvo type="num" val="0.6"/>
        <cfvo type="num" val="1"/>
        <color rgb="FFFF0000"/>
        <color rgb="FFFFFF00"/>
        <color rgb="FF92FB4B"/>
      </colorScale>
    </cfRule>
  </conditionalFormatting>
  <conditionalFormatting sqref="G100">
    <cfRule type="colorScale" priority="59">
      <colorScale>
        <cfvo type="num" val="0"/>
        <cfvo type="num" val="0.6"/>
        <cfvo type="num" val="1"/>
        <color rgb="FFFF0000"/>
        <color rgb="FFFFFF00"/>
        <color rgb="FF92FB4B"/>
      </colorScale>
    </cfRule>
  </conditionalFormatting>
  <conditionalFormatting sqref="G62">
    <cfRule type="colorScale" priority="58">
      <colorScale>
        <cfvo type="num" val="0"/>
        <cfvo type="num" val="0.6"/>
        <cfvo type="num" val="1"/>
        <color rgb="FFFF0000"/>
        <color rgb="FFFFFF00"/>
        <color rgb="FF92FB4B"/>
      </colorScale>
    </cfRule>
  </conditionalFormatting>
  <conditionalFormatting sqref="F20">
    <cfRule type="colorScale" priority="57">
      <colorScale>
        <cfvo type="num" val="0"/>
        <cfvo type="num" val="0.6"/>
        <cfvo type="num" val="1"/>
        <color rgb="FFFF0000"/>
        <color rgb="FFFFFF00"/>
        <color rgb="FF92FB4B"/>
      </colorScale>
    </cfRule>
  </conditionalFormatting>
  <conditionalFormatting sqref="F22">
    <cfRule type="colorScale" priority="56">
      <colorScale>
        <cfvo type="num" val="0"/>
        <cfvo type="num" val="0.6"/>
        <cfvo type="num" val="1"/>
        <color rgb="FFFF0000"/>
        <color rgb="FFFFFF00"/>
        <color rgb="FF92FB4B"/>
      </colorScale>
    </cfRule>
  </conditionalFormatting>
  <conditionalFormatting sqref="F23">
    <cfRule type="colorScale" priority="55">
      <colorScale>
        <cfvo type="num" val="0"/>
        <cfvo type="num" val="0.6"/>
        <cfvo type="num" val="1"/>
        <color rgb="FFFF0000"/>
        <color rgb="FFFFFF00"/>
        <color rgb="FF92FB4B"/>
      </colorScale>
    </cfRule>
  </conditionalFormatting>
  <conditionalFormatting sqref="F25">
    <cfRule type="colorScale" priority="54">
      <colorScale>
        <cfvo type="num" val="0"/>
        <cfvo type="num" val="0.6"/>
        <cfvo type="num" val="1"/>
        <color rgb="FFFF0000"/>
        <color rgb="FFFFFF00"/>
        <color rgb="FF92FB4B"/>
      </colorScale>
    </cfRule>
  </conditionalFormatting>
  <conditionalFormatting sqref="F26">
    <cfRule type="colorScale" priority="53">
      <colorScale>
        <cfvo type="num" val="0"/>
        <cfvo type="num" val="0.6"/>
        <cfvo type="num" val="1"/>
        <color rgb="FFFF0000"/>
        <color rgb="FFFFFF00"/>
        <color rgb="FF92FB4B"/>
      </colorScale>
    </cfRule>
  </conditionalFormatting>
  <conditionalFormatting sqref="F27">
    <cfRule type="colorScale" priority="52">
      <colorScale>
        <cfvo type="num" val="0"/>
        <cfvo type="num" val="0.6"/>
        <cfvo type="num" val="1"/>
        <color rgb="FFFF0000"/>
        <color rgb="FFFFFF00"/>
        <color rgb="FF92FB4B"/>
      </colorScale>
    </cfRule>
  </conditionalFormatting>
  <conditionalFormatting sqref="F28">
    <cfRule type="colorScale" priority="51">
      <colorScale>
        <cfvo type="num" val="0"/>
        <cfvo type="num" val="0.6"/>
        <cfvo type="num" val="1"/>
        <color rgb="FFFF0000"/>
        <color rgb="FFFFFF00"/>
        <color rgb="FF92FB4B"/>
      </colorScale>
    </cfRule>
  </conditionalFormatting>
  <conditionalFormatting sqref="F29">
    <cfRule type="colorScale" priority="50">
      <colorScale>
        <cfvo type="num" val="0"/>
        <cfvo type="num" val="0.6"/>
        <cfvo type="num" val="1"/>
        <color rgb="FFFF0000"/>
        <color rgb="FFFFFF00"/>
        <color rgb="FF92FB4B"/>
      </colorScale>
    </cfRule>
  </conditionalFormatting>
  <conditionalFormatting sqref="F30">
    <cfRule type="colorScale" priority="49">
      <colorScale>
        <cfvo type="num" val="0"/>
        <cfvo type="num" val="0.6"/>
        <cfvo type="num" val="1"/>
        <color rgb="FFFF0000"/>
        <color rgb="FFFFFF00"/>
        <color rgb="FF92FB4B"/>
      </colorScale>
    </cfRule>
  </conditionalFormatting>
  <conditionalFormatting sqref="F31">
    <cfRule type="colorScale" priority="48">
      <colorScale>
        <cfvo type="num" val="0"/>
        <cfvo type="num" val="0.6"/>
        <cfvo type="num" val="1"/>
        <color rgb="FFFF0000"/>
        <color rgb="FFFFFF00"/>
        <color rgb="FF92FB4B"/>
      </colorScale>
    </cfRule>
  </conditionalFormatting>
  <conditionalFormatting sqref="F32">
    <cfRule type="colorScale" priority="47">
      <colorScale>
        <cfvo type="num" val="0"/>
        <cfvo type="num" val="0.6"/>
        <cfvo type="num" val="1"/>
        <color rgb="FFFF0000"/>
        <color rgb="FFFFFF00"/>
        <color rgb="FF92FB4B"/>
      </colorScale>
    </cfRule>
  </conditionalFormatting>
  <conditionalFormatting sqref="F34">
    <cfRule type="colorScale" priority="46">
      <colorScale>
        <cfvo type="num" val="0"/>
        <cfvo type="num" val="0.6"/>
        <cfvo type="num" val="1"/>
        <color rgb="FFFF0000"/>
        <color rgb="FFFFFF00"/>
        <color rgb="FF92FB4B"/>
      </colorScale>
    </cfRule>
  </conditionalFormatting>
  <conditionalFormatting sqref="F35">
    <cfRule type="colorScale" priority="45">
      <colorScale>
        <cfvo type="num" val="0"/>
        <cfvo type="num" val="0.6"/>
        <cfvo type="num" val="1"/>
        <color rgb="FFFF0000"/>
        <color rgb="FFFFFF00"/>
        <color rgb="FF92FB4B"/>
      </colorScale>
    </cfRule>
  </conditionalFormatting>
  <conditionalFormatting sqref="F36">
    <cfRule type="colorScale" priority="44">
      <colorScale>
        <cfvo type="num" val="0"/>
        <cfvo type="num" val="0.6"/>
        <cfvo type="num" val="1"/>
        <color rgb="FFFF0000"/>
        <color rgb="FFFFFF00"/>
        <color rgb="FF92FB4B"/>
      </colorScale>
    </cfRule>
  </conditionalFormatting>
  <conditionalFormatting sqref="F37">
    <cfRule type="colorScale" priority="43">
      <colorScale>
        <cfvo type="num" val="0"/>
        <cfvo type="num" val="0.6"/>
        <cfvo type="num" val="1"/>
        <color rgb="FFFF0000"/>
        <color rgb="FFFFFF00"/>
        <color rgb="FF92FB4B"/>
      </colorScale>
    </cfRule>
  </conditionalFormatting>
  <conditionalFormatting sqref="F39">
    <cfRule type="colorScale" priority="42">
      <colorScale>
        <cfvo type="num" val="0"/>
        <cfvo type="num" val="0.6"/>
        <cfvo type="num" val="1"/>
        <color rgb="FFFF0000"/>
        <color rgb="FFFFFF00"/>
        <color rgb="FF92FB4B"/>
      </colorScale>
    </cfRule>
  </conditionalFormatting>
  <conditionalFormatting sqref="F40">
    <cfRule type="colorScale" priority="41">
      <colorScale>
        <cfvo type="num" val="0"/>
        <cfvo type="num" val="0.6"/>
        <cfvo type="num" val="1"/>
        <color rgb="FFFF0000"/>
        <color rgb="FFFFFF00"/>
        <color rgb="FF92FB4B"/>
      </colorScale>
    </cfRule>
  </conditionalFormatting>
  <conditionalFormatting sqref="F42">
    <cfRule type="colorScale" priority="40">
      <colorScale>
        <cfvo type="num" val="0"/>
        <cfvo type="num" val="0.6"/>
        <cfvo type="num" val="1"/>
        <color rgb="FFFF0000"/>
        <color rgb="FFFFFF00"/>
        <color rgb="FF92FB4B"/>
      </colorScale>
    </cfRule>
  </conditionalFormatting>
  <conditionalFormatting sqref="F43">
    <cfRule type="colorScale" priority="39">
      <colorScale>
        <cfvo type="num" val="0"/>
        <cfvo type="num" val="0.6"/>
        <cfvo type="num" val="1"/>
        <color rgb="FFFF0000"/>
        <color rgb="FFFFFF00"/>
        <color rgb="FF92FB4B"/>
      </colorScale>
    </cfRule>
  </conditionalFormatting>
  <conditionalFormatting sqref="F45">
    <cfRule type="colorScale" priority="38">
      <colorScale>
        <cfvo type="num" val="0"/>
        <cfvo type="num" val="0.6"/>
        <cfvo type="num" val="1"/>
        <color rgb="FFFF0000"/>
        <color rgb="FFFFFF00"/>
        <color rgb="FF92FB4B"/>
      </colorScale>
    </cfRule>
  </conditionalFormatting>
  <conditionalFormatting sqref="F46">
    <cfRule type="colorScale" priority="37">
      <colorScale>
        <cfvo type="num" val="0"/>
        <cfvo type="num" val="0.6"/>
        <cfvo type="num" val="1"/>
        <color rgb="FFFF0000"/>
        <color rgb="FFFFFF00"/>
        <color rgb="FF92FB4B"/>
      </colorScale>
    </cfRule>
  </conditionalFormatting>
  <conditionalFormatting sqref="F49">
    <cfRule type="colorScale" priority="36">
      <colorScale>
        <cfvo type="num" val="0"/>
        <cfvo type="num" val="0.6"/>
        <cfvo type="num" val="1"/>
        <color rgb="FFFF0000"/>
        <color rgb="FFFFFF00"/>
        <color rgb="FF92FB4B"/>
      </colorScale>
    </cfRule>
  </conditionalFormatting>
  <conditionalFormatting sqref="F50">
    <cfRule type="colorScale" priority="35">
      <colorScale>
        <cfvo type="num" val="0"/>
        <cfvo type="num" val="0.6"/>
        <cfvo type="num" val="1"/>
        <color rgb="FFFF0000"/>
        <color rgb="FFFFFF00"/>
        <color rgb="FF92FB4B"/>
      </colorScale>
    </cfRule>
  </conditionalFormatting>
  <conditionalFormatting sqref="F54">
    <cfRule type="colorScale" priority="34">
      <colorScale>
        <cfvo type="num" val="0"/>
        <cfvo type="num" val="0.6"/>
        <cfvo type="num" val="1"/>
        <color rgb="FFFF0000"/>
        <color rgb="FFFFFF00"/>
        <color rgb="FF92FB4B"/>
      </colorScale>
    </cfRule>
  </conditionalFormatting>
  <conditionalFormatting sqref="F55">
    <cfRule type="colorScale" priority="33">
      <colorScale>
        <cfvo type="num" val="0"/>
        <cfvo type="num" val="0.6"/>
        <cfvo type="num" val="1"/>
        <color rgb="FFFF0000"/>
        <color rgb="FFFFFF00"/>
        <color rgb="FF92FB4B"/>
      </colorScale>
    </cfRule>
  </conditionalFormatting>
  <conditionalFormatting sqref="F56">
    <cfRule type="colorScale" priority="32">
      <colorScale>
        <cfvo type="num" val="0"/>
        <cfvo type="num" val="0.6"/>
        <cfvo type="num" val="1"/>
        <color rgb="FFFF0000"/>
        <color rgb="FFFFFF00"/>
        <color rgb="FF92FB4B"/>
      </colorScale>
    </cfRule>
  </conditionalFormatting>
  <conditionalFormatting sqref="F57">
    <cfRule type="colorScale" priority="31">
      <colorScale>
        <cfvo type="num" val="0"/>
        <cfvo type="num" val="0.6"/>
        <cfvo type="num" val="1"/>
        <color rgb="FFFF0000"/>
        <color rgb="FFFFFF00"/>
        <color rgb="FF92FB4B"/>
      </colorScale>
    </cfRule>
  </conditionalFormatting>
  <conditionalFormatting sqref="F58">
    <cfRule type="colorScale" priority="30">
      <colorScale>
        <cfvo type="num" val="0"/>
        <cfvo type="num" val="0.6"/>
        <cfvo type="num" val="1"/>
        <color rgb="FFFF0000"/>
        <color rgb="FFFFFF00"/>
        <color rgb="FF92FB4B"/>
      </colorScale>
    </cfRule>
  </conditionalFormatting>
  <conditionalFormatting sqref="F59">
    <cfRule type="colorScale" priority="29">
      <colorScale>
        <cfvo type="num" val="0"/>
        <cfvo type="num" val="0.6"/>
        <cfvo type="num" val="1"/>
        <color rgb="FFFF0000"/>
        <color rgb="FFFFFF00"/>
        <color rgb="FF92FB4B"/>
      </colorScale>
    </cfRule>
  </conditionalFormatting>
  <conditionalFormatting sqref="F62">
    <cfRule type="colorScale" priority="28">
      <colorScale>
        <cfvo type="num" val="0"/>
        <cfvo type="num" val="0.6"/>
        <cfvo type="num" val="1"/>
        <color rgb="FFFF0000"/>
        <color rgb="FFFFFF00"/>
        <color rgb="FF92FB4B"/>
      </colorScale>
    </cfRule>
  </conditionalFormatting>
  <conditionalFormatting sqref="F63">
    <cfRule type="colorScale" priority="27">
      <colorScale>
        <cfvo type="num" val="0"/>
        <cfvo type="num" val="0.6"/>
        <cfvo type="num" val="1"/>
        <color rgb="FFFF0000"/>
        <color rgb="FFFFFF00"/>
        <color rgb="FF92FB4B"/>
      </colorScale>
    </cfRule>
  </conditionalFormatting>
  <conditionalFormatting sqref="F64">
    <cfRule type="colorScale" priority="26">
      <colorScale>
        <cfvo type="num" val="0"/>
        <cfvo type="num" val="0.6"/>
        <cfvo type="num" val="1"/>
        <color rgb="FFFF0000"/>
        <color rgb="FFFFFF00"/>
        <color rgb="FF92FB4B"/>
      </colorScale>
    </cfRule>
  </conditionalFormatting>
  <conditionalFormatting sqref="F65">
    <cfRule type="colorScale" priority="25">
      <colorScale>
        <cfvo type="num" val="0"/>
        <cfvo type="num" val="0.6"/>
        <cfvo type="num" val="1"/>
        <color rgb="FFFF0000"/>
        <color rgb="FFFFFF00"/>
        <color rgb="FF92FB4B"/>
      </colorScale>
    </cfRule>
  </conditionalFormatting>
  <conditionalFormatting sqref="F66">
    <cfRule type="colorScale" priority="24">
      <colorScale>
        <cfvo type="num" val="0"/>
        <cfvo type="num" val="0.6"/>
        <cfvo type="num" val="1"/>
        <color rgb="FFFF0000"/>
        <color rgb="FFFFFF00"/>
        <color rgb="FF92FB4B"/>
      </colorScale>
    </cfRule>
  </conditionalFormatting>
  <conditionalFormatting sqref="F67">
    <cfRule type="colorScale" priority="23">
      <colorScale>
        <cfvo type="num" val="0"/>
        <cfvo type="num" val="0.6"/>
        <cfvo type="num" val="1"/>
        <color rgb="FFFF0000"/>
        <color rgb="FFFFFF00"/>
        <color rgb="FF92FB4B"/>
      </colorScale>
    </cfRule>
  </conditionalFormatting>
  <conditionalFormatting sqref="F69">
    <cfRule type="colorScale" priority="22">
      <colorScale>
        <cfvo type="num" val="0"/>
        <cfvo type="num" val="0.6"/>
        <cfvo type="num" val="1"/>
        <color rgb="FFFF0000"/>
        <color rgb="FFFFFF00"/>
        <color rgb="FF92FB4B"/>
      </colorScale>
    </cfRule>
  </conditionalFormatting>
  <conditionalFormatting sqref="F72">
    <cfRule type="colorScale" priority="21">
      <colorScale>
        <cfvo type="num" val="0"/>
        <cfvo type="num" val="0.6"/>
        <cfvo type="num" val="1"/>
        <color rgb="FFFF0000"/>
        <color rgb="FFFFFF00"/>
        <color rgb="FF92FB4B"/>
      </colorScale>
    </cfRule>
  </conditionalFormatting>
  <conditionalFormatting sqref="F74">
    <cfRule type="colorScale" priority="20">
      <colorScale>
        <cfvo type="num" val="0"/>
        <cfvo type="num" val="0.6"/>
        <cfvo type="num" val="1"/>
        <color rgb="FFFF0000"/>
        <color rgb="FFFFFF00"/>
        <color rgb="FF92FB4B"/>
      </colorScale>
    </cfRule>
  </conditionalFormatting>
  <conditionalFormatting sqref="F76">
    <cfRule type="colorScale" priority="19">
      <colorScale>
        <cfvo type="num" val="0"/>
        <cfvo type="num" val="0.6"/>
        <cfvo type="num" val="1"/>
        <color rgb="FFFF0000"/>
        <color rgb="FFFFFF00"/>
        <color rgb="FF92FB4B"/>
      </colorScale>
    </cfRule>
  </conditionalFormatting>
  <conditionalFormatting sqref="F79">
    <cfRule type="colorScale" priority="18">
      <colorScale>
        <cfvo type="num" val="0"/>
        <cfvo type="num" val="0.6"/>
        <cfvo type="num" val="1"/>
        <color rgb="FFFF0000"/>
        <color rgb="FFFFFF00"/>
        <color rgb="FF92FB4B"/>
      </colorScale>
    </cfRule>
  </conditionalFormatting>
  <conditionalFormatting sqref="F82">
    <cfRule type="colorScale" priority="17">
      <colorScale>
        <cfvo type="num" val="0"/>
        <cfvo type="num" val="0.6"/>
        <cfvo type="num" val="1"/>
        <color rgb="FFFF0000"/>
        <color rgb="FFFFFF00"/>
        <color rgb="FF92FB4B"/>
      </colorScale>
    </cfRule>
  </conditionalFormatting>
  <conditionalFormatting sqref="F83">
    <cfRule type="colorScale" priority="16">
      <colorScale>
        <cfvo type="num" val="0"/>
        <cfvo type="num" val="0.6"/>
        <cfvo type="num" val="1"/>
        <color rgb="FFFF0000"/>
        <color rgb="FFFFFF00"/>
        <color rgb="FF92FB4B"/>
      </colorScale>
    </cfRule>
  </conditionalFormatting>
  <conditionalFormatting sqref="F84">
    <cfRule type="colorScale" priority="15">
      <colorScale>
        <cfvo type="num" val="0"/>
        <cfvo type="num" val="0.6"/>
        <cfvo type="num" val="1"/>
        <color rgb="FFFF0000"/>
        <color rgb="FFFFFF00"/>
        <color rgb="FF92FB4B"/>
      </colorScale>
    </cfRule>
  </conditionalFormatting>
  <conditionalFormatting sqref="F85">
    <cfRule type="colorScale" priority="14">
      <colorScale>
        <cfvo type="num" val="0"/>
        <cfvo type="num" val="0.6"/>
        <cfvo type="num" val="1"/>
        <color rgb="FFFF0000"/>
        <color rgb="FFFFFF00"/>
        <color rgb="FF92FB4B"/>
      </colorScale>
    </cfRule>
  </conditionalFormatting>
  <conditionalFormatting sqref="F86">
    <cfRule type="colorScale" priority="13">
      <colorScale>
        <cfvo type="num" val="0"/>
        <cfvo type="num" val="0.6"/>
        <cfvo type="num" val="1"/>
        <color rgb="FFFF0000"/>
        <color rgb="FFFFFF00"/>
        <color rgb="FF92FB4B"/>
      </colorScale>
    </cfRule>
  </conditionalFormatting>
  <conditionalFormatting sqref="F88">
    <cfRule type="colorScale" priority="12">
      <colorScale>
        <cfvo type="num" val="0"/>
        <cfvo type="num" val="0.6"/>
        <cfvo type="num" val="1"/>
        <color rgb="FFFF0000"/>
        <color rgb="FFFFFF00"/>
        <color rgb="FF92FB4B"/>
      </colorScale>
    </cfRule>
  </conditionalFormatting>
  <conditionalFormatting sqref="F89">
    <cfRule type="colorScale" priority="11">
      <colorScale>
        <cfvo type="num" val="0"/>
        <cfvo type="num" val="0.6"/>
        <cfvo type="num" val="1"/>
        <color rgb="FFFF0000"/>
        <color rgb="FFFFFF00"/>
        <color rgb="FF92FB4B"/>
      </colorScale>
    </cfRule>
  </conditionalFormatting>
  <conditionalFormatting sqref="F90">
    <cfRule type="colorScale" priority="10">
      <colorScale>
        <cfvo type="num" val="0"/>
        <cfvo type="num" val="0.6"/>
        <cfvo type="num" val="1"/>
        <color rgb="FFFF0000"/>
        <color rgb="FFFFFF00"/>
        <color rgb="FF92FB4B"/>
      </colorScale>
    </cfRule>
  </conditionalFormatting>
  <conditionalFormatting sqref="F91">
    <cfRule type="colorScale" priority="9">
      <colorScale>
        <cfvo type="num" val="0"/>
        <cfvo type="num" val="0.6"/>
        <cfvo type="num" val="1"/>
        <color rgb="FFFF0000"/>
        <color rgb="FFFFFF00"/>
        <color rgb="FF92FB4B"/>
      </colorScale>
    </cfRule>
  </conditionalFormatting>
  <conditionalFormatting sqref="F92">
    <cfRule type="colorScale" priority="8">
      <colorScale>
        <cfvo type="num" val="0"/>
        <cfvo type="num" val="0.6"/>
        <cfvo type="num" val="1"/>
        <color rgb="FFFF0000"/>
        <color rgb="FFFFFF00"/>
        <color rgb="FF92FB4B"/>
      </colorScale>
    </cfRule>
  </conditionalFormatting>
  <conditionalFormatting sqref="F95">
    <cfRule type="colorScale" priority="7">
      <colorScale>
        <cfvo type="num" val="0"/>
        <cfvo type="num" val="0.6"/>
        <cfvo type="num" val="1"/>
        <color rgb="FFFF0000"/>
        <color rgb="FFFFFF00"/>
        <color rgb="FF92FB4B"/>
      </colorScale>
    </cfRule>
  </conditionalFormatting>
  <conditionalFormatting sqref="F96">
    <cfRule type="colorScale" priority="6">
      <colorScale>
        <cfvo type="num" val="0"/>
        <cfvo type="num" val="0.6"/>
        <cfvo type="num" val="1"/>
        <color rgb="FFFF0000"/>
        <color rgb="FFFFFF00"/>
        <color rgb="FF92FB4B"/>
      </colorScale>
    </cfRule>
  </conditionalFormatting>
  <conditionalFormatting sqref="F97">
    <cfRule type="colorScale" priority="5">
      <colorScale>
        <cfvo type="num" val="0"/>
        <cfvo type="num" val="0.6"/>
        <cfvo type="num" val="1"/>
        <color rgb="FFFF0000"/>
        <color rgb="FFFFFF00"/>
        <color rgb="FF92FB4B"/>
      </colorScale>
    </cfRule>
  </conditionalFormatting>
  <conditionalFormatting sqref="F99">
    <cfRule type="colorScale" priority="4">
      <colorScale>
        <cfvo type="num" val="0"/>
        <cfvo type="num" val="0.6"/>
        <cfvo type="num" val="1"/>
        <color rgb="FFFF0000"/>
        <color rgb="FFFFFF00"/>
        <color rgb="FF92FB4B"/>
      </colorScale>
    </cfRule>
  </conditionalFormatting>
  <conditionalFormatting sqref="F100">
    <cfRule type="colorScale" priority="3">
      <colorScale>
        <cfvo type="num" val="0"/>
        <cfvo type="num" val="0.6"/>
        <cfvo type="num" val="1"/>
        <color rgb="FFFF0000"/>
        <color rgb="FFFFFF00"/>
        <color rgb="FF92FB4B"/>
      </colorScale>
    </cfRule>
  </conditionalFormatting>
  <conditionalFormatting sqref="F101">
    <cfRule type="colorScale" priority="2">
      <colorScale>
        <cfvo type="num" val="0"/>
        <cfvo type="num" val="0.6"/>
        <cfvo type="num" val="1"/>
        <color rgb="FFFF0000"/>
        <color rgb="FFFFFF00"/>
        <color rgb="FF92FB4B"/>
      </colorScale>
    </cfRule>
  </conditionalFormatting>
  <conditionalFormatting sqref="F102">
    <cfRule type="colorScale" priority="1">
      <colorScale>
        <cfvo type="num" val="0"/>
        <cfvo type="num" val="0.6"/>
        <cfvo type="num" val="1"/>
        <color rgb="FFFF0000"/>
        <color rgb="FFFFFF00"/>
        <color rgb="FF92FB4B"/>
      </colorScale>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619BC-E3D7-4AAC-A840-18AB6067C859}">
  <dimension ref="A1:AA168"/>
  <sheetViews>
    <sheetView topLeftCell="B1" zoomScale="50" zoomScaleNormal="50" workbookViewId="0">
      <selection activeCell="K14" sqref="K14"/>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793"/>
      <c r="R1" s="3"/>
      <c r="S1" s="4"/>
      <c r="U1" s="794"/>
      <c r="V1" s="794"/>
      <c r="W1" s="794"/>
      <c r="X1" s="794"/>
      <c r="Y1" s="794"/>
      <c r="Z1" s="794"/>
      <c r="AA1" s="794"/>
    </row>
    <row r="2" spans="1:27" ht="30" x14ac:dyDescent="1.1000000000000001">
      <c r="B2" s="795"/>
      <c r="C2" s="796"/>
      <c r="D2" s="797" t="s">
        <v>286</v>
      </c>
      <c r="E2" s="796"/>
      <c r="F2" s="798"/>
      <c r="G2" s="798"/>
      <c r="H2" s="798"/>
      <c r="I2" s="798"/>
      <c r="J2" s="798"/>
      <c r="K2" s="798"/>
      <c r="L2" s="798"/>
      <c r="M2" s="798"/>
      <c r="N2" s="798"/>
      <c r="O2" s="798"/>
      <c r="P2" s="798"/>
      <c r="Q2" s="796"/>
      <c r="R2" s="798"/>
      <c r="S2" s="6"/>
    </row>
    <row r="3" spans="1:27" ht="14.65" thickBot="1" x14ac:dyDescent="0.5">
      <c r="B3" s="799"/>
      <c r="C3" s="800"/>
      <c r="D3" s="800"/>
      <c r="E3" s="800"/>
      <c r="F3" s="801"/>
      <c r="G3" s="801"/>
      <c r="H3" s="801"/>
      <c r="I3" s="801"/>
      <c r="J3" s="801"/>
      <c r="K3" s="801"/>
      <c r="L3" s="801"/>
      <c r="M3" s="801"/>
      <c r="N3" s="801"/>
      <c r="O3" s="801"/>
      <c r="P3" s="801"/>
      <c r="Q3" s="800"/>
      <c r="R3" s="801"/>
      <c r="S3" s="7"/>
    </row>
    <row r="4" spans="1:27" ht="26.45" customHeight="1" thickBot="1" x14ac:dyDescent="0.5">
      <c r="B4" s="799"/>
      <c r="C4" s="800"/>
      <c r="D4" s="802" t="s">
        <v>195</v>
      </c>
      <c r="E4" s="800"/>
      <c r="F4" s="8" t="s">
        <v>211</v>
      </c>
      <c r="G4" s="801"/>
      <c r="H4" s="801"/>
      <c r="I4" s="801"/>
      <c r="J4" s="801"/>
      <c r="K4" s="1652" t="s">
        <v>556</v>
      </c>
      <c r="L4" s="1653"/>
      <c r="M4" s="1654"/>
      <c r="N4" s="1808">
        <f>(N9+N46+N59+N69+N76+N79+N92)/7</f>
        <v>0.22400405093319131</v>
      </c>
      <c r="O4" s="1809">
        <f>(O9+O46+O59+O69+O76+O79+O92)</f>
        <v>23.383794861126784</v>
      </c>
      <c r="P4" s="1808">
        <f>O4/100</f>
        <v>0.23383794861126783</v>
      </c>
      <c r="Q4" s="800"/>
      <c r="R4" s="801"/>
      <c r="S4" s="7"/>
    </row>
    <row r="5" spans="1:27" ht="18.399999999999999" thickBot="1" x14ac:dyDescent="0.6">
      <c r="B5" s="1655"/>
      <c r="C5" s="1656"/>
      <c r="D5" s="1656"/>
      <c r="E5" s="1656"/>
      <c r="F5" s="1656"/>
      <c r="G5" s="1656"/>
      <c r="H5" s="1656"/>
      <c r="I5" s="1656"/>
      <c r="J5" s="1656"/>
      <c r="K5" s="1656"/>
      <c r="L5" s="58"/>
      <c r="M5" s="805">
        <f>100/28</f>
        <v>3.5714285714285716</v>
      </c>
      <c r="N5" s="9"/>
      <c r="O5" s="561"/>
      <c r="P5" s="561"/>
      <c r="Q5" s="806"/>
      <c r="R5" s="9"/>
      <c r="S5" s="10"/>
    </row>
    <row r="6" spans="1:27" ht="33.6" customHeight="1" thickBot="1" x14ac:dyDescent="0.5">
      <c r="B6" s="1657"/>
      <c r="C6" s="1658"/>
      <c r="D6" s="1658"/>
      <c r="E6" s="1658"/>
      <c r="F6" s="1659"/>
      <c r="G6" s="807"/>
      <c r="H6" s="807"/>
      <c r="I6" s="807"/>
      <c r="J6" s="807"/>
      <c r="K6" s="807"/>
      <c r="L6" s="807"/>
      <c r="M6" s="807"/>
      <c r="N6" s="808"/>
      <c r="O6" s="809"/>
      <c r="P6" s="809"/>
      <c r="Q6" s="808"/>
      <c r="R6" s="12"/>
      <c r="S6" s="13"/>
    </row>
    <row r="7" spans="1:27" ht="55.8" customHeight="1" thickBot="1" x14ac:dyDescent="0.5">
      <c r="B7" s="1660"/>
      <c r="C7" s="1661"/>
      <c r="D7" s="1661"/>
      <c r="E7" s="1661"/>
      <c r="F7" s="1662"/>
      <c r="G7" s="810"/>
      <c r="H7" s="811" t="s">
        <v>218</v>
      </c>
      <c r="I7" s="812" t="s">
        <v>219</v>
      </c>
      <c r="J7" s="813" t="s">
        <v>91</v>
      </c>
      <c r="K7" s="814" t="s">
        <v>107</v>
      </c>
      <c r="L7" s="814" t="s">
        <v>104</v>
      </c>
      <c r="M7" s="814" t="s">
        <v>105</v>
      </c>
      <c r="N7" s="812" t="s">
        <v>106</v>
      </c>
      <c r="O7" s="812" t="s">
        <v>464</v>
      </c>
      <c r="P7" s="815" t="s">
        <v>465</v>
      </c>
      <c r="Q7" s="816" t="s">
        <v>93</v>
      </c>
      <c r="R7" s="817" t="s">
        <v>110</v>
      </c>
      <c r="S7" s="818" t="s">
        <v>103</v>
      </c>
    </row>
    <row r="8" spans="1:27" ht="25.25" customHeight="1" thickBot="1" x14ac:dyDescent="0.5">
      <c r="B8" s="819" t="s">
        <v>2</v>
      </c>
      <c r="C8" s="819" t="s">
        <v>92</v>
      </c>
      <c r="D8" s="819" t="s">
        <v>3</v>
      </c>
      <c r="E8" s="819" t="s">
        <v>94</v>
      </c>
      <c r="F8" s="819" t="s">
        <v>102</v>
      </c>
      <c r="G8" s="819" t="s">
        <v>96</v>
      </c>
      <c r="H8" s="820"/>
      <c r="I8" s="821"/>
      <c r="J8" s="820"/>
      <c r="K8" s="822"/>
      <c r="L8" s="822"/>
      <c r="M8" s="819"/>
      <c r="N8" s="823"/>
      <c r="O8" s="824"/>
      <c r="P8" s="825"/>
      <c r="Q8" s="821"/>
      <c r="R8" s="823"/>
      <c r="S8" s="823"/>
      <c r="V8" s="826" t="s">
        <v>151</v>
      </c>
      <c r="W8" s="827"/>
      <c r="X8" s="827"/>
      <c r="Y8" s="827"/>
      <c r="Z8" s="828"/>
    </row>
    <row r="9" spans="1:27" s="168" customFormat="1" ht="25.25" customHeight="1" thickBot="1" x14ac:dyDescent="0.5">
      <c r="B9" s="1663" t="s">
        <v>0</v>
      </c>
      <c r="C9" s="1664"/>
      <c r="D9" s="1664"/>
      <c r="E9" s="1664"/>
      <c r="F9" s="1665"/>
      <c r="G9" s="829"/>
      <c r="H9" s="1810"/>
      <c r="I9" s="1811"/>
      <c r="J9" s="1812"/>
      <c r="K9" s="1812"/>
      <c r="L9" s="1812"/>
      <c r="M9" s="1813"/>
      <c r="N9" s="1814">
        <f>(N10+N18+N23+N32+N37+N40+N43)/7</f>
        <v>-8.6168497488535056E-2</v>
      </c>
      <c r="O9" s="1815">
        <f>(O10+O18+O23+O32+O37+O40+O43)</f>
        <v>8.0404257634528804</v>
      </c>
      <c r="P9" s="1816">
        <f>O9/42.857136</f>
        <v>0.18760996449816153</v>
      </c>
      <c r="Q9" s="1812"/>
      <c r="R9" s="836"/>
      <c r="S9" s="836"/>
      <c r="U9" s="837"/>
      <c r="V9" s="838"/>
      <c r="W9" s="839"/>
      <c r="X9" s="839"/>
      <c r="Y9" s="839"/>
      <c r="Z9" s="840"/>
      <c r="AA9" s="837"/>
    </row>
    <row r="10" spans="1:27" s="92" customFormat="1" ht="25.25" customHeight="1" thickBot="1" x14ac:dyDescent="0.5">
      <c r="B10" s="1666" t="s">
        <v>1</v>
      </c>
      <c r="C10" s="1667"/>
      <c r="D10" s="1667"/>
      <c r="E10" s="1667"/>
      <c r="F10" s="1668"/>
      <c r="G10" s="841"/>
      <c r="H10" s="1817"/>
      <c r="I10" s="1818"/>
      <c r="J10" s="1819"/>
      <c r="K10" s="1819"/>
      <c r="L10" s="1819"/>
      <c r="M10" s="1820"/>
      <c r="N10" s="1814">
        <f>(N11+N13+N15)/3</f>
        <v>-1.0616445445680369</v>
      </c>
      <c r="O10" s="1815">
        <f>(O11+O13+O15)</f>
        <v>3.1424475476355589</v>
      </c>
      <c r="P10" s="1816">
        <f>O10/10.714284</f>
        <v>0.29329515137320972</v>
      </c>
      <c r="Q10" s="1819"/>
      <c r="R10" s="845"/>
      <c r="S10" s="845"/>
      <c r="U10" s="846"/>
      <c r="V10" s="847"/>
      <c r="W10" s="848"/>
      <c r="X10" s="848"/>
      <c r="Y10" s="848"/>
      <c r="Z10" s="849"/>
      <c r="AA10" s="846"/>
    </row>
    <row r="11" spans="1:27" ht="27.6" customHeight="1" x14ac:dyDescent="0.45">
      <c r="A11" s="1669">
        <v>1</v>
      </c>
      <c r="B11" s="1680" t="s">
        <v>4</v>
      </c>
      <c r="C11" s="1682">
        <f>M5</f>
        <v>3.5714285714285716</v>
      </c>
      <c r="D11" s="850" t="s">
        <v>111</v>
      </c>
      <c r="E11" s="851">
        <f>$C$11/2</f>
        <v>1.7857142857142858</v>
      </c>
      <c r="F11" s="852" t="s">
        <v>5</v>
      </c>
      <c r="G11" s="853">
        <f>E11/1</f>
        <v>1.7857142857142858</v>
      </c>
      <c r="H11" s="1821">
        <v>-0.26800000000000002</v>
      </c>
      <c r="I11" s="1822">
        <v>0.80686123996540604</v>
      </c>
      <c r="J11" s="1823">
        <f>(H11-I11)</f>
        <v>-1.0748612399654061</v>
      </c>
      <c r="K11" s="1824">
        <f>(0.3*I11)*6/10</f>
        <v>0.14523502319377307</v>
      </c>
      <c r="L11" s="1825">
        <f>I11+K11</f>
        <v>0.95209626315917917</v>
      </c>
      <c r="M11" s="1826">
        <f>IF(K11&lt;&gt;0,J11/K11,"0%")</f>
        <v>-7.4008404882569021</v>
      </c>
      <c r="N11" s="1827">
        <f>(((G11/C11)*M11)+((G12/C11)*M12))</f>
        <v>-4.0648190878237402</v>
      </c>
      <c r="O11" s="1828">
        <f>IF((((G11/C11)*M11)+((G12/C11)*M12))&gt;=1,3.57148,IF((((G11/C11)*M11)+((G12/C11)*M12))&lt;=0,0, (((G11/C11)*M11)+((G12/C11)*M12))*3.571428))</f>
        <v>0</v>
      </c>
      <c r="P11" s="1829">
        <f>O11/3.571428</f>
        <v>0</v>
      </c>
      <c r="Q11" s="1830" t="s">
        <v>97</v>
      </c>
      <c r="R11" s="235"/>
      <c r="S11" s="236" t="s">
        <v>305</v>
      </c>
      <c r="V11" s="861" t="s">
        <v>109</v>
      </c>
      <c r="W11" s="862" t="e">
        <f>#REF!</f>
        <v>#REF!</v>
      </c>
      <c r="X11" s="863"/>
      <c r="Y11" s="863"/>
      <c r="Z11" s="864"/>
    </row>
    <row r="12" spans="1:27" ht="27" customHeight="1" thickBot="1" x14ac:dyDescent="0.5">
      <c r="A12" s="1669"/>
      <c r="B12" s="1681"/>
      <c r="C12" s="1683"/>
      <c r="D12" s="865" t="s">
        <v>112</v>
      </c>
      <c r="E12" s="866">
        <f>$C$11/2</f>
        <v>1.7857142857142858</v>
      </c>
      <c r="F12" s="867" t="s">
        <v>281</v>
      </c>
      <c r="G12" s="868">
        <f>E12/1</f>
        <v>1.7857142857142858</v>
      </c>
      <c r="H12" s="1831">
        <v>27.245999999999999</v>
      </c>
      <c r="I12" s="1832">
        <v>24.561</v>
      </c>
      <c r="J12" s="1833">
        <f>I12-H12</f>
        <v>-2.6849999999999987</v>
      </c>
      <c r="K12" s="1834">
        <f>(0.25*I12)*(6/10)</f>
        <v>3.6841499999999998</v>
      </c>
      <c r="L12" s="1835">
        <f>I12-K12</f>
        <v>20.876850000000001</v>
      </c>
      <c r="M12" s="1836">
        <f>IF(K12&lt;&gt;0,J12/K12,"0%")</f>
        <v>-0.72879768739057826</v>
      </c>
      <c r="N12" s="1837"/>
      <c r="O12" s="1838"/>
      <c r="P12" s="1839"/>
      <c r="Q12" s="1840" t="s">
        <v>98</v>
      </c>
      <c r="R12" s="237" t="s">
        <v>306</v>
      </c>
      <c r="S12" s="238" t="s">
        <v>307</v>
      </c>
      <c r="V12" s="876">
        <v>0.02</v>
      </c>
      <c r="W12" s="877" t="e">
        <f>(W11-(W11*V12))</f>
        <v>#REF!</v>
      </c>
      <c r="X12" s="877" t="e">
        <f>W11-(V12*W11)</f>
        <v>#REF!</v>
      </c>
      <c r="Y12" s="863"/>
      <c r="Z12" s="864"/>
    </row>
    <row r="13" spans="1:27" ht="32.450000000000003" customHeight="1" x14ac:dyDescent="0.45">
      <c r="A13" s="1669">
        <v>2</v>
      </c>
      <c r="B13" s="1670" t="s">
        <v>6</v>
      </c>
      <c r="C13" s="1672">
        <f>M5</f>
        <v>3.5714285714285716</v>
      </c>
      <c r="D13" s="878" t="s">
        <v>273</v>
      </c>
      <c r="E13" s="879">
        <f>$C$13/2</f>
        <v>1.7857142857142858</v>
      </c>
      <c r="F13" s="880" t="s">
        <v>7</v>
      </c>
      <c r="G13" s="881">
        <f>E13/1</f>
        <v>1.7857142857142858</v>
      </c>
      <c r="H13" s="1841">
        <v>27</v>
      </c>
      <c r="I13" s="1842">
        <v>33.421999999999997</v>
      </c>
      <c r="J13" s="1843">
        <f>IF(I13=H13,(5-H13),I13-H13)</f>
        <v>6.421999999999997</v>
      </c>
      <c r="K13" s="1844">
        <f>IF(I13&lt;=5,0,((I13-5)*(6/10)))</f>
        <v>17.053199999999997</v>
      </c>
      <c r="L13" s="1845">
        <f>I13-K13</f>
        <v>16.3688</v>
      </c>
      <c r="M13" s="1846">
        <f>IF(I13&lt;=5,(1+(5-H13)/5),(J13/K13))</f>
        <v>0.37658621255834673</v>
      </c>
      <c r="N13" s="1827">
        <f>(((G13/C13)*M13)+((G14/C13)*M14))</f>
        <v>0.3027095822517134</v>
      </c>
      <c r="O13" s="1828">
        <f>IF((((G13/C13)*M13)+((G14/C13)*M14))&gt;=1,3.57148,IF((((G13/C13)*M13)+((G14/C13)*M14))&lt;=0,0, (((G13/C13)*M13)+((G14/C13)*M14))*3.571428))</f>
        <v>1.0811054779220723</v>
      </c>
      <c r="P13" s="1829">
        <f>O13/3.571428</f>
        <v>0.3027095822517134</v>
      </c>
      <c r="Q13" s="1847" t="s">
        <v>99</v>
      </c>
      <c r="R13" s="239" t="s">
        <v>308</v>
      </c>
      <c r="S13" s="240" t="s">
        <v>309</v>
      </c>
      <c r="V13" s="876">
        <v>0.02</v>
      </c>
      <c r="W13" s="877" t="e">
        <f>(#REF!-(#REF!*V13))</f>
        <v>#REF!</v>
      </c>
      <c r="X13" s="877" t="e">
        <f>(W11-(V12*W11))-((W11-(V12*W11))*0.02)-(((W11-(V12*W11))-((W11-(V12*W11))*0.02))*0.02)-(((W11-(V12*W11))-((W11-(V12*W11))*0.02)-(((W11-(V12*W11))-((W11-(V12*W11))*0.02))*0.02))*0.02)</f>
        <v>#REF!</v>
      </c>
      <c r="Y13" s="889" t="e">
        <f>(W11-W14)/W11</f>
        <v>#REF!</v>
      </c>
      <c r="Z13" s="864"/>
    </row>
    <row r="14" spans="1:27" ht="33" customHeight="1" thickBot="1" x14ac:dyDescent="0.5">
      <c r="A14" s="1669"/>
      <c r="B14" s="1671"/>
      <c r="C14" s="1673"/>
      <c r="D14" s="865" t="s">
        <v>274</v>
      </c>
      <c r="E14" s="890">
        <f>$C$13/2</f>
        <v>1.7857142857142858</v>
      </c>
      <c r="F14" s="891" t="s">
        <v>8</v>
      </c>
      <c r="G14" s="892">
        <f>E14/1</f>
        <v>1.7857142857142858</v>
      </c>
      <c r="H14" s="1848">
        <v>80</v>
      </c>
      <c r="I14" s="1849">
        <v>77</v>
      </c>
      <c r="J14" s="1850">
        <f>H14-I14</f>
        <v>3</v>
      </c>
      <c r="K14" s="1851">
        <f>(0.95*(100-I14))*6/10</f>
        <v>13.11</v>
      </c>
      <c r="L14" s="1852">
        <f>K14+I14</f>
        <v>90.11</v>
      </c>
      <c r="M14" s="1853">
        <f>IF(K14&lt;&gt;0,J14/K14,"1%")</f>
        <v>0.2288329519450801</v>
      </c>
      <c r="N14" s="1837"/>
      <c r="O14" s="1838"/>
      <c r="P14" s="1839"/>
      <c r="Q14" s="1854" t="s">
        <v>100</v>
      </c>
      <c r="R14" s="241" t="s">
        <v>306</v>
      </c>
      <c r="S14" s="242" t="s">
        <v>310</v>
      </c>
      <c r="V14" s="900">
        <v>0.02</v>
      </c>
      <c r="W14" s="901" t="e">
        <f>(#REF!-(#REF!*V14))</f>
        <v>#REF!</v>
      </c>
      <c r="X14" s="901"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02" t="e">
        <f>W11-X14</f>
        <v>#REF!</v>
      </c>
      <c r="Z14" s="903"/>
    </row>
    <row r="15" spans="1:27" ht="22.25" customHeight="1" thickBot="1" x14ac:dyDescent="0.5">
      <c r="A15" s="1710">
        <v>3</v>
      </c>
      <c r="B15" s="1711" t="s">
        <v>9</v>
      </c>
      <c r="C15" s="1713">
        <f>M5</f>
        <v>3.5714285714285716</v>
      </c>
      <c r="D15" s="1711" t="s">
        <v>113</v>
      </c>
      <c r="E15" s="1713">
        <f>$C$15/1</f>
        <v>3.5714285714285716</v>
      </c>
      <c r="F15" s="904" t="s">
        <v>221</v>
      </c>
      <c r="G15" s="905">
        <f>$E$15/3</f>
        <v>1.1904761904761905</v>
      </c>
      <c r="H15" s="1855">
        <v>95.27</v>
      </c>
      <c r="I15" s="1856">
        <v>93.12</v>
      </c>
      <c r="J15" s="1857">
        <f>H15-I15</f>
        <v>2.1499999999999915</v>
      </c>
      <c r="K15" s="1858">
        <f>(0.5*I15)*6/10</f>
        <v>27.936</v>
      </c>
      <c r="L15" s="1825">
        <f>I15+K15</f>
        <v>121.05600000000001</v>
      </c>
      <c r="M15" s="1826">
        <f>IF(K15&lt;&gt;0,J15/K15,"0%")</f>
        <v>7.6961626575028336E-2</v>
      </c>
      <c r="N15" s="1859">
        <f>(((G15/C15)*M15)+((G16/C15)*M16)+((G17/C15)*M17))</f>
        <v>0.57717587186791564</v>
      </c>
      <c r="O15" s="1860">
        <f>IF((((G15/C15)*M15)+((G16/C15)*M16)+((G17/C15)*M17))&gt;=1,3.571428,IF((((G15/C15)*M15)+((G16/C15)*M16)+((G17/C15)*M17))&lt;=0,0,(((G15/C15)*M15)+((G16/C15)*M16)+((G17/C15)*M17))*3.571428))</f>
        <v>2.0613420697134863</v>
      </c>
      <c r="P15" s="1829">
        <f>O15/3.571428</f>
        <v>0.57717587186791564</v>
      </c>
      <c r="Q15" s="1861" t="s">
        <v>101</v>
      </c>
      <c r="R15" s="243"/>
      <c r="S15" s="244" t="s">
        <v>311</v>
      </c>
    </row>
    <row r="16" spans="1:27" ht="23.65" thickBot="1" x14ac:dyDescent="0.5">
      <c r="A16" s="1710"/>
      <c r="B16" s="1711"/>
      <c r="C16" s="1713"/>
      <c r="D16" s="1711"/>
      <c r="E16" s="1713"/>
      <c r="F16" s="911" t="s">
        <v>220</v>
      </c>
      <c r="G16" s="912">
        <f t="shared" ref="G16:G17" si="0">$E$15/3</f>
        <v>1.1904761904761905</v>
      </c>
      <c r="H16" s="1862"/>
      <c r="I16" s="1863"/>
      <c r="J16" s="1864">
        <f>H16-I16</f>
        <v>0</v>
      </c>
      <c r="K16" s="1865">
        <f>(0.5*I16)*6/10</f>
        <v>0</v>
      </c>
      <c r="L16" s="1866">
        <f t="shared" ref="L16:L17" si="1">I16+K16</f>
        <v>0</v>
      </c>
      <c r="M16" s="1867" t="str">
        <f>IF(K16&lt;&gt;0,J16/K16,"0%")</f>
        <v>0%</v>
      </c>
      <c r="N16" s="1868"/>
      <c r="O16" s="1869"/>
      <c r="P16" s="1870"/>
      <c r="Q16" s="1871" t="s">
        <v>95</v>
      </c>
      <c r="R16" s="245"/>
      <c r="S16" s="155" t="s">
        <v>463</v>
      </c>
    </row>
    <row r="17" spans="1:19" ht="25.25" customHeight="1" thickBot="1" x14ac:dyDescent="0.5">
      <c r="A17" s="1710"/>
      <c r="B17" s="1712"/>
      <c r="C17" s="1714"/>
      <c r="D17" s="1712"/>
      <c r="E17" s="1714"/>
      <c r="F17" s="918" t="s">
        <v>10</v>
      </c>
      <c r="G17" s="919">
        <f t="shared" si="0"/>
        <v>1.1904761904761905</v>
      </c>
      <c r="H17" s="1872">
        <v>61.83</v>
      </c>
      <c r="I17" s="1873">
        <v>41.32</v>
      </c>
      <c r="J17" s="1874">
        <f>H17-I17</f>
        <v>20.509999999999998</v>
      </c>
      <c r="K17" s="1875">
        <f>(0.5*I17)*6/10</f>
        <v>12.396000000000001</v>
      </c>
      <c r="L17" s="1835">
        <f t="shared" si="1"/>
        <v>53.716000000000001</v>
      </c>
      <c r="M17" s="1836">
        <f>IF(K17&lt;&gt;0,J17/K17,"0%")</f>
        <v>1.6545659890287188</v>
      </c>
      <c r="N17" s="1876"/>
      <c r="O17" s="1877"/>
      <c r="P17" s="1870"/>
      <c r="Q17" s="1878" t="s">
        <v>162</v>
      </c>
      <c r="R17" s="247"/>
      <c r="S17" s="248" t="s">
        <v>312</v>
      </c>
    </row>
    <row r="18" spans="1:19" ht="21.4" thickBot="1" x14ac:dyDescent="0.7">
      <c r="A18" s="14"/>
      <c r="B18" s="1704" t="s">
        <v>11</v>
      </c>
      <c r="C18" s="1705"/>
      <c r="D18" s="1705"/>
      <c r="E18" s="1705"/>
      <c r="F18" s="1706"/>
      <c r="G18" s="923"/>
      <c r="H18" s="1879"/>
      <c r="I18" s="1880"/>
      <c r="J18" s="1881"/>
      <c r="K18" s="1881"/>
      <c r="L18" s="1881"/>
      <c r="M18" s="1882"/>
      <c r="N18" s="1814">
        <f>N19</f>
        <v>-0.20417887913858884</v>
      </c>
      <c r="O18" s="1815">
        <f>O19</f>
        <v>0</v>
      </c>
      <c r="P18" s="1816">
        <f>O18/3.571428</f>
        <v>0</v>
      </c>
      <c r="Q18" s="1881"/>
      <c r="R18" s="249"/>
      <c r="S18" s="250"/>
    </row>
    <row r="19" spans="1:19" ht="34.25" customHeight="1" thickBot="1" x14ac:dyDescent="0.5">
      <c r="A19" s="1669">
        <v>4</v>
      </c>
      <c r="B19" s="1687" t="s">
        <v>12</v>
      </c>
      <c r="C19" s="1691">
        <f>M5</f>
        <v>3.5714285714285716</v>
      </c>
      <c r="D19" s="926" t="s">
        <v>114</v>
      </c>
      <c r="E19" s="853">
        <f>$C$19/4</f>
        <v>0.8928571428571429</v>
      </c>
      <c r="F19" s="927" t="s">
        <v>222</v>
      </c>
      <c r="G19" s="905">
        <f>E19/1</f>
        <v>0.8928571428571429</v>
      </c>
      <c r="H19" s="1883">
        <v>94.4</v>
      </c>
      <c r="I19" s="1884">
        <v>94.9</v>
      </c>
      <c r="J19" s="1885">
        <f>H19-I19</f>
        <v>-0.5</v>
      </c>
      <c r="K19" s="1858">
        <f>(2*I19)*6/10</f>
        <v>113.88000000000002</v>
      </c>
      <c r="L19" s="1886">
        <f t="shared" ref="L19:L22" si="2">K19+I19</f>
        <v>208.78000000000003</v>
      </c>
      <c r="M19" s="1826">
        <f>IF(K19&lt;&gt;0,J19/K19,"0%")</f>
        <v>-4.3905865823674036E-3</v>
      </c>
      <c r="N19" s="1887">
        <f>(((G19/C19)*M19)+((G20/C19)*M20)+((G21/C19)*M21)+((G22/C19)*M22))</f>
        <v>-0.20417887913858884</v>
      </c>
      <c r="O19" s="1888">
        <f>IF((((G19/C19)*M19)+((G20/C19)*M20)+((G21/C19)*M21)+((G22/C19)*M22))&gt;=1,3.571428,IF((((G19/C19)*M19)+((G20/C19)*M20)+((G21/C19)*M21)+((G22/C19)*M22))&lt;=0,0,((((G19/C19)*M19)+((G20/C19)*M20)+((G21/C19)*M21)+((G22/C19)*M22))*3.571428)))</f>
        <v>0</v>
      </c>
      <c r="P19" s="1829">
        <f>O19/3.571428</f>
        <v>0</v>
      </c>
      <c r="Q19" s="1889" t="s">
        <v>163</v>
      </c>
      <c r="R19" s="251"/>
      <c r="S19" s="236" t="s">
        <v>305</v>
      </c>
    </row>
    <row r="20" spans="1:19" ht="39" customHeight="1" x14ac:dyDescent="0.45">
      <c r="A20" s="1669"/>
      <c r="B20" s="1688"/>
      <c r="C20" s="1692"/>
      <c r="D20" s="933" t="s">
        <v>152</v>
      </c>
      <c r="E20" s="934">
        <f>($C$19/4)</f>
        <v>0.8928571428571429</v>
      </c>
      <c r="F20" s="935" t="s">
        <v>265</v>
      </c>
      <c r="G20" s="912">
        <f>E20/1</f>
        <v>0.8928571428571429</v>
      </c>
      <c r="H20" s="1890">
        <v>94.2</v>
      </c>
      <c r="I20" s="1891">
        <v>88.1</v>
      </c>
      <c r="J20" s="1892">
        <f t="shared" ref="J20:J24" si="3">H20-I20</f>
        <v>6.1000000000000085</v>
      </c>
      <c r="K20" s="1865">
        <f>(100-I20)*(6/10)</f>
        <v>7.1400000000000032</v>
      </c>
      <c r="L20" s="1893">
        <f t="shared" si="2"/>
        <v>95.24</v>
      </c>
      <c r="M20" s="1826">
        <f>IF(K20&lt;&gt;0,J20/K20,"0%")</f>
        <v>0.85434173669467872</v>
      </c>
      <c r="N20" s="1894"/>
      <c r="O20" s="1869"/>
      <c r="P20" s="1870"/>
      <c r="Q20" s="1895" t="s">
        <v>164</v>
      </c>
      <c r="R20" s="252" t="s">
        <v>306</v>
      </c>
      <c r="S20" s="253" t="s">
        <v>313</v>
      </c>
    </row>
    <row r="21" spans="1:19" ht="56.45" customHeight="1" thickBot="1" x14ac:dyDescent="0.5">
      <c r="A21" s="1669"/>
      <c r="B21" s="1688"/>
      <c r="C21" s="1692"/>
      <c r="D21" s="933" t="s">
        <v>153</v>
      </c>
      <c r="E21" s="934">
        <f t="shared" ref="E21:E22" si="4">($C$19/4)</f>
        <v>0.8928571428571429</v>
      </c>
      <c r="F21" s="935" t="s">
        <v>155</v>
      </c>
      <c r="G21" s="912">
        <f>E21/1</f>
        <v>0.8928571428571429</v>
      </c>
      <c r="H21" s="1890">
        <v>91</v>
      </c>
      <c r="I21" s="1896"/>
      <c r="J21" s="1892">
        <f t="shared" si="3"/>
        <v>91</v>
      </c>
      <c r="K21" s="1865">
        <f>(0.3*I21)*6/10</f>
        <v>0</v>
      </c>
      <c r="L21" s="1893">
        <f t="shared" si="2"/>
        <v>0</v>
      </c>
      <c r="M21" s="1867" t="str">
        <f>IF(K21&lt;&gt;0,J21/K21,"0%")</f>
        <v>0%</v>
      </c>
      <c r="N21" s="1894"/>
      <c r="O21" s="1869"/>
      <c r="P21" s="1870"/>
      <c r="Q21" s="1895" t="s">
        <v>165</v>
      </c>
      <c r="R21" s="253" t="s">
        <v>305</v>
      </c>
      <c r="S21" s="230" t="s">
        <v>474</v>
      </c>
    </row>
    <row r="22" spans="1:19" ht="36.6" customHeight="1" thickBot="1" x14ac:dyDescent="0.5">
      <c r="A22" s="1669"/>
      <c r="B22" s="1707"/>
      <c r="C22" s="1708"/>
      <c r="D22" s="891" t="s">
        <v>154</v>
      </c>
      <c r="E22" s="939">
        <f t="shared" si="4"/>
        <v>0.8928571428571429</v>
      </c>
      <c r="F22" s="940" t="s">
        <v>156</v>
      </c>
      <c r="G22" s="941">
        <f>E22/1</f>
        <v>0.8928571428571429</v>
      </c>
      <c r="H22" s="1897">
        <v>89</v>
      </c>
      <c r="I22" s="1898">
        <v>94.5</v>
      </c>
      <c r="J22" s="1899">
        <f t="shared" si="3"/>
        <v>-5.5</v>
      </c>
      <c r="K22" s="1875">
        <f>(100-I22)*(6/10)</f>
        <v>3.3</v>
      </c>
      <c r="L22" s="1900">
        <f t="shared" si="2"/>
        <v>97.8</v>
      </c>
      <c r="M22" s="1836">
        <f>IF(K22&lt;&gt;0,J22/K22,"100%")</f>
        <v>-1.6666666666666667</v>
      </c>
      <c r="N22" s="1901"/>
      <c r="O22" s="1877"/>
      <c r="P22" s="1839"/>
      <c r="Q22" s="1902" t="s">
        <v>95</v>
      </c>
      <c r="R22" s="254"/>
      <c r="S22" s="253"/>
    </row>
    <row r="23" spans="1:19" ht="20.45" customHeight="1" thickBot="1" x14ac:dyDescent="0.5">
      <c r="B23" s="1684" t="s">
        <v>13</v>
      </c>
      <c r="C23" s="1685"/>
      <c r="D23" s="1685"/>
      <c r="E23" s="1685"/>
      <c r="F23" s="1686"/>
      <c r="G23" s="923"/>
      <c r="H23" s="1879"/>
      <c r="I23" s="1880"/>
      <c r="J23" s="1903"/>
      <c r="K23" s="1904"/>
      <c r="L23" s="1904"/>
      <c r="M23" s="1905"/>
      <c r="N23" s="1814">
        <f>N24</f>
        <v>6.5878564302753378E-2</v>
      </c>
      <c r="O23" s="1815">
        <f>O24</f>
        <v>0.23528054915065388</v>
      </c>
      <c r="P23" s="1816">
        <f>O23/3.571428</f>
        <v>6.5878564302753378E-2</v>
      </c>
      <c r="Q23" s="1881"/>
      <c r="R23" s="255"/>
      <c r="S23" s="255"/>
    </row>
    <row r="24" spans="1:19" ht="36" customHeight="1" thickBot="1" x14ac:dyDescent="0.5">
      <c r="A24" s="1669">
        <v>5</v>
      </c>
      <c r="B24" s="1687" t="s">
        <v>14</v>
      </c>
      <c r="C24" s="1691">
        <f>M5</f>
        <v>3.5714285714285716</v>
      </c>
      <c r="D24" s="926" t="s">
        <v>115</v>
      </c>
      <c r="E24" s="853">
        <f>$C$24/4</f>
        <v>0.8928571428571429</v>
      </c>
      <c r="F24" s="926" t="s">
        <v>280</v>
      </c>
      <c r="G24" s="853">
        <f>E24/1</f>
        <v>0.8928571428571429</v>
      </c>
      <c r="H24" s="1855">
        <v>75.7</v>
      </c>
      <c r="I24" s="1906"/>
      <c r="J24" s="1907">
        <f t="shared" si="3"/>
        <v>75.7</v>
      </c>
      <c r="K24" s="1858">
        <f>(0.3*I24)*6/10</f>
        <v>0</v>
      </c>
      <c r="L24" s="1886">
        <f>K24+I24</f>
        <v>0</v>
      </c>
      <c r="M24" s="1826" t="str">
        <f t="shared" ref="M24:M31" si="5">IF(K24&lt;&gt;0,J24/K24,"0%")</f>
        <v>0%</v>
      </c>
      <c r="N24" s="1887">
        <f>(((G24/C24)*M24)+((G25/C24)*M25)+ ((G26/C24)*M26)+((G27/C24)*M27)+((G28/C24)*M28)+((G29/C24)*M29)+((G30/C24)*M30)+((G31/C24)*M31))</f>
        <v>6.5878564302753378E-2</v>
      </c>
      <c r="O24" s="1888">
        <f>IF((((G24/C24)*M24)+((G25/C24)*M25)+ ((G26/C24)*M26)+((G27/C24)*M27)+((G28/C24)*M28)+((G29/C24)*M29)+((G30/C24)*M30)+((G31/C24)*M31))&gt;=1,3.571428,IF((((G24/C24)*M24)+((G25/C24)*M25)+ ((G26/C24)*M26)+((G27/C24)*M27)+((G28/C24)*M28)+((G29/C24)*M29)+((G30/C24)*M30)+((G31/C24)*M31))&lt;=0,0,((((G24/C24)*M24)+((G25/C24)*M25)+ ((G26/C24)*M26)+((G27/C24)*M27)+((G28/C24)*M28)+((G29/C24)*M29)+((G30/C24)*M30)+((G31/C24)*M31))*3.571428)))</f>
        <v>0.23528054915065388</v>
      </c>
      <c r="P24" s="1829">
        <f>O24/3.571428</f>
        <v>6.5878564302753378E-2</v>
      </c>
      <c r="Q24" s="1908" t="s">
        <v>166</v>
      </c>
      <c r="R24" s="256" t="s">
        <v>475</v>
      </c>
      <c r="S24" s="230" t="s">
        <v>474</v>
      </c>
    </row>
    <row r="25" spans="1:19" ht="19.8" customHeight="1" x14ac:dyDescent="0.45">
      <c r="A25" s="1669"/>
      <c r="B25" s="1688"/>
      <c r="C25" s="1692"/>
      <c r="D25" s="1721" t="s">
        <v>158</v>
      </c>
      <c r="E25" s="1723">
        <v>0.9</v>
      </c>
      <c r="F25" s="933" t="s">
        <v>15</v>
      </c>
      <c r="G25" s="934">
        <f>$E$25/3</f>
        <v>0.3</v>
      </c>
      <c r="H25" s="1890">
        <v>121</v>
      </c>
      <c r="I25" s="1891">
        <v>143</v>
      </c>
      <c r="J25" s="1909">
        <f t="shared" ref="J25:J30" si="6">I25-H25</f>
        <v>22</v>
      </c>
      <c r="K25" s="1865">
        <f>(0.5*I25)*6/10</f>
        <v>42.9</v>
      </c>
      <c r="L25" s="1893">
        <f t="shared" ref="L25:L30" si="7">I25-K25</f>
        <v>100.1</v>
      </c>
      <c r="M25" s="1867">
        <f t="shared" si="5"/>
        <v>0.51282051282051289</v>
      </c>
      <c r="N25" s="1894"/>
      <c r="O25" s="1869"/>
      <c r="P25" s="1870"/>
      <c r="Q25" s="1910" t="s">
        <v>167</v>
      </c>
      <c r="R25" s="257" t="s">
        <v>306</v>
      </c>
      <c r="S25" s="253" t="s">
        <v>314</v>
      </c>
    </row>
    <row r="26" spans="1:19" ht="19.8" customHeight="1" x14ac:dyDescent="0.45">
      <c r="A26" s="1669"/>
      <c r="B26" s="1688"/>
      <c r="C26" s="1692"/>
      <c r="D26" s="1722"/>
      <c r="E26" s="1693"/>
      <c r="F26" s="933" t="s">
        <v>16</v>
      </c>
      <c r="G26" s="934">
        <f t="shared" ref="G26:G27" si="8">$E$25/3</f>
        <v>0.3</v>
      </c>
      <c r="H26" s="1890">
        <v>12</v>
      </c>
      <c r="I26" s="1891">
        <v>11</v>
      </c>
      <c r="J26" s="1909">
        <f t="shared" si="6"/>
        <v>-1</v>
      </c>
      <c r="K26" s="1865">
        <f>(0.8*I26)*6/10</f>
        <v>5.28</v>
      </c>
      <c r="L26" s="1893">
        <f t="shared" si="7"/>
        <v>5.72</v>
      </c>
      <c r="M26" s="1867">
        <f t="shared" si="5"/>
        <v>-0.18939393939393939</v>
      </c>
      <c r="N26" s="1894"/>
      <c r="O26" s="1869"/>
      <c r="P26" s="1870"/>
      <c r="Q26" s="1910" t="s">
        <v>168</v>
      </c>
      <c r="R26" s="258" t="s">
        <v>306</v>
      </c>
      <c r="S26" s="253" t="s">
        <v>315</v>
      </c>
    </row>
    <row r="27" spans="1:19" ht="19.8" customHeight="1" x14ac:dyDescent="0.45">
      <c r="A27" s="1669"/>
      <c r="B27" s="1688"/>
      <c r="C27" s="1692"/>
      <c r="D27" s="1722"/>
      <c r="E27" s="1693"/>
      <c r="F27" s="933" t="s">
        <v>17</v>
      </c>
      <c r="G27" s="934">
        <f t="shared" si="8"/>
        <v>0.3</v>
      </c>
      <c r="H27" s="1890">
        <v>30.2</v>
      </c>
      <c r="I27" s="1891">
        <v>34.700000000000003</v>
      </c>
      <c r="J27" s="1909">
        <f t="shared" si="6"/>
        <v>4.5000000000000036</v>
      </c>
      <c r="K27" s="1865">
        <f>(0.5*I27)*(6/10)</f>
        <v>10.41</v>
      </c>
      <c r="L27" s="1893">
        <f t="shared" si="7"/>
        <v>24.290000000000003</v>
      </c>
      <c r="M27" s="1867">
        <f t="shared" si="5"/>
        <v>0.43227665706051904</v>
      </c>
      <c r="N27" s="1894"/>
      <c r="O27" s="1869"/>
      <c r="P27" s="1870"/>
      <c r="Q27" s="1910" t="s">
        <v>169</v>
      </c>
      <c r="R27" s="258" t="s">
        <v>306</v>
      </c>
      <c r="S27" s="253"/>
    </row>
    <row r="28" spans="1:19" ht="30.6" customHeight="1" x14ac:dyDescent="0.45">
      <c r="A28" s="16"/>
      <c r="B28" s="1688"/>
      <c r="C28" s="1692"/>
      <c r="D28" s="1721" t="s">
        <v>116</v>
      </c>
      <c r="E28" s="1723">
        <f t="shared" ref="E28:E31" si="9">$C$24/4</f>
        <v>0.8928571428571429</v>
      </c>
      <c r="F28" s="933" t="s">
        <v>148</v>
      </c>
      <c r="G28" s="934">
        <f>$E$28/3</f>
        <v>0.29761904761904762</v>
      </c>
      <c r="H28" s="1890">
        <v>0.8</v>
      </c>
      <c r="I28" s="1891">
        <v>1.9</v>
      </c>
      <c r="J28" s="1909">
        <f t="shared" si="6"/>
        <v>1.0999999999999999</v>
      </c>
      <c r="K28" s="1865">
        <f>(0.5*I28)*(6/10)</f>
        <v>0.56999999999999995</v>
      </c>
      <c r="L28" s="1893">
        <f t="shared" si="7"/>
        <v>1.33</v>
      </c>
      <c r="M28" s="1867">
        <f t="shared" si="5"/>
        <v>1.9298245614035088</v>
      </c>
      <c r="N28" s="1911"/>
      <c r="O28" s="1869"/>
      <c r="P28" s="1870"/>
      <c r="Q28" s="1910" t="s">
        <v>170</v>
      </c>
      <c r="R28" s="257" t="s">
        <v>306</v>
      </c>
      <c r="S28" s="253" t="s">
        <v>316</v>
      </c>
    </row>
    <row r="29" spans="1:19" ht="20.45" customHeight="1" x14ac:dyDescent="0.45">
      <c r="A29" s="16"/>
      <c r="B29" s="1688"/>
      <c r="C29" s="1692"/>
      <c r="D29" s="1722"/>
      <c r="E29" s="1693"/>
      <c r="F29" s="933" t="s">
        <v>149</v>
      </c>
      <c r="G29" s="934">
        <f t="shared" ref="G29:G30" si="10">$E$28/3</f>
        <v>0.29761904761904762</v>
      </c>
      <c r="H29" s="1890">
        <v>567</v>
      </c>
      <c r="I29" s="1891">
        <v>860</v>
      </c>
      <c r="J29" s="1909">
        <f t="shared" si="6"/>
        <v>293</v>
      </c>
      <c r="K29" s="1865">
        <f>(0.5*I29)*(6/10)</f>
        <v>258</v>
      </c>
      <c r="L29" s="1893">
        <f t="shared" si="7"/>
        <v>602</v>
      </c>
      <c r="M29" s="1867">
        <f t="shared" si="5"/>
        <v>1.1356589147286822</v>
      </c>
      <c r="N29" s="1911"/>
      <c r="O29" s="1869"/>
      <c r="P29" s="1870"/>
      <c r="Q29" s="1910" t="s">
        <v>171</v>
      </c>
      <c r="R29" s="257" t="s">
        <v>306</v>
      </c>
      <c r="S29" s="253" t="s">
        <v>305</v>
      </c>
    </row>
    <row r="30" spans="1:19" ht="20.45" customHeight="1" x14ac:dyDescent="0.45">
      <c r="A30" s="16"/>
      <c r="B30" s="1689"/>
      <c r="C30" s="1693"/>
      <c r="D30" s="1722"/>
      <c r="E30" s="1693"/>
      <c r="F30" s="933" t="s">
        <v>150</v>
      </c>
      <c r="G30" s="934">
        <f t="shared" si="10"/>
        <v>0.29761904761904762</v>
      </c>
      <c r="H30" s="1890">
        <v>1.4</v>
      </c>
      <c r="I30" s="1891">
        <v>1.3</v>
      </c>
      <c r="J30" s="1909">
        <f t="shared" si="6"/>
        <v>-9.9999999999999867E-2</v>
      </c>
      <c r="K30" s="1865">
        <f>(0.5*I30)*(6/10)</f>
        <v>0.39</v>
      </c>
      <c r="L30" s="1893">
        <f t="shared" si="7"/>
        <v>0.91</v>
      </c>
      <c r="M30" s="1867">
        <f t="shared" si="5"/>
        <v>-0.25641025641025605</v>
      </c>
      <c r="N30" s="1911"/>
      <c r="O30" s="1869"/>
      <c r="P30" s="1870"/>
      <c r="Q30" s="1910" t="s">
        <v>172</v>
      </c>
      <c r="R30" s="257" t="s">
        <v>306</v>
      </c>
      <c r="S30" s="253" t="s">
        <v>317</v>
      </c>
    </row>
    <row r="31" spans="1:19" ht="34.9" customHeight="1" thickBot="1" x14ac:dyDescent="0.5">
      <c r="A31" s="16"/>
      <c r="B31" s="1690"/>
      <c r="C31" s="1694"/>
      <c r="D31" s="953" t="s">
        <v>117</v>
      </c>
      <c r="E31" s="868">
        <f t="shared" si="9"/>
        <v>0.8928571428571429</v>
      </c>
      <c r="F31" s="954" t="s">
        <v>223</v>
      </c>
      <c r="G31" s="868">
        <f>E31/1</f>
        <v>0.8928571428571429</v>
      </c>
      <c r="H31" s="1912">
        <v>4086228</v>
      </c>
      <c r="I31" s="1898">
        <v>2626052</v>
      </c>
      <c r="J31" s="1913">
        <f t="shared" ref="J31" si="11">H31-I31</f>
        <v>1460176</v>
      </c>
      <c r="K31" s="1875">
        <f>(100-I31)*(6/10)</f>
        <v>-1575571.2</v>
      </c>
      <c r="L31" s="1900">
        <f>K31+I31</f>
        <v>1050480.8</v>
      </c>
      <c r="M31" s="1853">
        <f t="shared" si="5"/>
        <v>-0.92675976813996097</v>
      </c>
      <c r="N31" s="1914"/>
      <c r="O31" s="1877"/>
      <c r="P31" s="1839"/>
      <c r="Q31" s="1915" t="s">
        <v>95</v>
      </c>
      <c r="R31" s="259" t="s">
        <v>318</v>
      </c>
      <c r="S31" s="265" t="s">
        <v>312</v>
      </c>
    </row>
    <row r="32" spans="1:19" ht="20.45" customHeight="1" thickBot="1" x14ac:dyDescent="0.5">
      <c r="B32" s="1724" t="s">
        <v>18</v>
      </c>
      <c r="C32" s="1725"/>
      <c r="D32" s="1725"/>
      <c r="E32" s="1725"/>
      <c r="F32" s="1726"/>
      <c r="G32" s="923"/>
      <c r="H32" s="1916"/>
      <c r="I32" s="1917"/>
      <c r="J32" s="1918"/>
      <c r="K32" s="1919"/>
      <c r="L32" s="1920"/>
      <c r="M32" s="1921"/>
      <c r="N32" s="1814">
        <f>(N33+N34+N35+N36)/4</f>
        <v>-0.15323462301587287</v>
      </c>
      <c r="O32" s="1815">
        <f>(O33+O34+O35+O36)</f>
        <v>1.9841266666666684</v>
      </c>
      <c r="P32" s="1816">
        <f>O32/14.285712</f>
        <v>0.13888888888888901</v>
      </c>
      <c r="Q32" s="1881"/>
      <c r="R32" s="250"/>
      <c r="S32" s="250"/>
    </row>
    <row r="33" spans="1:19" ht="33.6" customHeight="1" thickBot="1" x14ac:dyDescent="0.5">
      <c r="A33" s="16">
        <v>6</v>
      </c>
      <c r="B33" s="961" t="s">
        <v>19</v>
      </c>
      <c r="C33" s="962">
        <f>$M$5</f>
        <v>3.5714285714285716</v>
      </c>
      <c r="D33" s="963" t="s">
        <v>287</v>
      </c>
      <c r="E33" s="964">
        <f>C33/1</f>
        <v>3.5714285714285716</v>
      </c>
      <c r="F33" s="961" t="s">
        <v>288</v>
      </c>
      <c r="G33" s="962">
        <f>E33/1</f>
        <v>3.5714285714285716</v>
      </c>
      <c r="H33" s="1922">
        <v>-0.26800000000000002</v>
      </c>
      <c r="I33" s="1923">
        <v>0.80700000000000005</v>
      </c>
      <c r="J33" s="1924">
        <f>IF(H33&lt;7,(H33-7),(H33-I33))</f>
        <v>-7.2679999999999998</v>
      </c>
      <c r="K33" s="1925">
        <f>IF((7-H33&gt;=0),(7-H33),0)</f>
        <v>7.2679999999999998</v>
      </c>
      <c r="L33" s="1926">
        <f>IF((I33&lt;7),7,I33)</f>
        <v>7</v>
      </c>
      <c r="M33" s="1927">
        <f>IF(K33&lt;&gt;0,J33/7,(1+((H33-I33)/I33)))</f>
        <v>-1.0382857142857143</v>
      </c>
      <c r="N33" s="1928">
        <f>((G33/C33)*M33)</f>
        <v>-1.0382857142857143</v>
      </c>
      <c r="O33" s="1929">
        <f>IF(((G33/C33)*M33)&gt;=1,3.571428,IF(((G33/C33)*M33)&lt;=0,0,((G33/C33)*M33)*3.571428))</f>
        <v>0</v>
      </c>
      <c r="P33" s="1816">
        <f>O33/3.571428</f>
        <v>0</v>
      </c>
      <c r="Q33" s="1930" t="s">
        <v>97</v>
      </c>
      <c r="R33" s="260" t="s">
        <v>306</v>
      </c>
      <c r="S33" s="972" t="s">
        <v>305</v>
      </c>
    </row>
    <row r="34" spans="1:19" ht="51" customHeight="1" thickBot="1" x14ac:dyDescent="0.5">
      <c r="A34" s="16">
        <v>7</v>
      </c>
      <c r="B34" s="961" t="s">
        <v>20</v>
      </c>
      <c r="C34" s="962">
        <f t="shared" ref="C34:C36" si="12">$M$5</f>
        <v>3.5714285714285716</v>
      </c>
      <c r="D34" s="961" t="s">
        <v>118</v>
      </c>
      <c r="E34" s="964">
        <f t="shared" ref="E34:E36" si="13">C34/1</f>
        <v>3.5714285714285716</v>
      </c>
      <c r="F34" s="961" t="s">
        <v>21</v>
      </c>
      <c r="G34" s="962">
        <f>E34/1</f>
        <v>3.5714285714285716</v>
      </c>
      <c r="H34" s="1931">
        <v>12.3</v>
      </c>
      <c r="I34" s="1932">
        <v>12.8</v>
      </c>
      <c r="J34" s="1933">
        <f>H34-I34</f>
        <v>-0.5</v>
      </c>
      <c r="K34" s="1934">
        <f>(0.5*I34)*(6/10)</f>
        <v>3.84</v>
      </c>
      <c r="L34" s="1935">
        <f>K34+I34</f>
        <v>16.64</v>
      </c>
      <c r="M34" s="1927">
        <f>IF(K34&lt;&gt;0,J34/K34,"0%")</f>
        <v>-0.13020833333333334</v>
      </c>
      <c r="N34" s="1928">
        <f>((G34/C34)*M34)</f>
        <v>-0.13020833333333334</v>
      </c>
      <c r="O34" s="1929">
        <f>IF(((G34/C34)*M34)&gt;=1,3.571428,IF(((G34/C34)*M34)&lt;=0,0,((G34/C34)*M34)*3.571428))</f>
        <v>0</v>
      </c>
      <c r="P34" s="1816">
        <f t="shared" ref="P34:P36" si="14">O34/3.571428</f>
        <v>0</v>
      </c>
      <c r="Q34" s="1930" t="s">
        <v>173</v>
      </c>
      <c r="R34" s="257" t="s">
        <v>306</v>
      </c>
      <c r="S34" s="275" t="s">
        <v>305</v>
      </c>
    </row>
    <row r="35" spans="1:19" ht="40.799999999999997" customHeight="1" thickBot="1" x14ac:dyDescent="0.5">
      <c r="A35" s="16">
        <v>8</v>
      </c>
      <c r="B35" s="961" t="s">
        <v>22</v>
      </c>
      <c r="C35" s="962">
        <f t="shared" si="12"/>
        <v>3.5714285714285716</v>
      </c>
      <c r="D35" s="961" t="s">
        <v>119</v>
      </c>
      <c r="E35" s="964">
        <f t="shared" si="13"/>
        <v>3.5714285714285716</v>
      </c>
      <c r="F35" s="961" t="s">
        <v>23</v>
      </c>
      <c r="G35" s="962">
        <f>E35/1</f>
        <v>3.5714285714285716</v>
      </c>
      <c r="H35" s="1936">
        <v>0.8</v>
      </c>
      <c r="I35" s="1937">
        <v>0.7</v>
      </c>
      <c r="J35" s="1938">
        <f>H35-I35</f>
        <v>0.10000000000000009</v>
      </c>
      <c r="K35" s="1939">
        <f>IF((I35&gt;=1),0,((1-I35)*0.6))</f>
        <v>0.18000000000000002</v>
      </c>
      <c r="L35" s="1926">
        <f>I35+K35</f>
        <v>0.88</v>
      </c>
      <c r="M35" s="1927">
        <f>IF(K35&lt;&gt;0,J35/K35,"0%")</f>
        <v>0.55555555555555602</v>
      </c>
      <c r="N35" s="1928">
        <f>((G35/C35)*M35)</f>
        <v>0.55555555555555602</v>
      </c>
      <c r="O35" s="1929">
        <f>IF(((G35/C35)*M35)&gt;=1,3.571428,IF(((G35/C35)*M35)&lt;=0,0,((G35/C35)*M35)*3.571428))</f>
        <v>1.9841266666666684</v>
      </c>
      <c r="P35" s="1816">
        <f t="shared" si="14"/>
        <v>0.55555555555555602</v>
      </c>
      <c r="Q35" s="1930" t="s">
        <v>174</v>
      </c>
      <c r="R35" s="257" t="s">
        <v>306</v>
      </c>
      <c r="S35" s="275" t="s">
        <v>319</v>
      </c>
    </row>
    <row r="36" spans="1:19" ht="32.450000000000003" customHeight="1" thickBot="1" x14ac:dyDescent="0.5">
      <c r="A36" s="16">
        <v>9</v>
      </c>
      <c r="B36" s="961" t="s">
        <v>24</v>
      </c>
      <c r="C36" s="962">
        <f t="shared" si="12"/>
        <v>3.5714285714285716</v>
      </c>
      <c r="D36" s="961" t="s">
        <v>275</v>
      </c>
      <c r="E36" s="964">
        <f t="shared" si="13"/>
        <v>3.5714285714285716</v>
      </c>
      <c r="F36" s="980" t="s">
        <v>25</v>
      </c>
      <c r="G36" s="962">
        <f>E36/1</f>
        <v>3.5714285714285716</v>
      </c>
      <c r="H36" s="1936">
        <v>2.9</v>
      </c>
      <c r="I36" s="1937">
        <v>2.9</v>
      </c>
      <c r="J36" s="1940">
        <f>H36-I36</f>
        <v>0</v>
      </c>
      <c r="K36" s="1941">
        <f>(1*I36)*(6/10)</f>
        <v>1.74</v>
      </c>
      <c r="L36" s="1942">
        <f>I36+K36</f>
        <v>4.6399999999999997</v>
      </c>
      <c r="M36" s="1927">
        <f>IF(K36&lt;&gt;0,J36/K36,"0%")</f>
        <v>0</v>
      </c>
      <c r="N36" s="1928">
        <f>((G36/C36)*M36)</f>
        <v>0</v>
      </c>
      <c r="O36" s="1929">
        <f>IF(((G36/C36)*M36)&gt;=1,3.571428,IF(((G36/C36)*M36)&lt;=0,0,((G36/C36)*M36)*3.571428))</f>
        <v>0</v>
      </c>
      <c r="P36" s="1816">
        <f t="shared" si="14"/>
        <v>0</v>
      </c>
      <c r="Q36" s="1943" t="s">
        <v>175</v>
      </c>
      <c r="R36" s="261"/>
      <c r="S36" s="275" t="s">
        <v>320</v>
      </c>
    </row>
    <row r="37" spans="1:19" ht="30.6" customHeight="1" thickBot="1" x14ac:dyDescent="0.5">
      <c r="B37" s="1718" t="s">
        <v>26</v>
      </c>
      <c r="C37" s="1719"/>
      <c r="D37" s="1719"/>
      <c r="E37" s="1719"/>
      <c r="F37" s="1720"/>
      <c r="G37" s="985"/>
      <c r="H37" s="1944"/>
      <c r="I37" s="1945"/>
      <c r="J37" s="1946"/>
      <c r="K37" s="1947"/>
      <c r="L37" s="1947"/>
      <c r="M37" s="1948"/>
      <c r="N37" s="1814">
        <f>N38</f>
        <v>0</v>
      </c>
      <c r="O37" s="1815">
        <f>O38</f>
        <v>0</v>
      </c>
      <c r="P37" s="1816">
        <f>O37/3.571428</f>
        <v>0</v>
      </c>
      <c r="Q37" s="1949"/>
      <c r="R37" s="249"/>
      <c r="S37" s="250"/>
    </row>
    <row r="38" spans="1:19" ht="25.8" customHeight="1" thickBot="1" x14ac:dyDescent="0.5">
      <c r="A38" s="1669">
        <v>10</v>
      </c>
      <c r="B38" s="1687" t="s">
        <v>27</v>
      </c>
      <c r="C38" s="1691">
        <f>M5</f>
        <v>3.5714285714285716</v>
      </c>
      <c r="D38" s="904" t="s">
        <v>120</v>
      </c>
      <c r="E38" s="853">
        <f>$C$38/2</f>
        <v>1.7857142857142858</v>
      </c>
      <c r="F38" s="990" t="s">
        <v>224</v>
      </c>
      <c r="G38" s="853">
        <f>E38/1</f>
        <v>1.7857142857142858</v>
      </c>
      <c r="H38" s="1950"/>
      <c r="I38" s="1951"/>
      <c r="J38" s="1952">
        <f>H38-I38</f>
        <v>0</v>
      </c>
      <c r="K38" s="1953">
        <f>(1*I38)*(6/10)</f>
        <v>0</v>
      </c>
      <c r="L38" s="1954">
        <f>I38+K38</f>
        <v>0</v>
      </c>
      <c r="M38" s="1826" t="str">
        <f>IF(K38&lt;&gt;0,J38/K38,"0%")</f>
        <v>0%</v>
      </c>
      <c r="N38" s="1859">
        <f>(((G38/C38)*M38)+((G39/C38)*M39))</f>
        <v>0</v>
      </c>
      <c r="O38" s="1828">
        <f>IF((((G38/C38)*M38)+((G39/C38)*M39))&gt;=1,3.57148,IF((((G38/C38)*M38)+((G39/C38)*M39))&lt;=0,0, (((G38/C38)*M38)+((G39/C38)*M39))*3.571428))</f>
        <v>0</v>
      </c>
      <c r="P38" s="1829">
        <f>O38/3.571428</f>
        <v>0</v>
      </c>
      <c r="Q38" s="1955" t="s">
        <v>176</v>
      </c>
      <c r="R38" s="262"/>
      <c r="S38" s="155" t="s">
        <v>463</v>
      </c>
    </row>
    <row r="39" spans="1:19" ht="35.25" thickBot="1" x14ac:dyDescent="0.5">
      <c r="A39" s="1669"/>
      <c r="B39" s="1688"/>
      <c r="C39" s="1692"/>
      <c r="D39" s="911" t="s">
        <v>157</v>
      </c>
      <c r="E39" s="868">
        <f>$C$38/2</f>
        <v>1.7857142857142858</v>
      </c>
      <c r="F39" s="995" t="s">
        <v>225</v>
      </c>
      <c r="G39" s="934">
        <f>E39/1</f>
        <v>1.7857142857142858</v>
      </c>
      <c r="H39" s="1956"/>
      <c r="I39" s="1896"/>
      <c r="J39" s="1957">
        <f>H39-I39</f>
        <v>0</v>
      </c>
      <c r="K39" s="1958">
        <f>IF(AND(I39&gt;=10,H39&gt;=I39),0,((10-H39)*(6/10)))</f>
        <v>6</v>
      </c>
      <c r="L39" s="1959">
        <f>I39+K39</f>
        <v>6</v>
      </c>
      <c r="M39" s="1836">
        <f>IF(K39&lt;&gt;0,J39/K39,"0%")</f>
        <v>0</v>
      </c>
      <c r="N39" s="1868"/>
      <c r="O39" s="1838"/>
      <c r="P39" s="1839"/>
      <c r="Q39" s="1960" t="s">
        <v>95</v>
      </c>
      <c r="R39" s="258"/>
      <c r="S39" s="155" t="s">
        <v>463</v>
      </c>
    </row>
    <row r="40" spans="1:19" ht="20.45" customHeight="1" thickBot="1" x14ac:dyDescent="0.5">
      <c r="B40" s="1730" t="s">
        <v>28</v>
      </c>
      <c r="C40" s="1731"/>
      <c r="D40" s="1731"/>
      <c r="E40" s="1732"/>
      <c r="F40" s="1733"/>
      <c r="G40" s="985"/>
      <c r="H40" s="1961"/>
      <c r="I40" s="1962"/>
      <c r="J40" s="1963"/>
      <c r="K40" s="1964"/>
      <c r="L40" s="1964"/>
      <c r="M40" s="1965"/>
      <c r="N40" s="1814">
        <f>N41</f>
        <v>0</v>
      </c>
      <c r="O40" s="1815">
        <f>O41</f>
        <v>0</v>
      </c>
      <c r="P40" s="1816">
        <f>O40/3.571428</f>
        <v>0</v>
      </c>
      <c r="Q40" s="1966"/>
      <c r="R40" s="263"/>
      <c r="S40" s="403"/>
    </row>
    <row r="41" spans="1:19" ht="35.25" thickBot="1" x14ac:dyDescent="0.5">
      <c r="A41" s="1669">
        <v>11</v>
      </c>
      <c r="B41" s="1734" t="s">
        <v>29</v>
      </c>
      <c r="C41" s="1736">
        <f>M5</f>
        <v>3.5714285714285716</v>
      </c>
      <c r="D41" s="1004" t="s">
        <v>121</v>
      </c>
      <c r="E41" s="1005">
        <f>$C$41/2</f>
        <v>1.7857142857142858</v>
      </c>
      <c r="F41" s="880" t="s">
        <v>30</v>
      </c>
      <c r="G41" s="1006">
        <f>E41/1</f>
        <v>1.7857142857142858</v>
      </c>
      <c r="H41" s="1967"/>
      <c r="I41" s="1968"/>
      <c r="J41" s="1969">
        <f>H41-I41</f>
        <v>0</v>
      </c>
      <c r="K41" s="1970">
        <f>(0.5*I41)*(6/10)</f>
        <v>0</v>
      </c>
      <c r="L41" s="1971">
        <f>I41+K41</f>
        <v>0</v>
      </c>
      <c r="M41" s="1826" t="str">
        <f>IF(K41&lt;&gt;0,J41/K41,"0%")</f>
        <v>0%</v>
      </c>
      <c r="N41" s="1972">
        <f>(((G41/C41)*M41)+(G42/C41)*M42)</f>
        <v>0</v>
      </c>
      <c r="O41" s="1828">
        <f>IF((((G41/C41)*M41)+((G42/C41)*M42))&gt;=1,3.57148,IF((((G41/C41)*M41)+((G42/C41)*M42))&lt;=0,0, (((G41/C41)*M41)+((G42/C41)*M42))*3.571428))</f>
        <v>0</v>
      </c>
      <c r="P41" s="1829">
        <f>O41/3.571428</f>
        <v>0</v>
      </c>
      <c r="Q41" s="1973" t="s">
        <v>177</v>
      </c>
      <c r="R41" s="256"/>
      <c r="S41" s="155" t="s">
        <v>463</v>
      </c>
    </row>
    <row r="42" spans="1:19" ht="23.65" thickBot="1" x14ac:dyDescent="0.5">
      <c r="A42" s="1669"/>
      <c r="B42" s="1735"/>
      <c r="C42" s="1737"/>
      <c r="D42" s="1011" t="s">
        <v>122</v>
      </c>
      <c r="E42" s="939">
        <f>$C$41/2</f>
        <v>1.7857142857142858</v>
      </c>
      <c r="F42" s="891" t="s">
        <v>31</v>
      </c>
      <c r="G42" s="1012">
        <f>E42/1</f>
        <v>1.7857142857142858</v>
      </c>
      <c r="H42" s="1974"/>
      <c r="I42" s="1975"/>
      <c r="J42" s="1976">
        <f>H42-I42</f>
        <v>0</v>
      </c>
      <c r="K42" s="1851">
        <f>(0.5*I42)*(6/10)</f>
        <v>0</v>
      </c>
      <c r="L42" s="1977">
        <f>I42+K42</f>
        <v>0</v>
      </c>
      <c r="M42" s="1836" t="str">
        <f>IF(K42&lt;&gt;0,J42/K42,"0%")</f>
        <v>0%</v>
      </c>
      <c r="N42" s="1972"/>
      <c r="O42" s="1838"/>
      <c r="P42" s="1839"/>
      <c r="Q42" s="1973" t="s">
        <v>95</v>
      </c>
      <c r="R42" s="264"/>
      <c r="S42" s="155" t="s">
        <v>463</v>
      </c>
    </row>
    <row r="43" spans="1:19" ht="30.6" customHeight="1" thickBot="1" x14ac:dyDescent="0.5">
      <c r="B43" s="1704" t="s">
        <v>32</v>
      </c>
      <c r="C43" s="1705"/>
      <c r="D43" s="1705"/>
      <c r="E43" s="1705"/>
      <c r="F43" s="1706"/>
      <c r="G43" s="923"/>
      <c r="H43" s="1978"/>
      <c r="I43" s="1979"/>
      <c r="J43" s="1980"/>
      <c r="K43" s="1981"/>
      <c r="L43" s="1981"/>
      <c r="M43" s="1982"/>
      <c r="N43" s="1814">
        <f>N44</f>
        <v>0.75</v>
      </c>
      <c r="O43" s="1815">
        <f>O44</f>
        <v>2.6785709999999998</v>
      </c>
      <c r="P43" s="1816">
        <f>O43/3.571428</f>
        <v>0.74999999999999989</v>
      </c>
      <c r="Q43" s="1983"/>
      <c r="R43" s="255"/>
      <c r="S43" s="255"/>
    </row>
    <row r="44" spans="1:19" ht="37.799999999999997" customHeight="1" thickBot="1" x14ac:dyDescent="0.5">
      <c r="A44" s="1669">
        <v>12</v>
      </c>
      <c r="B44" s="1727" t="s">
        <v>33</v>
      </c>
      <c r="C44" s="1691">
        <f>M5</f>
        <v>3.5714285714285716</v>
      </c>
      <c r="D44" s="926" t="s">
        <v>123</v>
      </c>
      <c r="E44" s="1018">
        <f>C44/2</f>
        <v>1.7857142857142858</v>
      </c>
      <c r="F44" s="926" t="s">
        <v>34</v>
      </c>
      <c r="G44" s="853">
        <f>$E$44/1</f>
        <v>1.7857142857142858</v>
      </c>
      <c r="H44" s="1984"/>
      <c r="I44" s="1906"/>
      <c r="J44" s="1985">
        <f>IF(I44=H44,(H44-30),H44-I44)</f>
        <v>-30</v>
      </c>
      <c r="K44" s="1858">
        <f>IF(I44&gt;=30,0,((30-I44)*(6/10)))</f>
        <v>18</v>
      </c>
      <c r="L44" s="1986">
        <f>I44+K44</f>
        <v>18</v>
      </c>
      <c r="M44" s="1836" t="str">
        <f>IF(H44=0,"0%",J44/K44)</f>
        <v>0%</v>
      </c>
      <c r="N44" s="1859">
        <f>(((G44/C44)*M44)+((G45/C44)*M45))</f>
        <v>0.75</v>
      </c>
      <c r="O44" s="1828">
        <f>IF((((G44/C44)*M44)+((G45/C44)*M45))&gt;=1,3.57148,IF((((G44/C44)*M44)+((G45/C44)*M45))&lt;=0,0, (((G44/C44)*M44)+((G45/C44)*M45))*3.571428))</f>
        <v>2.6785709999999998</v>
      </c>
      <c r="P44" s="1829">
        <f>O44/3.571428</f>
        <v>0.74999999999999989</v>
      </c>
      <c r="Q44" s="1861" t="s">
        <v>178</v>
      </c>
      <c r="R44" s="266"/>
      <c r="S44" s="155" t="s">
        <v>463</v>
      </c>
    </row>
    <row r="45" spans="1:19" ht="57.4" customHeight="1" thickBot="1" x14ac:dyDescent="0.5">
      <c r="A45" s="1669"/>
      <c r="B45" s="1728"/>
      <c r="C45" s="1729"/>
      <c r="D45" s="953" t="s">
        <v>124</v>
      </c>
      <c r="E45" s="1021">
        <f>(C44/2)</f>
        <v>1.7857142857142858</v>
      </c>
      <c r="F45" s="953" t="s">
        <v>35</v>
      </c>
      <c r="G45" s="868">
        <f>$E$45/1</f>
        <v>1.7857142857142858</v>
      </c>
      <c r="H45" s="1987">
        <v>25.5</v>
      </c>
      <c r="I45" s="1988">
        <v>25</v>
      </c>
      <c r="J45" s="1989">
        <f>IF(I45=H45,(H45-17),H45-I45)</f>
        <v>0.5</v>
      </c>
      <c r="K45" s="1990">
        <f>IF(I45&gt;=17,0,((17-I45)*(6/10)))</f>
        <v>0</v>
      </c>
      <c r="L45" s="1991">
        <f>I45+K45</f>
        <v>25</v>
      </c>
      <c r="M45" s="1846">
        <f>IF(I45&gt;=17,(1+(H45-17)/17),(H45/17))</f>
        <v>1.5</v>
      </c>
      <c r="N45" s="1876"/>
      <c r="O45" s="1838"/>
      <c r="P45" s="1839"/>
      <c r="Q45" s="1878" t="s">
        <v>179</v>
      </c>
      <c r="R45" s="267"/>
      <c r="S45" s="248" t="s">
        <v>321</v>
      </c>
    </row>
    <row r="46" spans="1:19" ht="30.6" customHeight="1" thickBot="1" x14ac:dyDescent="0.5">
      <c r="B46" s="1743" t="s">
        <v>36</v>
      </c>
      <c r="C46" s="1744"/>
      <c r="D46" s="1744"/>
      <c r="E46" s="1744"/>
      <c r="F46" s="1745"/>
      <c r="G46" s="1025"/>
      <c r="H46" s="1992"/>
      <c r="I46" s="1993"/>
      <c r="J46" s="1994"/>
      <c r="K46" s="1995"/>
      <c r="L46" s="1995"/>
      <c r="M46" s="1996"/>
      <c r="N46" s="1814">
        <f>(N47+N50+N52)/3</f>
        <v>0.23174609247251476</v>
      </c>
      <c r="O46" s="1815">
        <f>(O47+O50+O52)</f>
        <v>3.6108203507753007</v>
      </c>
      <c r="P46" s="1816">
        <f>O46/10.714284</f>
        <v>0.33700995332728728</v>
      </c>
      <c r="Q46" s="1997"/>
      <c r="R46" s="268"/>
      <c r="S46" s="268"/>
    </row>
    <row r="47" spans="1:19" ht="20.45" customHeight="1" thickBot="1" x14ac:dyDescent="0.5">
      <c r="B47" s="1684" t="s">
        <v>37</v>
      </c>
      <c r="C47" s="1685"/>
      <c r="D47" s="1685"/>
      <c r="E47" s="1685"/>
      <c r="F47" s="1686"/>
      <c r="G47" s="1030"/>
      <c r="H47" s="1961"/>
      <c r="I47" s="1962"/>
      <c r="J47" s="1998"/>
      <c r="K47" s="1999"/>
      <c r="L47" s="1999"/>
      <c r="M47" s="1982"/>
      <c r="N47" s="1814">
        <f>N48</f>
        <v>-0.98245824923098424</v>
      </c>
      <c r="O47" s="1815">
        <f>O48</f>
        <v>0</v>
      </c>
      <c r="P47" s="1816">
        <f>O47/3.571428</f>
        <v>0</v>
      </c>
      <c r="Q47" s="1983"/>
      <c r="R47" s="255"/>
      <c r="S47" s="255"/>
    </row>
    <row r="48" spans="1:19" ht="74.25" customHeight="1" x14ac:dyDescent="0.45">
      <c r="A48" s="1669">
        <v>13</v>
      </c>
      <c r="B48" s="1727" t="s">
        <v>38</v>
      </c>
      <c r="C48" s="1691">
        <f>M5</f>
        <v>3.5714285714285716</v>
      </c>
      <c r="D48" s="926" t="s">
        <v>125</v>
      </c>
      <c r="E48" s="853">
        <f>$C$48/2</f>
        <v>1.7857142857142858</v>
      </c>
      <c r="F48" s="1033" t="s">
        <v>289</v>
      </c>
      <c r="G48" s="853">
        <f>E48/1</f>
        <v>1.7857142857142858</v>
      </c>
      <c r="H48" s="1984">
        <v>40</v>
      </c>
      <c r="I48" s="1906">
        <v>100</v>
      </c>
      <c r="J48" s="2000">
        <f>H48-I48</f>
        <v>-60</v>
      </c>
      <c r="K48" s="2001">
        <f>(0.5*I48)* (6/10)</f>
        <v>30</v>
      </c>
      <c r="L48" s="2002">
        <f>I48-K48</f>
        <v>70</v>
      </c>
      <c r="M48" s="1846">
        <f>IF(K48&lt;&gt;0,J48/K48,"0%")</f>
        <v>-2</v>
      </c>
      <c r="N48" s="2003">
        <f>(((G48/C48)*M48)+((G49/C48)*M49))</f>
        <v>-0.98245824923098424</v>
      </c>
      <c r="O48" s="1828">
        <f>IF((((G48/C48)*M48)+((G49/C48)*M49))&gt;=1,3.57148,IF((((G48/C48)*M48)+((G49/C48)*M49))&lt;=0,0, (((G48/C48)*M48)+((G49/C48)*M49))*3.571428))</f>
        <v>0</v>
      </c>
      <c r="P48" s="1829">
        <f>O48/3.571428</f>
        <v>0</v>
      </c>
      <c r="Q48" s="1908" t="s">
        <v>95</v>
      </c>
      <c r="R48" s="262"/>
      <c r="S48" s="402" t="s">
        <v>476</v>
      </c>
    </row>
    <row r="49" spans="1:19" ht="30.6" customHeight="1" thickBot="1" x14ac:dyDescent="0.5">
      <c r="A49" s="1669"/>
      <c r="B49" s="1728"/>
      <c r="C49" s="1729"/>
      <c r="D49" s="953" t="s">
        <v>126</v>
      </c>
      <c r="E49" s="868">
        <f>$C$48/2</f>
        <v>1.7857142857142858</v>
      </c>
      <c r="F49" s="953" t="s">
        <v>290</v>
      </c>
      <c r="G49" s="868">
        <f>E49/1</f>
        <v>1.7857142857142858</v>
      </c>
      <c r="H49" s="2004">
        <v>156036329022</v>
      </c>
      <c r="I49" s="2005">
        <v>149732558103</v>
      </c>
      <c r="J49" s="1913">
        <f>H49-I49</f>
        <v>6303770919</v>
      </c>
      <c r="K49" s="2006">
        <f>(2*I49)*(6/10)</f>
        <v>179679069723.60001</v>
      </c>
      <c r="L49" s="2007">
        <f>I49+K49</f>
        <v>329411627826.59998</v>
      </c>
      <c r="M49" s="1836">
        <f>IF(K49&lt;&gt;0,J49/K49,"0%")</f>
        <v>3.5083501538031553E-2</v>
      </c>
      <c r="N49" s="2008"/>
      <c r="O49" s="1838"/>
      <c r="P49" s="1839"/>
      <c r="Q49" s="1915" t="s">
        <v>95</v>
      </c>
      <c r="R49" s="264" t="s">
        <v>322</v>
      </c>
      <c r="S49" s="265" t="s">
        <v>323</v>
      </c>
    </row>
    <row r="50" spans="1:19" ht="15" customHeight="1" thickBot="1" x14ac:dyDescent="0.5">
      <c r="B50" s="1704" t="s">
        <v>39</v>
      </c>
      <c r="C50" s="1705"/>
      <c r="D50" s="1705"/>
      <c r="E50" s="1705"/>
      <c r="F50" s="1706"/>
      <c r="G50" s="1039"/>
      <c r="H50" s="2009"/>
      <c r="I50" s="2010"/>
      <c r="J50" s="2011"/>
      <c r="K50" s="2011"/>
      <c r="L50" s="2011"/>
      <c r="M50" s="2012"/>
      <c r="N50" s="1814">
        <f>N51</f>
        <v>1.6666666666666667</v>
      </c>
      <c r="O50" s="1815">
        <f>O51</f>
        <v>3.571428</v>
      </c>
      <c r="P50" s="1816">
        <f>O50/3.571428</f>
        <v>1</v>
      </c>
      <c r="Q50" s="2013"/>
      <c r="R50" s="269"/>
      <c r="S50" s="269"/>
    </row>
    <row r="51" spans="1:19" ht="30.6" customHeight="1" thickBot="1" x14ac:dyDescent="0.5">
      <c r="A51" s="15">
        <v>14</v>
      </c>
      <c r="B51" s="1043" t="s">
        <v>226</v>
      </c>
      <c r="C51" s="1044">
        <f>M5</f>
        <v>3.5714285714285716</v>
      </c>
      <c r="D51" s="1045" t="s">
        <v>272</v>
      </c>
      <c r="E51" s="1046">
        <f>C51</f>
        <v>3.5714285714285716</v>
      </c>
      <c r="F51" s="1047" t="s">
        <v>266</v>
      </c>
      <c r="G51" s="1048">
        <f>E51/1</f>
        <v>3.5714285714285716</v>
      </c>
      <c r="H51" s="2014">
        <v>100</v>
      </c>
      <c r="I51" s="2015">
        <v>0</v>
      </c>
      <c r="J51" s="2016">
        <f>H51-I51</f>
        <v>100</v>
      </c>
      <c r="K51" s="2017">
        <f>(100-I51)*(6/10)</f>
        <v>60</v>
      </c>
      <c r="L51" s="2018">
        <f>I51+K51</f>
        <v>60</v>
      </c>
      <c r="M51" s="1853">
        <f>IF(K51&lt;&gt;0,J51/K51,"100%")</f>
        <v>1.6666666666666667</v>
      </c>
      <c r="N51" s="1928">
        <f>((G51/C51)*M51)</f>
        <v>1.6666666666666667</v>
      </c>
      <c r="O51" s="1929">
        <f>IF(((G51/C51)*M51)&gt;=1,3.571428,IF(((G51/C51)*M51)&lt;=0,0,((G51/C51)*M51)*3.571428))</f>
        <v>3.571428</v>
      </c>
      <c r="P51" s="1816">
        <f>O51/3.571428</f>
        <v>1</v>
      </c>
      <c r="Q51" s="2019" t="s">
        <v>95</v>
      </c>
      <c r="R51" s="270"/>
      <c r="S51" s="270" t="s">
        <v>324</v>
      </c>
    </row>
    <row r="52" spans="1:19" ht="20.45" customHeight="1" thickBot="1" x14ac:dyDescent="0.5">
      <c r="B52" s="1704" t="s">
        <v>40</v>
      </c>
      <c r="C52" s="1705"/>
      <c r="D52" s="1705"/>
      <c r="E52" s="1705"/>
      <c r="F52" s="1706"/>
      <c r="G52" s="1030"/>
      <c r="H52" s="1961"/>
      <c r="I52" s="1962"/>
      <c r="J52" s="1998"/>
      <c r="K52" s="1999"/>
      <c r="L52" s="1999"/>
      <c r="M52" s="1905"/>
      <c r="N52" s="1814">
        <f>N53</f>
        <v>1.1029859981861822E-2</v>
      </c>
      <c r="O52" s="1815">
        <f>O53</f>
        <v>3.9392350775300802E-2</v>
      </c>
      <c r="P52" s="1816">
        <f>O52/3.571428</f>
        <v>1.1029859981861822E-2</v>
      </c>
      <c r="Q52" s="2020"/>
      <c r="R52" s="269"/>
      <c r="S52" s="269"/>
    </row>
    <row r="53" spans="1:19" ht="43.8" customHeight="1" thickBot="1" x14ac:dyDescent="0.5">
      <c r="A53" s="1669">
        <v>15</v>
      </c>
      <c r="B53" s="1687" t="s">
        <v>108</v>
      </c>
      <c r="C53" s="1691">
        <f>M5</f>
        <v>3.5714285714285716</v>
      </c>
      <c r="D53" s="1054" t="s">
        <v>127</v>
      </c>
      <c r="E53" s="1055">
        <f>$C$53/5</f>
        <v>0.7142857142857143</v>
      </c>
      <c r="F53" s="1056" t="s">
        <v>41</v>
      </c>
      <c r="G53" s="905">
        <f>E53/1</f>
        <v>0.7142857142857143</v>
      </c>
      <c r="H53" s="2021"/>
      <c r="I53" s="2022"/>
      <c r="J53" s="1885">
        <f>H53-I53</f>
        <v>0</v>
      </c>
      <c r="K53" s="2001">
        <f>(100-I53)*(6/10)</f>
        <v>60</v>
      </c>
      <c r="L53" s="1954">
        <f t="shared" ref="L53:L58" si="15">I53+K53</f>
        <v>60</v>
      </c>
      <c r="M53" s="1826">
        <f t="shared" ref="M53:M55" si="16">IF(K53&lt;&gt;0,J53/K53,"0%")</f>
        <v>0</v>
      </c>
      <c r="N53" s="2023">
        <f>(((G53/C53)*M53)+((G54/C53)*M54)+((G55/C53)*M55)+((G56/C53)*M56)+((G57/C53)*M57)+((G58/C53)*M58))</f>
        <v>1.1029859981861822E-2</v>
      </c>
      <c r="O53" s="2024">
        <f>IF((((G53/C53)*M53)+((G54/C53)*M54)+((G55/C53)*M55)+((G56/C53)*M56)+((G57/C53)*M57)+((G58/C53)*M58))&gt;=1,3.571428,IF((((G53/C53)*M53)+((G54/C53)*M54)+((G55/C53)*M55)+((G56/C53)*M56)+((G57/C53)*M57)+((G58/C53)*M58))&lt;=0,0,((((G53/C53)*M53)+((G54/C53)*M54)+((G55/C53)*M55)+((G56/C53)*M56)+((G57/C53)*M57)+((G58/C53)*M58))*3.571428)))</f>
        <v>3.9392350775300802E-2</v>
      </c>
      <c r="P53" s="1829">
        <f>O53/3.571428</f>
        <v>1.1029859981861822E-2</v>
      </c>
      <c r="Q53" s="2025" t="s">
        <v>95</v>
      </c>
      <c r="R53" s="271"/>
      <c r="S53" s="155" t="s">
        <v>463</v>
      </c>
    </row>
    <row r="54" spans="1:19" ht="35.450000000000003" customHeight="1" thickBot="1" x14ac:dyDescent="0.5">
      <c r="A54" s="1669"/>
      <c r="B54" s="1688"/>
      <c r="C54" s="1692"/>
      <c r="D54" s="1058" t="s">
        <v>128</v>
      </c>
      <c r="E54" s="1059">
        <f t="shared" ref="E54:E57" si="17">$C$53/5</f>
        <v>0.7142857142857143</v>
      </c>
      <c r="F54" s="1060" t="s">
        <v>42</v>
      </c>
      <c r="G54" s="912">
        <f>E54/1</f>
        <v>0.7142857142857143</v>
      </c>
      <c r="H54" s="1956"/>
      <c r="I54" s="1896"/>
      <c r="J54" s="1892">
        <f>H54-I54</f>
        <v>0</v>
      </c>
      <c r="K54" s="1958">
        <f>(100-I54)*(6/6)</f>
        <v>100</v>
      </c>
      <c r="L54" s="1959">
        <f>I54+K54</f>
        <v>100</v>
      </c>
      <c r="M54" s="1867">
        <f t="shared" si="16"/>
        <v>0</v>
      </c>
      <c r="N54" s="2026"/>
      <c r="O54" s="1869"/>
      <c r="P54" s="1870"/>
      <c r="Q54" s="2027" t="s">
        <v>95</v>
      </c>
      <c r="R54" s="246"/>
      <c r="S54" s="155" t="s">
        <v>463</v>
      </c>
    </row>
    <row r="55" spans="1:19" ht="34.25" customHeight="1" thickBot="1" x14ac:dyDescent="0.5">
      <c r="A55" s="1669"/>
      <c r="B55" s="1688"/>
      <c r="C55" s="1692"/>
      <c r="D55" s="1058" t="s">
        <v>129</v>
      </c>
      <c r="E55" s="1059">
        <f t="shared" si="17"/>
        <v>0.7142857142857143</v>
      </c>
      <c r="F55" s="1060" t="s">
        <v>43</v>
      </c>
      <c r="G55" s="912">
        <f>E55/1</f>
        <v>0.7142857142857143</v>
      </c>
      <c r="H55" s="1956"/>
      <c r="I55" s="1896"/>
      <c r="J55" s="1892">
        <f>H55-I55</f>
        <v>0</v>
      </c>
      <c r="K55" s="1958">
        <f>(100-I55)*(6/10)</f>
        <v>60</v>
      </c>
      <c r="L55" s="1959">
        <f t="shared" si="15"/>
        <v>60</v>
      </c>
      <c r="M55" s="1867">
        <f t="shared" si="16"/>
        <v>0</v>
      </c>
      <c r="N55" s="2026"/>
      <c r="O55" s="1869"/>
      <c r="P55" s="1870"/>
      <c r="Q55" s="2027" t="s">
        <v>95</v>
      </c>
      <c r="R55" s="246"/>
      <c r="S55" s="155" t="s">
        <v>463</v>
      </c>
    </row>
    <row r="56" spans="1:19" ht="37.25" customHeight="1" x14ac:dyDescent="0.45">
      <c r="A56" s="1669"/>
      <c r="B56" s="1688"/>
      <c r="C56" s="1692"/>
      <c r="D56" s="1058" t="s">
        <v>130</v>
      </c>
      <c r="E56" s="1059">
        <f t="shared" si="17"/>
        <v>0.7142857142857143</v>
      </c>
      <c r="F56" s="1060" t="s">
        <v>44</v>
      </c>
      <c r="G56" s="912">
        <f>E56/1</f>
        <v>0.7142857142857143</v>
      </c>
      <c r="H56" s="1890">
        <v>95.27</v>
      </c>
      <c r="I56" s="1891">
        <v>93.12</v>
      </c>
      <c r="J56" s="1892">
        <f>H56-I56</f>
        <v>2.1499999999999915</v>
      </c>
      <c r="K56" s="2028">
        <f>(0.5*I56)*(6/7)</f>
        <v>39.908571428571427</v>
      </c>
      <c r="L56" s="1959">
        <f t="shared" si="15"/>
        <v>133.02857142857144</v>
      </c>
      <c r="M56" s="1867">
        <f>IF(K56&lt;&gt;0,J56/K56,"0%")</f>
        <v>5.3873138602519834E-2</v>
      </c>
      <c r="N56" s="2026"/>
      <c r="O56" s="1869"/>
      <c r="P56" s="1870"/>
      <c r="Q56" s="2027" t="s">
        <v>101</v>
      </c>
      <c r="R56" s="246"/>
      <c r="S56" s="246" t="s">
        <v>325</v>
      </c>
    </row>
    <row r="57" spans="1:19" ht="22.8" customHeight="1" thickBot="1" x14ac:dyDescent="0.5">
      <c r="A57" s="1669"/>
      <c r="B57" s="1688"/>
      <c r="C57" s="1692"/>
      <c r="D57" s="1753" t="s">
        <v>131</v>
      </c>
      <c r="E57" s="1755">
        <f t="shared" si="17"/>
        <v>0.7142857142857143</v>
      </c>
      <c r="F57" s="1060" t="s">
        <v>45</v>
      </c>
      <c r="G57" s="912">
        <f>$E$57/2</f>
        <v>0.35714285714285715</v>
      </c>
      <c r="H57" s="2029">
        <v>65.400000000000006</v>
      </c>
      <c r="I57" s="1891">
        <v>65.3</v>
      </c>
      <c r="J57" s="1892">
        <f t="shared" ref="J57:J58" si="18">H57-I57</f>
        <v>0.10000000000000853</v>
      </c>
      <c r="K57" s="2030">
        <f>(1*I57)*(6/10)</f>
        <v>39.18</v>
      </c>
      <c r="L57" s="1959">
        <f t="shared" si="15"/>
        <v>104.47999999999999</v>
      </c>
      <c r="M57" s="1867">
        <f>IF(K57&lt;&gt;0,J57/K57,"0%")</f>
        <v>2.5523226135785739E-3</v>
      </c>
      <c r="N57" s="2026"/>
      <c r="O57" s="1869"/>
      <c r="P57" s="1870"/>
      <c r="Q57" s="2027" t="s">
        <v>180</v>
      </c>
      <c r="R57" s="246"/>
      <c r="S57" s="246" t="s">
        <v>305</v>
      </c>
    </row>
    <row r="58" spans="1:19" ht="15" customHeight="1" thickBot="1" x14ac:dyDescent="0.5">
      <c r="A58" s="1669"/>
      <c r="B58" s="1739"/>
      <c r="C58" s="1729"/>
      <c r="D58" s="1754"/>
      <c r="E58" s="1756"/>
      <c r="F58" s="867" t="s">
        <v>46</v>
      </c>
      <c r="G58" s="919">
        <f>$E$57/2</f>
        <v>0.35714285714285715</v>
      </c>
      <c r="H58" s="2031"/>
      <c r="I58" s="2032"/>
      <c r="J58" s="1899">
        <f t="shared" si="18"/>
        <v>0</v>
      </c>
      <c r="K58" s="2006">
        <f>(1*I58)*(6/10)</f>
        <v>0</v>
      </c>
      <c r="L58" s="2033">
        <f t="shared" si="15"/>
        <v>0</v>
      </c>
      <c r="M58" s="1836" t="str">
        <f>IF(K58&lt;&gt;0,J58/K58,"0%")</f>
        <v>0%</v>
      </c>
      <c r="N58" s="2034"/>
      <c r="O58" s="1877"/>
      <c r="P58" s="1839"/>
      <c r="Q58" s="2035" t="s">
        <v>95</v>
      </c>
      <c r="R58" s="248"/>
      <c r="S58" s="155" t="s">
        <v>463</v>
      </c>
    </row>
    <row r="59" spans="1:19" ht="23.45" customHeight="1" thickBot="1" x14ac:dyDescent="0.5">
      <c r="B59" s="1743" t="s">
        <v>47</v>
      </c>
      <c r="C59" s="1744"/>
      <c r="D59" s="1744"/>
      <c r="E59" s="1744"/>
      <c r="F59" s="1745"/>
      <c r="G59" s="1067"/>
      <c r="H59" s="2036"/>
      <c r="I59" s="2037"/>
      <c r="J59" s="2038"/>
      <c r="K59" s="2038"/>
      <c r="L59" s="2038"/>
      <c r="M59" s="1996"/>
      <c r="N59" s="1814">
        <f>(N60+N67)/2</f>
        <v>0.12237758069899395</v>
      </c>
      <c r="O59" s="1815">
        <f>(O60+O67)</f>
        <v>0.89285700000000001</v>
      </c>
      <c r="P59" s="1816">
        <f>O59/7.142856</f>
        <v>0.125</v>
      </c>
      <c r="Q59" s="2039"/>
      <c r="R59" s="272"/>
      <c r="S59" s="273"/>
    </row>
    <row r="60" spans="1:19" ht="22.25" customHeight="1" thickBot="1" x14ac:dyDescent="0.5">
      <c r="B60" s="1704" t="s">
        <v>48</v>
      </c>
      <c r="C60" s="1705"/>
      <c r="D60" s="1705"/>
      <c r="E60" s="1705"/>
      <c r="F60" s="1706"/>
      <c r="G60" s="923"/>
      <c r="H60" s="1978"/>
      <c r="I60" s="1979"/>
      <c r="J60" s="1903"/>
      <c r="K60" s="1904"/>
      <c r="L60" s="1904"/>
      <c r="M60" s="1982"/>
      <c r="N60" s="1814">
        <f>N61</f>
        <v>0.25</v>
      </c>
      <c r="O60" s="1815">
        <f>O61</f>
        <v>0.89285700000000001</v>
      </c>
      <c r="P60" s="1816">
        <f>O60/3.571428</f>
        <v>0.25</v>
      </c>
      <c r="Q60" s="1881"/>
      <c r="R60" s="255"/>
      <c r="S60" s="255"/>
    </row>
    <row r="61" spans="1:19" ht="39" customHeight="1" thickBot="1" x14ac:dyDescent="0.5">
      <c r="A61" s="1669">
        <v>16</v>
      </c>
      <c r="B61" s="1687" t="s">
        <v>49</v>
      </c>
      <c r="C61" s="1691">
        <f>M5</f>
        <v>3.5714285714285716</v>
      </c>
      <c r="D61" s="926" t="s">
        <v>133</v>
      </c>
      <c r="E61" s="853">
        <f>$C$61/4</f>
        <v>0.8928571428571429</v>
      </c>
      <c r="F61" s="926" t="s">
        <v>50</v>
      </c>
      <c r="G61" s="905">
        <f>E61/1</f>
        <v>0.8928571428571429</v>
      </c>
      <c r="H61" s="1855"/>
      <c r="I61" s="1856"/>
      <c r="J61" s="1985">
        <f>IF(I61=H61,(H61-70),H61-I61)</f>
        <v>-70</v>
      </c>
      <c r="K61" s="1858">
        <f>IF(I61&gt;=70,0,((70-I61)*(6/10)))</f>
        <v>42</v>
      </c>
      <c r="L61" s="2040">
        <f t="shared" ref="L61:L66" si="19">I61+K61</f>
        <v>42</v>
      </c>
      <c r="M61" s="1836" t="str">
        <f>IF(H61=0,"0%",J61/K61)</f>
        <v>0%</v>
      </c>
      <c r="N61" s="2041">
        <f>(((G61/C61)*M61)+((G62/C61)*M62)+((G63/C61)*M63)+((G64/C61)*M64)+((G65/C61)*M65)+((G66/C61)*M66))</f>
        <v>0.25</v>
      </c>
      <c r="O61" s="2024">
        <f>IF((((G61/C61)*M61)+((G62/C61)*M62)+((G63/C61)*M63)+((G64/C61)*M64)+((G65/C61)*M65)+((G66/C61)*M66))&gt;=1,3.571428,IF((((G61/C61)*M61)+((G62/C61)*M62)+((G63/C61)*M63)+((G64/C61)*M64)+((G65/C61)*M65)+((G66/C61)*M66))&lt;=0,0,((((G61/C61)*M61)+((G62/C61)*M62)+((G63/C61)*M63)+((G64/C61)*M64)+((G65/C61)*M65)+((G66/C61)*M66))*3.571428)))</f>
        <v>0.89285700000000001</v>
      </c>
      <c r="P61" s="1829">
        <f>O61/3.571428</f>
        <v>0.25</v>
      </c>
      <c r="Q61" s="1955" t="s">
        <v>181</v>
      </c>
      <c r="R61" s="262"/>
      <c r="S61" s="155" t="s">
        <v>463</v>
      </c>
    </row>
    <row r="62" spans="1:19" ht="58.25" customHeight="1" thickBot="1" x14ac:dyDescent="0.5">
      <c r="A62" s="1669"/>
      <c r="B62" s="1688"/>
      <c r="C62" s="1692"/>
      <c r="D62" s="933" t="s">
        <v>134</v>
      </c>
      <c r="E62" s="934">
        <f t="shared" ref="E62:E63" si="20">$C$61/4</f>
        <v>0.8928571428571429</v>
      </c>
      <c r="F62" s="1058" t="s">
        <v>276</v>
      </c>
      <c r="G62" s="912">
        <f>$E$62/1</f>
        <v>0.8928571428571429</v>
      </c>
      <c r="H62" s="1890"/>
      <c r="I62" s="1891"/>
      <c r="J62" s="2042">
        <f>IF(I62=H62,(H62-70),H62-I62)</f>
        <v>-70</v>
      </c>
      <c r="K62" s="1865">
        <f t="shared" ref="K62:K63" si="21">IF(I62&gt;=70,0,((70-I62)*(6/10)))</f>
        <v>42</v>
      </c>
      <c r="L62" s="2043">
        <f t="shared" si="19"/>
        <v>42</v>
      </c>
      <c r="M62" s="1836" t="str">
        <f>IF(H62=0,"0%",J62/K62)</f>
        <v>0%</v>
      </c>
      <c r="N62" s="2044"/>
      <c r="O62" s="1869"/>
      <c r="P62" s="1870"/>
      <c r="Q62" s="1960" t="s">
        <v>182</v>
      </c>
      <c r="R62" s="258"/>
      <c r="S62" s="155" t="s">
        <v>463</v>
      </c>
    </row>
    <row r="63" spans="1:19" ht="26.45" customHeight="1" thickBot="1" x14ac:dyDescent="0.5">
      <c r="A63" s="1669"/>
      <c r="B63" s="1688"/>
      <c r="C63" s="1692"/>
      <c r="D63" s="933" t="s">
        <v>135</v>
      </c>
      <c r="E63" s="934">
        <f t="shared" si="20"/>
        <v>0.8928571428571429</v>
      </c>
      <c r="F63" s="933" t="s">
        <v>51</v>
      </c>
      <c r="G63" s="912">
        <f>E63/1</f>
        <v>0.8928571428571429</v>
      </c>
      <c r="H63" s="2045"/>
      <c r="I63" s="2046"/>
      <c r="J63" s="2042">
        <f>IF(I63=H63,(H63-70),H63-I63)</f>
        <v>-70</v>
      </c>
      <c r="K63" s="1865">
        <f t="shared" si="21"/>
        <v>42</v>
      </c>
      <c r="L63" s="2043">
        <f t="shared" si="19"/>
        <v>42</v>
      </c>
      <c r="M63" s="1836" t="str">
        <f>IF(H63=0,"0%",J63/K63)</f>
        <v>0%</v>
      </c>
      <c r="N63" s="2044"/>
      <c r="O63" s="1869"/>
      <c r="P63" s="1870"/>
      <c r="Q63" s="1960" t="s">
        <v>95</v>
      </c>
      <c r="R63" s="258"/>
      <c r="S63" s="155" t="s">
        <v>463</v>
      </c>
    </row>
    <row r="64" spans="1:19" ht="15" customHeight="1" thickBot="1" x14ac:dyDescent="0.5">
      <c r="A64" s="1669"/>
      <c r="B64" s="1688"/>
      <c r="C64" s="1692"/>
      <c r="D64" s="1721" t="s">
        <v>136</v>
      </c>
      <c r="E64" s="1723">
        <f>$C$61/4</f>
        <v>0.8928571428571429</v>
      </c>
      <c r="F64" s="1073" t="s">
        <v>52</v>
      </c>
      <c r="G64" s="1074">
        <f>$E$64/3</f>
        <v>0.29761904761904762</v>
      </c>
      <c r="H64" s="2047">
        <v>100</v>
      </c>
      <c r="I64" s="2048">
        <v>100</v>
      </c>
      <c r="J64" s="2049">
        <f t="shared" ref="J64:J66" si="22">H64-I64</f>
        <v>0</v>
      </c>
      <c r="K64" s="2050">
        <f>(100-I64)*(6/10)</f>
        <v>0</v>
      </c>
      <c r="L64" s="2043">
        <f t="shared" si="19"/>
        <v>100</v>
      </c>
      <c r="M64" s="1867" t="str">
        <f t="shared" ref="M64:M66" si="23">IF(K64&lt;&gt;0,J64/K64,"100%")</f>
        <v>100%</v>
      </c>
      <c r="N64" s="2044"/>
      <c r="O64" s="1869"/>
      <c r="P64" s="1870"/>
      <c r="Q64" s="1960" t="s">
        <v>95</v>
      </c>
      <c r="R64" s="264" t="s">
        <v>326</v>
      </c>
      <c r="S64" s="407" t="s">
        <v>339</v>
      </c>
    </row>
    <row r="65" spans="1:19" ht="23.65" thickBot="1" x14ac:dyDescent="0.5">
      <c r="A65" s="1669"/>
      <c r="B65" s="1688"/>
      <c r="C65" s="1692"/>
      <c r="D65" s="1721"/>
      <c r="E65" s="1723"/>
      <c r="F65" s="1073" t="s">
        <v>53</v>
      </c>
      <c r="G65" s="1074">
        <f t="shared" ref="G65:G66" si="24">$E$64/3</f>
        <v>0.29761904761904762</v>
      </c>
      <c r="H65" s="2047">
        <v>100</v>
      </c>
      <c r="I65" s="2048">
        <v>100</v>
      </c>
      <c r="J65" s="2049">
        <f t="shared" si="22"/>
        <v>0</v>
      </c>
      <c r="K65" s="2050">
        <f>(100-I65)*(6/10)</f>
        <v>0</v>
      </c>
      <c r="L65" s="2043">
        <f t="shared" si="19"/>
        <v>100</v>
      </c>
      <c r="M65" s="1867" t="str">
        <f t="shared" si="23"/>
        <v>100%</v>
      </c>
      <c r="N65" s="2044"/>
      <c r="O65" s="1869"/>
      <c r="P65" s="1870"/>
      <c r="Q65" s="1960" t="s">
        <v>95</v>
      </c>
      <c r="R65" s="264" t="s">
        <v>326</v>
      </c>
      <c r="S65" s="407" t="s">
        <v>339</v>
      </c>
    </row>
    <row r="66" spans="1:19" ht="27.6" customHeight="1" thickBot="1" x14ac:dyDescent="0.5">
      <c r="A66" s="1669"/>
      <c r="B66" s="1739"/>
      <c r="C66" s="1729"/>
      <c r="D66" s="1728"/>
      <c r="E66" s="1752"/>
      <c r="F66" s="1077" t="s">
        <v>54</v>
      </c>
      <c r="G66" s="1078">
        <f t="shared" si="24"/>
        <v>0.29761904761904762</v>
      </c>
      <c r="H66" s="2051">
        <v>100</v>
      </c>
      <c r="I66" s="2052">
        <v>100</v>
      </c>
      <c r="J66" s="2053">
        <f t="shared" si="22"/>
        <v>0</v>
      </c>
      <c r="K66" s="2054">
        <f>(100-I66)*(6/10)</f>
        <v>0</v>
      </c>
      <c r="L66" s="2055">
        <f t="shared" si="19"/>
        <v>100</v>
      </c>
      <c r="M66" s="1836" t="str">
        <f t="shared" si="23"/>
        <v>100%</v>
      </c>
      <c r="N66" s="2056"/>
      <c r="O66" s="1877"/>
      <c r="P66" s="1839"/>
      <c r="Q66" s="2057" t="s">
        <v>95</v>
      </c>
      <c r="R66" s="264" t="s">
        <v>326</v>
      </c>
      <c r="S66" s="407" t="s">
        <v>339</v>
      </c>
    </row>
    <row r="67" spans="1:19" ht="27" customHeight="1" thickBot="1" x14ac:dyDescent="0.5">
      <c r="B67" s="1684" t="s">
        <v>55</v>
      </c>
      <c r="C67" s="1685"/>
      <c r="D67" s="1685"/>
      <c r="E67" s="1685"/>
      <c r="F67" s="1686"/>
      <c r="G67" s="1015"/>
      <c r="H67" s="1978"/>
      <c r="I67" s="1979"/>
      <c r="J67" s="1980"/>
      <c r="K67" s="1981"/>
      <c r="L67" s="1981"/>
      <c r="M67" s="1982"/>
      <c r="N67" s="1814">
        <f>N68</f>
        <v>-5.2448386020121111E-3</v>
      </c>
      <c r="O67" s="1815">
        <f>O68</f>
        <v>0</v>
      </c>
      <c r="P67" s="1816">
        <f>O67/3.571428</f>
        <v>0</v>
      </c>
      <c r="Q67" s="2058"/>
      <c r="R67" s="274"/>
      <c r="S67" s="269"/>
    </row>
    <row r="68" spans="1:19" ht="58.5" thickBot="1" x14ac:dyDescent="0.5">
      <c r="A68" s="16">
        <v>17</v>
      </c>
      <c r="B68" s="1084" t="s">
        <v>56</v>
      </c>
      <c r="C68" s="1085">
        <f>M5</f>
        <v>3.5714285714285716</v>
      </c>
      <c r="D68" s="1084" t="s">
        <v>137</v>
      </c>
      <c r="E68" s="1085">
        <f>C68</f>
        <v>3.5714285714285716</v>
      </c>
      <c r="F68" s="1084" t="s">
        <v>57</v>
      </c>
      <c r="G68" s="1086">
        <f>E68/1</f>
        <v>3.5714285714285716</v>
      </c>
      <c r="H68" s="2059">
        <v>0.31</v>
      </c>
      <c r="I68" s="2060">
        <v>0.09</v>
      </c>
      <c r="J68" s="2061">
        <f>IF(I68=H68,(H68-70),I68-H68)</f>
        <v>-0.22</v>
      </c>
      <c r="K68" s="1941">
        <f t="shared" ref="K68" si="25">IF(I68&gt;=70,0,((70-I68)*(6/10)))</f>
        <v>41.945999999999998</v>
      </c>
      <c r="L68" s="2062">
        <f>I68-K68</f>
        <v>-41.855999999999995</v>
      </c>
      <c r="M68" s="1927">
        <f t="shared" ref="M68" si="26">IF(I68&gt;=70,(1+(H68-70)/70),(J68/K68))</f>
        <v>-5.2448386020121111E-3</v>
      </c>
      <c r="N68" s="2063">
        <f>((G68/C68)*M68)</f>
        <v>-5.2448386020121111E-3</v>
      </c>
      <c r="O68" s="1929">
        <f>IF(((G68/C68)*M68)&gt;=1,3.571428,IF(((G68/C68)*M68)&lt;=0,0,((G68/C68)*M68)*3.571428))</f>
        <v>0</v>
      </c>
      <c r="P68" s="1816">
        <f>O68/3.571428</f>
        <v>0</v>
      </c>
      <c r="Q68" s="2064" t="s">
        <v>132</v>
      </c>
      <c r="R68" s="275"/>
      <c r="S68" s="275" t="s">
        <v>327</v>
      </c>
    </row>
    <row r="69" spans="1:19" ht="22.25" customHeight="1" thickBot="1" x14ac:dyDescent="0.5">
      <c r="B69" s="1575" t="s">
        <v>58</v>
      </c>
      <c r="C69" s="1576"/>
      <c r="D69" s="1576"/>
      <c r="E69" s="1576"/>
      <c r="F69" s="1577"/>
      <c r="G69" s="173"/>
      <c r="H69" s="2065"/>
      <c r="I69" s="2066"/>
      <c r="J69" s="2067"/>
      <c r="K69" s="2068"/>
      <c r="L69" s="2068"/>
      <c r="M69" s="2069"/>
      <c r="N69" s="1814">
        <f>(N70+N72+N74)/3</f>
        <v>0.33333333333333331</v>
      </c>
      <c r="O69" s="1815">
        <f>(O70+O72+O74)</f>
        <v>3.571428</v>
      </c>
      <c r="P69" s="1816">
        <f>O69/10.714284</f>
        <v>0.33333333333333337</v>
      </c>
      <c r="Q69" s="2070"/>
      <c r="R69" s="193"/>
      <c r="S69" s="276"/>
    </row>
    <row r="70" spans="1:19" ht="20.45" customHeight="1" thickBot="1" x14ac:dyDescent="0.5">
      <c r="B70" s="1704" t="s">
        <v>59</v>
      </c>
      <c r="C70" s="1705"/>
      <c r="D70" s="1705"/>
      <c r="E70" s="1705"/>
      <c r="F70" s="1706"/>
      <c r="G70" s="923"/>
      <c r="H70" s="1978"/>
      <c r="I70" s="1979"/>
      <c r="J70" s="1881"/>
      <c r="K70" s="1881"/>
      <c r="L70" s="1881"/>
      <c r="M70" s="2071"/>
      <c r="N70" s="1814">
        <f>N71</f>
        <v>0</v>
      </c>
      <c r="O70" s="1815">
        <f>O71</f>
        <v>0</v>
      </c>
      <c r="P70" s="1816">
        <f t="shared" ref="P70:P78" si="27">O70/3.571428</f>
        <v>0</v>
      </c>
      <c r="Q70" s="2020"/>
      <c r="R70" s="269"/>
      <c r="S70" s="269"/>
    </row>
    <row r="71" spans="1:19" ht="52.25" customHeight="1" thickBot="1" x14ac:dyDescent="0.5">
      <c r="A71" s="16">
        <v>18</v>
      </c>
      <c r="B71" s="1095" t="s">
        <v>60</v>
      </c>
      <c r="C71" s="1096">
        <f>M5</f>
        <v>3.5714285714285716</v>
      </c>
      <c r="D71" s="1097" t="s">
        <v>138</v>
      </c>
      <c r="E71" s="1098">
        <f>C71</f>
        <v>3.5714285714285716</v>
      </c>
      <c r="F71" s="1099" t="s">
        <v>61</v>
      </c>
      <c r="G71" s="1100">
        <f>E71/1</f>
        <v>3.5714285714285716</v>
      </c>
      <c r="H71" s="2072"/>
      <c r="I71" s="2073"/>
      <c r="J71" s="2074">
        <f>I71-H71</f>
        <v>0</v>
      </c>
      <c r="K71" s="1939">
        <f>(0.5*I71)*0.6</f>
        <v>0</v>
      </c>
      <c r="L71" s="2062">
        <f>I71-K71</f>
        <v>0</v>
      </c>
      <c r="M71" s="1836" t="str">
        <f>IF(H71=0,"0%",J71/K71)</f>
        <v>0%</v>
      </c>
      <c r="N71" s="2063">
        <f>((G71/C71)*M71)</f>
        <v>0</v>
      </c>
      <c r="O71" s="1929">
        <f>IF(((G71/C71)*M71)&gt;=1,3.571428,IF(((G71/C71)*M71)&lt;=0,0,((G71/C71)*M71)*3.571428))</f>
        <v>0</v>
      </c>
      <c r="P71" s="1816">
        <f t="shared" si="27"/>
        <v>0</v>
      </c>
      <c r="Q71" s="2075" t="s">
        <v>183</v>
      </c>
      <c r="R71" s="275"/>
      <c r="S71" s="155" t="s">
        <v>463</v>
      </c>
    </row>
    <row r="72" spans="1:19" ht="20.45" customHeight="1" thickBot="1" x14ac:dyDescent="0.5">
      <c r="B72" s="1730" t="s">
        <v>277</v>
      </c>
      <c r="C72" s="1731"/>
      <c r="D72" s="1731"/>
      <c r="E72" s="1731"/>
      <c r="F72" s="1733"/>
      <c r="G72" s="985"/>
      <c r="H72" s="1961"/>
      <c r="I72" s="1962"/>
      <c r="J72" s="1946"/>
      <c r="K72" s="1947"/>
      <c r="L72" s="1947"/>
      <c r="M72" s="1948"/>
      <c r="N72" s="1814">
        <f>N73</f>
        <v>0</v>
      </c>
      <c r="O72" s="1815">
        <f>O73</f>
        <v>0</v>
      </c>
      <c r="P72" s="1816">
        <f t="shared" si="27"/>
        <v>0</v>
      </c>
      <c r="Q72" s="2076"/>
      <c r="R72" s="269"/>
      <c r="S72" s="269"/>
    </row>
    <row r="73" spans="1:19" ht="45" customHeight="1" thickBot="1" x14ac:dyDescent="0.5">
      <c r="A73" s="16">
        <v>19</v>
      </c>
      <c r="B73" s="1104" t="s">
        <v>62</v>
      </c>
      <c r="C73" s="1105">
        <f>M5</f>
        <v>3.5714285714285716</v>
      </c>
      <c r="D73" s="1106" t="s">
        <v>139</v>
      </c>
      <c r="E73" s="1105">
        <f>C73</f>
        <v>3.5714285714285716</v>
      </c>
      <c r="F73" s="1107" t="s">
        <v>63</v>
      </c>
      <c r="G73" s="1108">
        <f>E73/1</f>
        <v>3.5714285714285716</v>
      </c>
      <c r="H73" s="2072"/>
      <c r="I73" s="2073"/>
      <c r="J73" s="2077">
        <f>I73-H73</f>
        <v>0</v>
      </c>
      <c r="K73" s="2078">
        <f>IF(H73&gt;0,(H73),I73)</f>
        <v>0</v>
      </c>
      <c r="L73" s="2079">
        <f>I73-K73</f>
        <v>0</v>
      </c>
      <c r="M73" s="1836" t="str">
        <f>IF(H73=0,"0%",J73/K73)</f>
        <v>0%</v>
      </c>
      <c r="N73" s="2063">
        <f>((G73/C73)*M73)</f>
        <v>0</v>
      </c>
      <c r="O73" s="1929">
        <f>IF(((G73/C73)*M73)&gt;=1,3.571428,IF(((G73/C73)*M73)&lt;=0,0,((G73/C73)*M73)*3.571428))</f>
        <v>0</v>
      </c>
      <c r="P73" s="1816">
        <f t="shared" si="27"/>
        <v>0</v>
      </c>
      <c r="Q73" s="2080" t="s">
        <v>95</v>
      </c>
      <c r="R73" s="275"/>
      <c r="S73" s="155" t="s">
        <v>463</v>
      </c>
    </row>
    <row r="74" spans="1:19" ht="30.6" customHeight="1" thickBot="1" x14ac:dyDescent="0.5">
      <c r="B74" s="1704" t="s">
        <v>64</v>
      </c>
      <c r="C74" s="1705"/>
      <c r="D74" s="1705"/>
      <c r="E74" s="1705"/>
      <c r="F74" s="1706"/>
      <c r="G74" s="924"/>
      <c r="H74" s="1978"/>
      <c r="I74" s="1979"/>
      <c r="J74" s="1881"/>
      <c r="K74" s="1881"/>
      <c r="L74" s="1881"/>
      <c r="M74" s="1982"/>
      <c r="N74" s="1814">
        <f>N75</f>
        <v>1</v>
      </c>
      <c r="O74" s="1815">
        <f>O75</f>
        <v>3.571428</v>
      </c>
      <c r="P74" s="1816">
        <f t="shared" si="27"/>
        <v>1</v>
      </c>
      <c r="Q74" s="2020"/>
      <c r="R74" s="269"/>
      <c r="S74" s="269"/>
    </row>
    <row r="75" spans="1:19" ht="29.45" customHeight="1" thickBot="1" x14ac:dyDescent="0.5">
      <c r="A75" s="16">
        <v>20</v>
      </c>
      <c r="B75" s="1104" t="s">
        <v>65</v>
      </c>
      <c r="C75" s="964">
        <f>M5</f>
        <v>3.5714285714285716</v>
      </c>
      <c r="D75" s="1097" t="s">
        <v>140</v>
      </c>
      <c r="E75" s="1113">
        <f>C75</f>
        <v>3.5714285714285716</v>
      </c>
      <c r="F75" s="1106" t="s">
        <v>66</v>
      </c>
      <c r="G75" s="1100">
        <f>E75/1</f>
        <v>3.5714285714285716</v>
      </c>
      <c r="H75" s="2081">
        <v>1</v>
      </c>
      <c r="I75" s="2060">
        <v>1</v>
      </c>
      <c r="J75" s="2016">
        <f>H75-I75</f>
        <v>0</v>
      </c>
      <c r="K75" s="2017">
        <f>IF(AND(H75=0,I75=1)," 1",(H75-I75))</f>
        <v>0</v>
      </c>
      <c r="L75" s="2082">
        <f>I75+K75</f>
        <v>1</v>
      </c>
      <c r="M75" s="2083">
        <f>(IF(I75=1,1,(J75/K75)))</f>
        <v>1</v>
      </c>
      <c r="N75" s="2063">
        <f>((G75/C75)*M75)</f>
        <v>1</v>
      </c>
      <c r="O75" s="1929">
        <f>IF(((G75/C75)*M75)&gt;=1,3.571428,IF(((G75/C75)*M75)&lt;=0,0,((G75/C75)*M75)*3.571428))</f>
        <v>3.571428</v>
      </c>
      <c r="P75" s="1816">
        <f t="shared" si="27"/>
        <v>1</v>
      </c>
      <c r="Q75" s="2084" t="s">
        <v>95</v>
      </c>
      <c r="R75" s="277"/>
      <c r="S75" s="275"/>
    </row>
    <row r="76" spans="1:19" ht="20.45" customHeight="1" thickBot="1" x14ac:dyDescent="0.5">
      <c r="B76" s="1763" t="s">
        <v>67</v>
      </c>
      <c r="C76" s="1764"/>
      <c r="D76" s="1764"/>
      <c r="E76" s="1764"/>
      <c r="F76" s="1765"/>
      <c r="G76" s="1118"/>
      <c r="H76" s="2085"/>
      <c r="I76" s="2086"/>
      <c r="J76" s="2087"/>
      <c r="K76" s="2088"/>
      <c r="L76" s="2088"/>
      <c r="M76" s="2089"/>
      <c r="N76" s="1814">
        <f t="shared" ref="N76:O77" si="28">N77</f>
        <v>0</v>
      </c>
      <c r="O76" s="1815">
        <f t="shared" si="28"/>
        <v>0</v>
      </c>
      <c r="P76" s="1816">
        <f t="shared" si="27"/>
        <v>0</v>
      </c>
      <c r="Q76" s="2090"/>
      <c r="R76" s="278"/>
      <c r="S76" s="278"/>
    </row>
    <row r="77" spans="1:19" ht="20.45" customHeight="1" thickBot="1" x14ac:dyDescent="0.5">
      <c r="B77" s="1704" t="s">
        <v>68</v>
      </c>
      <c r="C77" s="1705"/>
      <c r="D77" s="1705"/>
      <c r="E77" s="1705"/>
      <c r="F77" s="1706"/>
      <c r="G77" s="923"/>
      <c r="H77" s="1978"/>
      <c r="I77" s="1979"/>
      <c r="J77" s="1903"/>
      <c r="K77" s="1904"/>
      <c r="L77" s="1904"/>
      <c r="M77" s="1882"/>
      <c r="N77" s="1814">
        <f t="shared" si="28"/>
        <v>0</v>
      </c>
      <c r="O77" s="1815">
        <f t="shared" si="28"/>
        <v>0</v>
      </c>
      <c r="P77" s="1816">
        <f t="shared" si="27"/>
        <v>0</v>
      </c>
      <c r="Q77" s="2020"/>
      <c r="R77" s="269"/>
      <c r="S77" s="269"/>
    </row>
    <row r="78" spans="1:19" ht="35.25" thickBot="1" x14ac:dyDescent="0.5">
      <c r="A78" s="16">
        <v>21</v>
      </c>
      <c r="B78" s="1104" t="s">
        <v>69</v>
      </c>
      <c r="C78" s="1113">
        <f>M5</f>
        <v>3.5714285714285716</v>
      </c>
      <c r="D78" s="1121" t="s">
        <v>141</v>
      </c>
      <c r="E78" s="1113">
        <f>C78</f>
        <v>3.5714285714285716</v>
      </c>
      <c r="F78" s="1121" t="s">
        <v>70</v>
      </c>
      <c r="G78" s="1085">
        <f>E78/1</f>
        <v>3.5714285714285716</v>
      </c>
      <c r="H78" s="2072"/>
      <c r="I78" s="2073"/>
      <c r="J78" s="2061">
        <f>IF(I78=H78,(H78-60),H78-I78)</f>
        <v>-60</v>
      </c>
      <c r="K78" s="1941">
        <f>IF(I78&gt;=60,0,((60-I78)*(6/10)))</f>
        <v>36</v>
      </c>
      <c r="L78" s="2062">
        <f t="shared" ref="L78" si="29">K78+I78</f>
        <v>36</v>
      </c>
      <c r="M78" s="1927">
        <f>IF(I78&gt;=60,(1+(H78-60)/60),(H78/L78))</f>
        <v>0</v>
      </c>
      <c r="N78" s="2063">
        <f>((G78/C78)*M78)</f>
        <v>0</v>
      </c>
      <c r="O78" s="1929">
        <f>IF(((G78/C78)*M78)&gt;=1,3.571428,IF(((G78/C78)*M78)&lt;=0,0,((G78/C78)*M78)*3.571428))</f>
        <v>0</v>
      </c>
      <c r="P78" s="1816">
        <f t="shared" si="27"/>
        <v>0</v>
      </c>
      <c r="Q78" s="2091" t="s">
        <v>95</v>
      </c>
      <c r="R78" s="275"/>
      <c r="S78" s="155" t="s">
        <v>463</v>
      </c>
    </row>
    <row r="79" spans="1:19" ht="21.6" customHeight="1" thickBot="1" x14ac:dyDescent="0.5">
      <c r="B79" s="1757" t="s">
        <v>71</v>
      </c>
      <c r="C79" s="1758"/>
      <c r="D79" s="1758"/>
      <c r="E79" s="1758"/>
      <c r="F79" s="1759"/>
      <c r="G79" s="1118"/>
      <c r="H79" s="2085"/>
      <c r="I79" s="2086"/>
      <c r="J79" s="2092"/>
      <c r="K79" s="2093"/>
      <c r="L79" s="2093"/>
      <c r="M79" s="2089"/>
      <c r="N79" s="1814">
        <f>(N80+N86)/2</f>
        <v>0.26363182282467434</v>
      </c>
      <c r="O79" s="1815">
        <f>(O80+O86)</f>
        <v>3.6141638024541622</v>
      </c>
      <c r="P79" s="1816">
        <f>O79/10.714284</f>
        <v>0.33732200886724323</v>
      </c>
      <c r="Q79" s="2090"/>
      <c r="R79" s="278"/>
      <c r="S79" s="278"/>
    </row>
    <row r="80" spans="1:19" ht="20.45" customHeight="1" thickBot="1" x14ac:dyDescent="0.5">
      <c r="B80" s="1684" t="s">
        <v>72</v>
      </c>
      <c r="C80" s="1685"/>
      <c r="D80" s="1685"/>
      <c r="E80" s="1685"/>
      <c r="F80" s="1686"/>
      <c r="G80" s="948"/>
      <c r="H80" s="2094"/>
      <c r="I80" s="2095"/>
      <c r="J80" s="1881"/>
      <c r="K80" s="1881"/>
      <c r="L80" s="1881"/>
      <c r="M80" s="1905"/>
      <c r="N80" s="1814">
        <f>(N81+N83)/2</f>
        <v>0.48470238095238094</v>
      </c>
      <c r="O80" s="1815">
        <f>(O81+O83)</f>
        <v>3.4621593100000001</v>
      </c>
      <c r="P80" s="1816">
        <f>O80/7.142856</f>
        <v>0.48470238095238094</v>
      </c>
      <c r="Q80" s="2096"/>
      <c r="R80" s="255"/>
      <c r="S80" s="255"/>
    </row>
    <row r="81" spans="1:19" ht="46.9" thickBot="1" x14ac:dyDescent="0.5">
      <c r="A81" s="16"/>
      <c r="B81" s="1760" t="s">
        <v>73</v>
      </c>
      <c r="C81" s="1691">
        <f>M5</f>
        <v>3.5714285714285716</v>
      </c>
      <c r="D81" s="926" t="s">
        <v>267</v>
      </c>
      <c r="E81" s="853">
        <f>$C$81/2</f>
        <v>1.7857142857142858</v>
      </c>
      <c r="F81" s="1054" t="s">
        <v>278</v>
      </c>
      <c r="G81" s="905">
        <f>E81/1</f>
        <v>1.7857142857142858</v>
      </c>
      <c r="H81" s="1883">
        <v>7.7</v>
      </c>
      <c r="I81" s="1906"/>
      <c r="J81" s="1985">
        <f>IF(I81=H81,(H81-50),H81-I81)</f>
        <v>7.7</v>
      </c>
      <c r="K81" s="1858">
        <f>IF(I81&gt;=50,0,((50-I81)*(6/10)))</f>
        <v>30</v>
      </c>
      <c r="L81" s="2097">
        <f>I81+K81</f>
        <v>30</v>
      </c>
      <c r="M81" s="1826">
        <f>IF(I81&gt;=50,(1+(H81-50)/50),(J81/K81))</f>
        <v>0.25666666666666665</v>
      </c>
      <c r="N81" s="2041">
        <f>(((G81/C81)*M81)+((G82/C81)*M82))</f>
        <v>0.96940476190476188</v>
      </c>
      <c r="O81" s="1828">
        <f>IF((((G81/C81)*M81)+((G82/C81)*M82))&gt;=1,3.57148,IF((((G81/C81)*M81)+((G82/C81)*M82))&lt;=0,0, (((G81/C81)*M81)+((G82/C81)*M82))*3.571428))</f>
        <v>3.4621593100000001</v>
      </c>
      <c r="P81" s="1829">
        <f>O81/3.571428</f>
        <v>0.96940476190476188</v>
      </c>
      <c r="Q81" s="2098" t="s">
        <v>279</v>
      </c>
      <c r="R81" s="279"/>
      <c r="S81" s="230" t="s">
        <v>474</v>
      </c>
    </row>
    <row r="82" spans="1:19" ht="39.6" customHeight="1" thickBot="1" x14ac:dyDescent="0.5">
      <c r="A82" s="16"/>
      <c r="B82" s="1761"/>
      <c r="C82" s="1762"/>
      <c r="D82" s="953" t="s">
        <v>268</v>
      </c>
      <c r="E82" s="868">
        <f>$C$81/2</f>
        <v>1.7857142857142858</v>
      </c>
      <c r="F82" s="954" t="s">
        <v>74</v>
      </c>
      <c r="G82" s="919">
        <f>E82/1</f>
        <v>1.7857142857142858</v>
      </c>
      <c r="H82" s="1912">
        <v>47.1</v>
      </c>
      <c r="I82" s="1898">
        <v>25</v>
      </c>
      <c r="J82" s="2099">
        <f>IF(I82=H82,(H82-30),H82-I82)</f>
        <v>22.1</v>
      </c>
      <c r="K82" s="1875">
        <f>IF(I82&gt;=30,0,((30-I82)*(6/10)))</f>
        <v>3</v>
      </c>
      <c r="L82" s="2100">
        <f t="shared" ref="L82" si="30">K82+I82</f>
        <v>28</v>
      </c>
      <c r="M82" s="1836">
        <f>IF(I82&gt;=30,(1+(H82-30)/30),(H82/L82))</f>
        <v>1.6821428571428572</v>
      </c>
      <c r="N82" s="2056"/>
      <c r="O82" s="1838"/>
      <c r="P82" s="1839"/>
      <c r="Q82" s="2101" t="s">
        <v>282</v>
      </c>
      <c r="R82" s="280" t="s">
        <v>328</v>
      </c>
      <c r="S82" s="265" t="s">
        <v>329</v>
      </c>
    </row>
    <row r="83" spans="1:19" ht="60" customHeight="1" thickBot="1" x14ac:dyDescent="0.5">
      <c r="A83" s="16"/>
      <c r="B83" s="1774" t="s">
        <v>142</v>
      </c>
      <c r="C83" s="1776">
        <f>M5</f>
        <v>3.5714285714285716</v>
      </c>
      <c r="D83" s="1131" t="s">
        <v>145</v>
      </c>
      <c r="E83" s="853">
        <f>$C$81/3</f>
        <v>1.1904761904761905</v>
      </c>
      <c r="F83" s="926" t="s">
        <v>143</v>
      </c>
      <c r="G83" s="853">
        <f>E83/1</f>
        <v>1.1904761904761905</v>
      </c>
      <c r="H83" s="1984"/>
      <c r="I83" s="1906"/>
      <c r="J83" s="2102">
        <f>I83-H83</f>
        <v>0</v>
      </c>
      <c r="K83" s="1970">
        <f>(0.2*I83)*(6/10)</f>
        <v>0</v>
      </c>
      <c r="L83" s="2103">
        <f>I83-K83</f>
        <v>0</v>
      </c>
      <c r="M83" s="1826" t="str">
        <f>IF(K83&lt;&gt;0,J83/K83,"0%")</f>
        <v>0%</v>
      </c>
      <c r="N83" s="2104">
        <f>(((G83/C83)*M83)+((G84/C83)*M84)+((G85/C83)*M85))</f>
        <v>0</v>
      </c>
      <c r="O83" s="1860">
        <f>IF((((G83/C83)*M83)+((G84/C83)*M84)+((G85/C83)*M85))&gt;=1,3.571428,IF((((G83/C83)*M83)+((G84/C83)*M84)+((G85/C83)*M85))&lt;=0,0,(((G83/C83)*M83)+((G84/C83)*M84)+((G85/C83)*M85))*3.571428))</f>
        <v>0</v>
      </c>
      <c r="P83" s="1829">
        <f>O83/3.571428</f>
        <v>0</v>
      </c>
      <c r="Q83" s="2105" t="s">
        <v>184</v>
      </c>
      <c r="R83" s="281"/>
      <c r="S83" s="155" t="s">
        <v>463</v>
      </c>
    </row>
    <row r="84" spans="1:19" ht="45" customHeight="1" thickBot="1" x14ac:dyDescent="0.5">
      <c r="A84" s="16"/>
      <c r="B84" s="1774"/>
      <c r="C84" s="1777"/>
      <c r="D84" s="1135" t="s">
        <v>146</v>
      </c>
      <c r="E84" s="934">
        <f t="shared" ref="E84:E85" si="31">$C$81/3</f>
        <v>1.1904761904761905</v>
      </c>
      <c r="F84" s="1058" t="s">
        <v>283</v>
      </c>
      <c r="G84" s="934">
        <f>E84/1</f>
        <v>1.1904761904761905</v>
      </c>
      <c r="H84" s="2106"/>
      <c r="I84" s="2107"/>
      <c r="J84" s="2108">
        <f>I84-H84</f>
        <v>0</v>
      </c>
      <c r="K84" s="1970">
        <f>(0.5*I84)*(6/10)</f>
        <v>0</v>
      </c>
      <c r="L84" s="2109">
        <f>I84-K84</f>
        <v>0</v>
      </c>
      <c r="M84" s="1836" t="str">
        <f>IF(H84=0,"0%",J84/K84)</f>
        <v>0%</v>
      </c>
      <c r="N84" s="2110"/>
      <c r="O84" s="1869"/>
      <c r="P84" s="1870"/>
      <c r="Q84" s="2111" t="s">
        <v>185</v>
      </c>
      <c r="R84" s="282"/>
      <c r="S84" s="155" t="s">
        <v>463</v>
      </c>
    </row>
    <row r="85" spans="1:19" ht="38.450000000000003" customHeight="1" thickBot="1" x14ac:dyDescent="0.5">
      <c r="A85" s="16"/>
      <c r="B85" s="1775"/>
      <c r="C85" s="1778"/>
      <c r="D85" s="1139" t="s">
        <v>147</v>
      </c>
      <c r="E85" s="868">
        <f t="shared" si="31"/>
        <v>1.1904761904761905</v>
      </c>
      <c r="F85" s="954" t="s">
        <v>144</v>
      </c>
      <c r="G85" s="868">
        <f>E85/1</f>
        <v>1.1904761904761905</v>
      </c>
      <c r="H85" s="2112"/>
      <c r="I85" s="2032"/>
      <c r="J85" s="2113">
        <f>H85-I85</f>
        <v>0</v>
      </c>
      <c r="K85" s="2114">
        <f>(100-I85)*(6/10)</f>
        <v>60</v>
      </c>
      <c r="L85" s="2115">
        <f>I85+K85</f>
        <v>60</v>
      </c>
      <c r="M85" s="1853">
        <f>IF(K85&lt;&gt;0,J85/K85,"0%")</f>
        <v>0</v>
      </c>
      <c r="N85" s="2116"/>
      <c r="O85" s="1877"/>
      <c r="P85" s="1839"/>
      <c r="Q85" s="2117" t="s">
        <v>284</v>
      </c>
      <c r="R85" s="283"/>
      <c r="S85" s="155" t="s">
        <v>463</v>
      </c>
    </row>
    <row r="86" spans="1:19" ht="20.45" customHeight="1" thickBot="1" x14ac:dyDescent="0.5">
      <c r="B86" s="1766" t="s">
        <v>75</v>
      </c>
      <c r="C86" s="1767"/>
      <c r="D86" s="1767"/>
      <c r="E86" s="1767"/>
      <c r="F86" s="1768"/>
      <c r="G86" s="1094"/>
      <c r="H86" s="2118"/>
      <c r="I86" s="2119"/>
      <c r="J86" s="2120"/>
      <c r="K86" s="2121"/>
      <c r="L86" s="2121"/>
      <c r="M86" s="1905"/>
      <c r="N86" s="1814">
        <f>N87</f>
        <v>4.2561264696967749E-2</v>
      </c>
      <c r="O86" s="1815">
        <f>O87</f>
        <v>0.15200449245416214</v>
      </c>
      <c r="P86" s="1816">
        <f>O86/3.571428</f>
        <v>4.2561264696967749E-2</v>
      </c>
      <c r="Q86" s="1981"/>
      <c r="R86" s="269"/>
      <c r="S86" s="269"/>
    </row>
    <row r="87" spans="1:19" ht="27.6" customHeight="1" x14ac:dyDescent="0.45">
      <c r="A87" s="1710">
        <v>24</v>
      </c>
      <c r="B87" s="1769" t="s">
        <v>76</v>
      </c>
      <c r="C87" s="1771">
        <f>M5</f>
        <v>3.5714285714285716</v>
      </c>
      <c r="D87" s="1004" t="s">
        <v>159</v>
      </c>
      <c r="E87" s="1005">
        <f>($C$87/3)</f>
        <v>1.1904761904761905</v>
      </c>
      <c r="F87" s="1146" t="s">
        <v>285</v>
      </c>
      <c r="G87" s="1147">
        <f>E87/1</f>
        <v>1.1904761904761905</v>
      </c>
      <c r="H87" s="2122">
        <v>27.245999999999999</v>
      </c>
      <c r="I87" s="2123">
        <v>24.561</v>
      </c>
      <c r="J87" s="2124">
        <f>I87-H87</f>
        <v>-2.6849999999999987</v>
      </c>
      <c r="K87" s="2125">
        <f>(0.25*I87)*(6/10)</f>
        <v>3.6841499999999998</v>
      </c>
      <c r="L87" s="2126">
        <f>I87-K87</f>
        <v>20.876850000000001</v>
      </c>
      <c r="M87" s="1826">
        <f>IF(K87&lt;&gt;0,J87/K87,"0%")</f>
        <v>-0.72879768739057826</v>
      </c>
      <c r="N87" s="1868">
        <f>(((G87/C87)*M87)+((G88/C87)*M88)+((G89/C87)*M89)+((G90/C87)*M90)+((G91/C87)*M91))</f>
        <v>4.2561264696967749E-2</v>
      </c>
      <c r="O87" s="1860">
        <f>IF((((G87/C87)*M87)+((G88/C87)*M88)+((G89/C87)*M89)+((G90/C87)*M90)+((G91/C87)*M91))&gt;=1,3.571428,IF((((G87/C87)*M87)+((G88/C87)*M88)+((G89/C87)*M89)+((G90/C87)*M90)+((G91/C87)*M91))&lt;=0,0,((((G87/C87)*M87)+((G88/C87)*M88)+((G89/C87)*M89)+((G90/C87)*M90)+((G91/C87)*M91))*3.571428)))</f>
        <v>0.15200449245416214</v>
      </c>
      <c r="P87" s="1829">
        <f>O87/3.571428</f>
        <v>4.2561264696967749E-2</v>
      </c>
      <c r="Q87" s="2127" t="s">
        <v>186</v>
      </c>
      <c r="R87" s="284"/>
      <c r="S87" s="285" t="s">
        <v>330</v>
      </c>
    </row>
    <row r="88" spans="1:19" ht="25.8" customHeight="1" thickBot="1" x14ac:dyDescent="0.5">
      <c r="A88" s="1710"/>
      <c r="B88" s="1769"/>
      <c r="C88" s="1772"/>
      <c r="D88" s="1782" t="s">
        <v>160</v>
      </c>
      <c r="E88" s="1783">
        <f>C87/3</f>
        <v>1.1904761904761905</v>
      </c>
      <c r="F88" s="935" t="s">
        <v>77</v>
      </c>
      <c r="G88" s="1154">
        <f>$E$88/3</f>
        <v>0.3968253968253968</v>
      </c>
      <c r="H88" s="1862"/>
      <c r="I88" s="2046">
        <v>5.2</v>
      </c>
      <c r="J88" s="2128">
        <f>I88-H88</f>
        <v>5.2</v>
      </c>
      <c r="K88" s="2129">
        <f>I88*(6/10)</f>
        <v>3.12</v>
      </c>
      <c r="L88" s="2130">
        <f>I88-K88</f>
        <v>2.08</v>
      </c>
      <c r="M88" s="1836" t="str">
        <f>IF(H88=0,"0%",J88/K88)</f>
        <v>0%</v>
      </c>
      <c r="N88" s="1911"/>
      <c r="O88" s="1869"/>
      <c r="P88" s="1870"/>
      <c r="Q88" s="2131" t="s">
        <v>187</v>
      </c>
      <c r="R88" s="286" t="s">
        <v>477</v>
      </c>
      <c r="S88" s="287" t="s">
        <v>473</v>
      </c>
    </row>
    <row r="89" spans="1:19" ht="59.65" customHeight="1" thickBot="1" x14ac:dyDescent="0.5">
      <c r="A89" s="1710"/>
      <c r="B89" s="1769"/>
      <c r="C89" s="1772"/>
      <c r="D89" s="1782"/>
      <c r="E89" s="1783"/>
      <c r="F89" s="935" t="s">
        <v>78</v>
      </c>
      <c r="G89" s="1154">
        <f>$E$88/3</f>
        <v>0.3968253968253968</v>
      </c>
      <c r="H89" s="2045">
        <v>2.25</v>
      </c>
      <c r="I89" s="1863"/>
      <c r="J89" s="2128">
        <f>I89-H89</f>
        <v>-2.25</v>
      </c>
      <c r="K89" s="2129">
        <f>I89*(6/10)</f>
        <v>0</v>
      </c>
      <c r="L89" s="2130">
        <f>I89-K89</f>
        <v>0</v>
      </c>
      <c r="M89" s="1867" t="str">
        <f>IF(K89&lt;&gt;0,J89/K89,"0%")</f>
        <v>0%</v>
      </c>
      <c r="N89" s="1911"/>
      <c r="O89" s="1869"/>
      <c r="P89" s="1870"/>
      <c r="Q89" s="2131" t="s">
        <v>188</v>
      </c>
      <c r="R89" s="608" t="s">
        <v>331</v>
      </c>
      <c r="S89" s="230" t="s">
        <v>474</v>
      </c>
    </row>
    <row r="90" spans="1:19" ht="26.45" customHeight="1" x14ac:dyDescent="0.45">
      <c r="A90" s="1710"/>
      <c r="B90" s="1769"/>
      <c r="C90" s="1772"/>
      <c r="D90" s="1782"/>
      <c r="E90" s="1783"/>
      <c r="F90" s="935" t="s">
        <v>79</v>
      </c>
      <c r="G90" s="1154">
        <f>$E$88/3</f>
        <v>0.3968253968253968</v>
      </c>
      <c r="H90" s="2132">
        <v>7</v>
      </c>
      <c r="I90" s="2133">
        <v>12</v>
      </c>
      <c r="J90" s="2128">
        <f>I90-H90</f>
        <v>5</v>
      </c>
      <c r="K90" s="2134">
        <f>(I90)*(6/10)</f>
        <v>7.1999999999999993</v>
      </c>
      <c r="L90" s="2135">
        <f>I90-K90</f>
        <v>4.8000000000000007</v>
      </c>
      <c r="M90" s="1867">
        <f>IF(K90&lt;&gt;0,J90/K90,"100%")</f>
        <v>0.69444444444444453</v>
      </c>
      <c r="N90" s="1911"/>
      <c r="O90" s="1869"/>
      <c r="P90" s="1870"/>
      <c r="Q90" s="2136" t="s">
        <v>189</v>
      </c>
      <c r="R90" s="286"/>
      <c r="S90" s="253" t="s">
        <v>307</v>
      </c>
    </row>
    <row r="91" spans="1:19" ht="40.799999999999997" customHeight="1" thickBot="1" x14ac:dyDescent="0.5">
      <c r="A91" s="1710"/>
      <c r="B91" s="1770"/>
      <c r="C91" s="1773"/>
      <c r="D91" s="918" t="s">
        <v>161</v>
      </c>
      <c r="E91" s="868">
        <f>$C$87/3</f>
        <v>1.1904761904761905</v>
      </c>
      <c r="F91" s="1162" t="s">
        <v>80</v>
      </c>
      <c r="G91" s="1163">
        <f>E91/1</f>
        <v>1.1904761904761905</v>
      </c>
      <c r="H91" s="1872">
        <v>50</v>
      </c>
      <c r="I91" s="1873">
        <v>50</v>
      </c>
      <c r="J91" s="2137">
        <f>H91-I91</f>
        <v>0</v>
      </c>
      <c r="K91" s="2114">
        <f>(100-I91)*(6/10)</f>
        <v>30</v>
      </c>
      <c r="L91" s="2138">
        <f>I91+K91</f>
        <v>80</v>
      </c>
      <c r="M91" s="1836">
        <f>IF(I91&gt;=60,(1+(H91-60)/60),(H91/L91))</f>
        <v>0.625</v>
      </c>
      <c r="N91" s="1914"/>
      <c r="O91" s="1877"/>
      <c r="P91" s="1839"/>
      <c r="Q91" s="2139" t="s">
        <v>95</v>
      </c>
      <c r="R91" s="288"/>
      <c r="S91" s="407" t="s">
        <v>339</v>
      </c>
    </row>
    <row r="92" spans="1:19" ht="14.65" thickBot="1" x14ac:dyDescent="0.5">
      <c r="B92" s="1535" t="s">
        <v>81</v>
      </c>
      <c r="C92" s="1536"/>
      <c r="D92" s="1536"/>
      <c r="E92" s="1536"/>
      <c r="F92" s="1537"/>
      <c r="G92" s="11"/>
      <c r="H92" s="2085"/>
      <c r="I92" s="2086"/>
      <c r="J92" s="2140"/>
      <c r="K92" s="2141"/>
      <c r="L92" s="2141"/>
      <c r="M92" s="2142"/>
      <c r="N92" s="1814">
        <f>(N93+N97)/2</f>
        <v>0.70310802469135791</v>
      </c>
      <c r="O92" s="1815">
        <f>(O93+O97)</f>
        <v>3.6540999444444444</v>
      </c>
      <c r="P92" s="1816">
        <f>O92/14.285712</f>
        <v>0.25578703703703703</v>
      </c>
      <c r="Q92" s="1997"/>
      <c r="R92" s="268"/>
      <c r="S92" s="278"/>
    </row>
    <row r="93" spans="1:19" ht="20.45" customHeight="1" thickBot="1" x14ac:dyDescent="0.5">
      <c r="B93" s="1684" t="s">
        <v>82</v>
      </c>
      <c r="C93" s="1685"/>
      <c r="D93" s="1685"/>
      <c r="E93" s="1685"/>
      <c r="F93" s="1686"/>
      <c r="G93" s="923"/>
      <c r="H93" s="1978"/>
      <c r="I93" s="1979"/>
      <c r="J93" s="1904"/>
      <c r="K93" s="1904"/>
      <c r="L93" s="1904"/>
      <c r="M93" s="1905"/>
      <c r="N93" s="1814">
        <f>N94</f>
        <v>1.3984999999999999</v>
      </c>
      <c r="O93" s="1815">
        <f>O94</f>
        <v>3.571428</v>
      </c>
      <c r="P93" s="1816">
        <f>O93/3.571428</f>
        <v>1</v>
      </c>
      <c r="Q93" s="1983"/>
      <c r="R93" s="255"/>
      <c r="S93" s="269"/>
    </row>
    <row r="94" spans="1:19" ht="34.799999999999997" customHeight="1" x14ac:dyDescent="0.45">
      <c r="A94" s="1669">
        <v>25</v>
      </c>
      <c r="B94" s="1687" t="s">
        <v>83</v>
      </c>
      <c r="C94" s="1784">
        <f>M5</f>
        <v>3.5714285714285716</v>
      </c>
      <c r="D94" s="1727" t="s">
        <v>214</v>
      </c>
      <c r="E94" s="1018">
        <f>$C$94/3</f>
        <v>1.1904761904761905</v>
      </c>
      <c r="F94" s="926" t="s">
        <v>269</v>
      </c>
      <c r="G94" s="1167">
        <f>E94/1</f>
        <v>1.1904761904761905</v>
      </c>
      <c r="H94" s="1855">
        <v>100</v>
      </c>
      <c r="I94" s="1856">
        <v>100</v>
      </c>
      <c r="J94" s="2143">
        <f>H94-I94</f>
        <v>0</v>
      </c>
      <c r="K94" s="2144">
        <f>(100-I94)*(6/10)</f>
        <v>0</v>
      </c>
      <c r="L94" s="2145">
        <f>I94+K94</f>
        <v>100</v>
      </c>
      <c r="M94" s="1826" t="str">
        <f>IF(K94&lt;&gt;0,J94/K94,"100%")</f>
        <v>100%</v>
      </c>
      <c r="N94" s="2041">
        <f>(((G94/C94)*M94)+((G95/C94)*M95)+((G96/C94)*M96))</f>
        <v>1.3984999999999999</v>
      </c>
      <c r="O94" s="1860">
        <f>IF((((G94/C94)*M94)+((G95/C94)*M95)+((G96/C94)*M96))&gt;=1,3.571428,IF((((G94/C94)*M94)+((G95/C94)*M95)+((G96/C94)*M96))&lt;=0,0,(((G94/C94)*M94)+((G95/C94)*M95)+((G96/C94)*M96))*3.571428))</f>
        <v>3.571428</v>
      </c>
      <c r="P94" s="1829">
        <f>O94/3.571428</f>
        <v>1</v>
      </c>
      <c r="Q94" s="2146" t="s">
        <v>190</v>
      </c>
      <c r="R94" s="236"/>
      <c r="S94" s="236"/>
    </row>
    <row r="95" spans="1:19" ht="39.6" customHeight="1" x14ac:dyDescent="0.45">
      <c r="A95" s="1669"/>
      <c r="B95" s="1688"/>
      <c r="C95" s="1785"/>
      <c r="D95" s="1721"/>
      <c r="E95" s="1172">
        <f t="shared" ref="E95:E96" si="32">$C$94/3</f>
        <v>1.1904761904761905</v>
      </c>
      <c r="F95" s="1058" t="s">
        <v>270</v>
      </c>
      <c r="G95" s="1154">
        <f>E95/1</f>
        <v>1.1904761904761905</v>
      </c>
      <c r="H95" s="1890">
        <v>2.1955</v>
      </c>
      <c r="I95" s="1891">
        <v>1.4</v>
      </c>
      <c r="J95" s="2128">
        <f>IF(AND(I95&gt;1,(H95-I95=0)),(H95-1),(H95-I95))</f>
        <v>0.7955000000000001</v>
      </c>
      <c r="K95" s="1958" t="str">
        <f>IF(AND(I95&gt;=1,H95&gt;=1),"0",((1-I95)*(6/10)))</f>
        <v>0</v>
      </c>
      <c r="L95" s="2147">
        <f t="shared" ref="L95:L96" si="33">I95+K95</f>
        <v>1.4</v>
      </c>
      <c r="M95" s="1867">
        <f>IF(I95&gt;=1,(1+(H95-1)/1),(J95/K95))</f>
        <v>2.1955</v>
      </c>
      <c r="N95" s="2044"/>
      <c r="O95" s="1869"/>
      <c r="P95" s="1870"/>
      <c r="Q95" s="2148" t="s">
        <v>191</v>
      </c>
      <c r="R95" s="253" t="s">
        <v>332</v>
      </c>
      <c r="S95" s="253" t="s">
        <v>333</v>
      </c>
    </row>
    <row r="96" spans="1:19" ht="41.45" customHeight="1" thickBot="1" x14ac:dyDescent="0.5">
      <c r="A96" s="1669"/>
      <c r="B96" s="1739"/>
      <c r="C96" s="1786"/>
      <c r="D96" s="1728"/>
      <c r="E96" s="1021">
        <f t="shared" si="32"/>
        <v>1.1904761904761905</v>
      </c>
      <c r="F96" s="953" t="s">
        <v>84</v>
      </c>
      <c r="G96" s="1163">
        <f>E96/1</f>
        <v>1.1904761904761905</v>
      </c>
      <c r="H96" s="1912">
        <v>100</v>
      </c>
      <c r="I96" s="1898">
        <v>100</v>
      </c>
      <c r="J96" s="2137">
        <f>H96-I96</f>
        <v>0</v>
      </c>
      <c r="K96" s="2114">
        <f>(100-I96)*(6/10)</f>
        <v>0</v>
      </c>
      <c r="L96" s="2138">
        <f t="shared" si="33"/>
        <v>100</v>
      </c>
      <c r="M96" s="1836" t="str">
        <f>IF(K96&lt;&gt;0,J96/K96,"100%")</f>
        <v>100%</v>
      </c>
      <c r="N96" s="2056"/>
      <c r="O96" s="1877"/>
      <c r="P96" s="1839"/>
      <c r="Q96" s="2149" t="s">
        <v>95</v>
      </c>
      <c r="R96" s="265"/>
      <c r="S96" s="265"/>
    </row>
    <row r="97" spans="1:19" ht="18" customHeight="1" thickBot="1" x14ac:dyDescent="0.5">
      <c r="B97" s="1787" t="s">
        <v>85</v>
      </c>
      <c r="C97" s="1788"/>
      <c r="D97" s="1788"/>
      <c r="E97" s="1788"/>
      <c r="F97" s="1789"/>
      <c r="G97" s="1176"/>
      <c r="H97" s="2150"/>
      <c r="I97" s="2151"/>
      <c r="J97" s="2152"/>
      <c r="K97" s="2153"/>
      <c r="L97" s="2153"/>
      <c r="M97" s="2154"/>
      <c r="N97" s="2155">
        <f>(N98+N99+N100)/3</f>
        <v>7.716049382716042E-3</v>
      </c>
      <c r="O97" s="2156">
        <f>(O98+O99+O100)</f>
        <v>8.2671944444444367E-2</v>
      </c>
      <c r="P97" s="1816">
        <f>O97/10.714284</f>
        <v>7.7160493827160429E-3</v>
      </c>
      <c r="Q97" s="2157"/>
      <c r="R97" s="255"/>
      <c r="S97" s="255"/>
    </row>
    <row r="98" spans="1:19" ht="29.45" customHeight="1" thickBot="1" x14ac:dyDescent="0.5">
      <c r="A98" s="16">
        <v>26</v>
      </c>
      <c r="B98" s="961" t="s">
        <v>86</v>
      </c>
      <c r="C98" s="962">
        <f>$M$5</f>
        <v>3.5714285714285716</v>
      </c>
      <c r="D98" s="961" t="s">
        <v>215</v>
      </c>
      <c r="E98" s="962">
        <f>C98/1</f>
        <v>3.5714285714285716</v>
      </c>
      <c r="F98" s="1095" t="s">
        <v>291</v>
      </c>
      <c r="G98" s="962">
        <f>E98/1</f>
        <v>3.5714285714285716</v>
      </c>
      <c r="H98" s="2158"/>
      <c r="I98" s="2073"/>
      <c r="J98" s="2159">
        <f>IF(I98=H98,(H98-10),H98-I98)</f>
        <v>-10</v>
      </c>
      <c r="K98" s="1941">
        <f>IF(I98&gt;=10,0,((10-I98)*(6/10)))</f>
        <v>6</v>
      </c>
      <c r="L98" s="2062">
        <f>I98+K98</f>
        <v>6</v>
      </c>
      <c r="M98" s="1836" t="str">
        <f>IF(H98=0,"0%",J98/K98)</f>
        <v>0%</v>
      </c>
      <c r="N98" s="2063">
        <f>((G98/C98)*M98)</f>
        <v>0</v>
      </c>
      <c r="O98" s="1929">
        <f>IF(((G98/C98)*M98)&gt;=1,3.571428,IF(((G98/C98)*M98)&lt;=0,0,((G98/C98)*M98)*3.571428))</f>
        <v>0</v>
      </c>
      <c r="P98" s="1816">
        <f>O98/3.571428</f>
        <v>0</v>
      </c>
      <c r="Q98" s="2160" t="s">
        <v>95</v>
      </c>
      <c r="R98" s="289"/>
      <c r="S98" s="155" t="s">
        <v>463</v>
      </c>
    </row>
    <row r="99" spans="1:19" ht="35.25" thickBot="1" x14ac:dyDescent="0.5">
      <c r="A99" s="16">
        <v>27</v>
      </c>
      <c r="B99" s="961" t="s">
        <v>87</v>
      </c>
      <c r="C99" s="962">
        <f>$M$5</f>
        <v>3.5714285714285716</v>
      </c>
      <c r="D99" s="961" t="s">
        <v>216</v>
      </c>
      <c r="E99" s="962">
        <f>C99/1</f>
        <v>3.5714285714285716</v>
      </c>
      <c r="F99" s="1095" t="s">
        <v>271</v>
      </c>
      <c r="G99" s="962">
        <f>E99/1</f>
        <v>3.5714285714285716</v>
      </c>
      <c r="H99" s="2081">
        <v>25.3</v>
      </c>
      <c r="I99" s="2060">
        <v>24.6</v>
      </c>
      <c r="J99" s="2159">
        <f>IF(I99=H99,(H99-75),H99-I99)</f>
        <v>0.69999999999999929</v>
      </c>
      <c r="K99" s="1941">
        <f>IF(I99&gt;=75,0,((75-I99)*(6/10)))</f>
        <v>30.24</v>
      </c>
      <c r="L99" s="2082">
        <f>I99+K99</f>
        <v>54.84</v>
      </c>
      <c r="M99" s="2161">
        <f>IF(I99&gt;=75,(1+(H99-75)/75),(J99/K99))</f>
        <v>2.3148148148148126E-2</v>
      </c>
      <c r="N99" s="2063">
        <f>((G99/C99)*M99)</f>
        <v>2.3148148148148126E-2</v>
      </c>
      <c r="O99" s="1929">
        <f>IF(((G99/C99)*M99)&gt;=1,3.571428,IF(((G99/C99)*M99)&lt;=0,0,((G99/C99)*M99)*3.571428))</f>
        <v>8.2671944444444367E-2</v>
      </c>
      <c r="P99" s="1816">
        <f>O99/3.571428</f>
        <v>2.3148148148148126E-2</v>
      </c>
      <c r="Q99" s="2160" t="s">
        <v>192</v>
      </c>
      <c r="R99" s="290" t="s">
        <v>334</v>
      </c>
      <c r="S99" s="278" t="s">
        <v>335</v>
      </c>
    </row>
    <row r="100" spans="1:19" ht="30.75" thickBot="1" x14ac:dyDescent="0.5">
      <c r="A100" s="1669">
        <v>28</v>
      </c>
      <c r="B100" s="1790" t="s">
        <v>88</v>
      </c>
      <c r="C100" s="1792">
        <f>M5</f>
        <v>3.5714285714285716</v>
      </c>
      <c r="D100" s="1790" t="s">
        <v>217</v>
      </c>
      <c r="E100" s="1792">
        <f>C100/1</f>
        <v>3.5714285714285716</v>
      </c>
      <c r="F100" s="1054" t="s">
        <v>89</v>
      </c>
      <c r="G100" s="853">
        <f>$E$100/2</f>
        <v>1.7857142857142858</v>
      </c>
      <c r="H100" s="1883">
        <v>0</v>
      </c>
      <c r="I100" s="1884">
        <v>0</v>
      </c>
      <c r="J100" s="2162">
        <f>IF(I100=H100,(25-H100),I100-H100)</f>
        <v>25</v>
      </c>
      <c r="K100" s="2001">
        <f>IF(I100&lt;=25,0,((0.25*I100)*(6/10)))</f>
        <v>0</v>
      </c>
      <c r="L100" s="2163">
        <f>I100-K100</f>
        <v>0</v>
      </c>
      <c r="M100" s="1836" t="str">
        <f>IF(H100=0,"0%",J100/K100)</f>
        <v>0%</v>
      </c>
      <c r="N100" s="2164">
        <f>((G100/$C$100)*M100)+((G101/$C$100)*M101)</f>
        <v>0</v>
      </c>
      <c r="O100" s="1828">
        <f>IF((((G100/C100)*M100)+((G101/C100)*M101))&gt;=1,3.57148,IF((((G100/C100)*M100)+((G101/C100)*M101))&lt;=0,0, (((G100/C100)*M100)+((G101/C100)*M101))*3.571428))</f>
        <v>0</v>
      </c>
      <c r="P100" s="1829">
        <f>O100/3.571428</f>
        <v>0</v>
      </c>
      <c r="Q100" s="2165" t="s">
        <v>193</v>
      </c>
      <c r="R100" s="291"/>
      <c r="S100" s="244"/>
    </row>
    <row r="101" spans="1:19" ht="38.450000000000003" customHeight="1" thickBot="1" x14ac:dyDescent="0.5">
      <c r="A101" s="1669"/>
      <c r="B101" s="1791"/>
      <c r="C101" s="1793"/>
      <c r="D101" s="1791"/>
      <c r="E101" s="1794"/>
      <c r="F101" s="953" t="s">
        <v>90</v>
      </c>
      <c r="G101" s="868">
        <f>$E$100/2</f>
        <v>1.7857142857142858</v>
      </c>
      <c r="H101" s="2112"/>
      <c r="I101" s="2032"/>
      <c r="J101" s="2166">
        <f>IF(I101=H101,(H101-25),H101-I101)</f>
        <v>-25</v>
      </c>
      <c r="K101" s="1875">
        <f>IF(I101&gt;=25,0,((25-I101)*(6/10)))</f>
        <v>15</v>
      </c>
      <c r="L101" s="2167">
        <f t="shared" ref="L101" si="34">K101+I101</f>
        <v>15</v>
      </c>
      <c r="M101" s="1836" t="str">
        <f>IF(H101=0,"0%",J101/K101)</f>
        <v>0%</v>
      </c>
      <c r="N101" s="2168"/>
      <c r="O101" s="1838"/>
      <c r="P101" s="1839"/>
      <c r="Q101" s="2169" t="s">
        <v>95</v>
      </c>
      <c r="R101" s="292"/>
      <c r="S101" s="155" t="s">
        <v>463</v>
      </c>
    </row>
    <row r="102" spans="1:19" ht="34.25" customHeight="1" thickBot="1" x14ac:dyDescent="0.5">
      <c r="B102" s="1191" t="s">
        <v>194</v>
      </c>
      <c r="C102" s="1192">
        <f>C11+C13+C15+C19+C24+C33+C34+C35+C36+C38+C41+C44+C48+C51+C53+C61+C68+C71+C73+C75+C78+C81+C83+C87+C94+C98+C99+C100</f>
        <v>99.999999999999972</v>
      </c>
      <c r="D102" s="1193"/>
      <c r="E102" s="1192">
        <f>E11+E12+E13+E14+E15+E19+E20+E21+E22+E24+E25+E28+E31+E33+E34+E35+E36+E38+E39+E41+E42+E44+E45+E48+E49++E51+E53+E54+E55+E56+E57+E61+E62+E63+E64+E68+E71+E73+E75+E78+E81++E82+E83+E84+E85+E87+E88+E91+E94+E95+E96+E98+E99+E100</f>
        <v>100.00714285714285</v>
      </c>
      <c r="F102" s="1194"/>
      <c r="G102" s="1192">
        <f>G11+G12+G13+G14+G15+G16+G17+G19+G20+G21+G22+G24+G25+G26+G27+G28+G29+G30+G31+G33+G34+G35+G36+G38+G39+G41+G42+G44+G45+G48+G49+G51+G53+G54+G55+G56+G57+G58+G61+G62+G63+G64+G65+G66+G68+G71+G73+G75+G78+G81+G82+G83+G84+G85+G87+G88+G89+G90+G91+G94+G95+G96+G98+G99+G100+G101</f>
        <v>100.00714285714285</v>
      </c>
      <c r="H102" s="2170"/>
      <c r="I102" s="2171"/>
      <c r="J102" s="2170"/>
      <c r="K102" s="2172"/>
      <c r="L102" s="2173"/>
      <c r="M102" s="2174"/>
      <c r="N102" s="2175"/>
      <c r="O102" s="2176"/>
      <c r="P102" s="2176"/>
      <c r="Q102" s="2177"/>
      <c r="R102" s="17"/>
      <c r="S102" s="18"/>
    </row>
    <row r="104" spans="1:19" ht="15.75" x14ac:dyDescent="0.5">
      <c r="B104" s="19"/>
    </row>
    <row r="107" spans="1:19" ht="15.75" x14ac:dyDescent="0.5">
      <c r="B107" s="19"/>
    </row>
    <row r="108" spans="1:19" x14ac:dyDescent="0.45">
      <c r="B108" s="20"/>
    </row>
    <row r="109" spans="1:19" x14ac:dyDescent="0.45">
      <c r="B109" s="20"/>
    </row>
    <row r="111" spans="1:19" x14ac:dyDescent="0.45">
      <c r="E111"/>
      <c r="F111" s="1202" t="s">
        <v>196</v>
      </c>
    </row>
    <row r="112" spans="1:19" x14ac:dyDescent="0.45">
      <c r="E112" s="1203">
        <v>1</v>
      </c>
      <c r="F112" s="1203" t="s">
        <v>197</v>
      </c>
    </row>
    <row r="113" spans="5:6" x14ac:dyDescent="0.45">
      <c r="E113" s="1203">
        <v>2</v>
      </c>
      <c r="F113" s="1203" t="s">
        <v>227</v>
      </c>
    </row>
    <row r="114" spans="5:6" x14ac:dyDescent="0.45">
      <c r="E114" s="1203">
        <v>3</v>
      </c>
      <c r="F114" s="1203" t="s">
        <v>228</v>
      </c>
    </row>
    <row r="115" spans="5:6" x14ac:dyDescent="0.45">
      <c r="E115" s="1203">
        <v>4</v>
      </c>
      <c r="F115" s="1203" t="s">
        <v>229</v>
      </c>
    </row>
    <row r="116" spans="5:6" x14ac:dyDescent="0.45">
      <c r="E116" s="1203">
        <v>5</v>
      </c>
      <c r="F116" s="1203" t="s">
        <v>198</v>
      </c>
    </row>
    <row r="117" spans="5:6" x14ac:dyDescent="0.45">
      <c r="E117" s="1203">
        <v>6</v>
      </c>
      <c r="F117" s="1203" t="s">
        <v>230</v>
      </c>
    </row>
    <row r="118" spans="5:6" x14ac:dyDescent="0.45">
      <c r="E118" s="1203">
        <v>7</v>
      </c>
      <c r="F118" s="1203" t="s">
        <v>231</v>
      </c>
    </row>
    <row r="119" spans="5:6" x14ac:dyDescent="0.45">
      <c r="E119" s="1203">
        <v>8</v>
      </c>
      <c r="F119" s="1203" t="s">
        <v>199</v>
      </c>
    </row>
    <row r="120" spans="5:6" x14ac:dyDescent="0.45">
      <c r="E120" s="1203">
        <v>9</v>
      </c>
      <c r="F120" s="1203" t="s">
        <v>200</v>
      </c>
    </row>
    <row r="121" spans="5:6" x14ac:dyDescent="0.45">
      <c r="E121" s="1203">
        <v>10</v>
      </c>
      <c r="F121" s="1203" t="s">
        <v>201</v>
      </c>
    </row>
    <row r="122" spans="5:6" x14ac:dyDescent="0.45">
      <c r="E122" s="1203">
        <v>11</v>
      </c>
      <c r="F122" s="1203" t="s">
        <v>232</v>
      </c>
    </row>
    <row r="123" spans="5:6" x14ac:dyDescent="0.45">
      <c r="E123" s="1203">
        <v>12</v>
      </c>
      <c r="F123" s="1203" t="s">
        <v>202</v>
      </c>
    </row>
    <row r="124" spans="5:6" x14ac:dyDescent="0.45">
      <c r="E124" s="1203">
        <f t="shared" ref="E124:E145" si="35">E123+1</f>
        <v>13</v>
      </c>
      <c r="F124" s="1203" t="s">
        <v>203</v>
      </c>
    </row>
    <row r="125" spans="5:6" x14ac:dyDescent="0.45">
      <c r="E125" s="1203">
        <v>14</v>
      </c>
      <c r="F125" s="1203" t="s">
        <v>233</v>
      </c>
    </row>
    <row r="126" spans="5:6" x14ac:dyDescent="0.45">
      <c r="E126" s="1203">
        <v>15</v>
      </c>
      <c r="F126" s="1203" t="s">
        <v>234</v>
      </c>
    </row>
    <row r="127" spans="5:6" x14ac:dyDescent="0.45">
      <c r="E127" s="1203">
        <v>16</v>
      </c>
      <c r="F127" s="1203" t="s">
        <v>213</v>
      </c>
    </row>
    <row r="128" spans="5:6" x14ac:dyDescent="0.45">
      <c r="E128" s="1203">
        <v>17</v>
      </c>
      <c r="F128" s="1203" t="s">
        <v>235</v>
      </c>
    </row>
    <row r="129" spans="5:6" x14ac:dyDescent="0.45">
      <c r="E129" s="1203">
        <v>18</v>
      </c>
      <c r="F129" s="1203" t="s">
        <v>263</v>
      </c>
    </row>
    <row r="130" spans="5:6" x14ac:dyDescent="0.45">
      <c r="E130" s="1203">
        <v>19</v>
      </c>
      <c r="F130" s="1203" t="s">
        <v>204</v>
      </c>
    </row>
    <row r="131" spans="5:6" x14ac:dyDescent="0.45">
      <c r="E131" s="1203">
        <v>20</v>
      </c>
      <c r="F131" s="1203" t="s">
        <v>236</v>
      </c>
    </row>
    <row r="132" spans="5:6" x14ac:dyDescent="0.45">
      <c r="E132" s="1203">
        <v>21</v>
      </c>
      <c r="F132" s="1203" t="s">
        <v>237</v>
      </c>
    </row>
    <row r="133" spans="5:6" x14ac:dyDescent="0.45">
      <c r="E133" s="1203">
        <v>22</v>
      </c>
      <c r="F133" s="1203" t="s">
        <v>238</v>
      </c>
    </row>
    <row r="134" spans="5:6" x14ac:dyDescent="0.45">
      <c r="E134" s="1203">
        <v>23</v>
      </c>
      <c r="F134" s="1203" t="s">
        <v>205</v>
      </c>
    </row>
    <row r="135" spans="5:6" x14ac:dyDescent="0.45">
      <c r="E135" s="1203">
        <v>24</v>
      </c>
      <c r="F135" s="1203" t="s">
        <v>239</v>
      </c>
    </row>
    <row r="136" spans="5:6" x14ac:dyDescent="0.45">
      <c r="E136" s="1203">
        <v>25</v>
      </c>
      <c r="F136" s="1203" t="s">
        <v>240</v>
      </c>
    </row>
    <row r="137" spans="5:6" x14ac:dyDescent="0.45">
      <c r="E137" s="1203">
        <v>26</v>
      </c>
      <c r="F137" s="1203" t="s">
        <v>241</v>
      </c>
    </row>
    <row r="138" spans="5:6" x14ac:dyDescent="0.45">
      <c r="E138" s="1203">
        <v>27</v>
      </c>
      <c r="F138" s="1203" t="s">
        <v>206</v>
      </c>
    </row>
    <row r="139" spans="5:6" x14ac:dyDescent="0.45">
      <c r="E139" s="1203">
        <v>28</v>
      </c>
      <c r="F139" s="1203" t="s">
        <v>242</v>
      </c>
    </row>
    <row r="140" spans="5:6" x14ac:dyDescent="0.45">
      <c r="E140" s="1203">
        <v>29</v>
      </c>
      <c r="F140" s="1203" t="s">
        <v>243</v>
      </c>
    </row>
    <row r="141" spans="5:6" x14ac:dyDescent="0.45">
      <c r="E141" s="1203">
        <v>30</v>
      </c>
      <c r="F141" s="1203" t="s">
        <v>244</v>
      </c>
    </row>
    <row r="142" spans="5:6" x14ac:dyDescent="0.45">
      <c r="E142" s="1203">
        <v>31</v>
      </c>
      <c r="F142" s="1203" t="s">
        <v>245</v>
      </c>
    </row>
    <row r="143" spans="5:6" x14ac:dyDescent="0.45">
      <c r="E143" s="1203">
        <v>32</v>
      </c>
      <c r="F143" s="1203" t="s">
        <v>246</v>
      </c>
    </row>
    <row r="144" spans="5:6" x14ac:dyDescent="0.45">
      <c r="E144" s="1203">
        <v>33</v>
      </c>
      <c r="F144" s="1203" t="s">
        <v>207</v>
      </c>
    </row>
    <row r="145" spans="5:6" x14ac:dyDescent="0.45">
      <c r="E145" s="1203">
        <f t="shared" si="35"/>
        <v>34</v>
      </c>
      <c r="F145" s="1203" t="s">
        <v>208</v>
      </c>
    </row>
    <row r="146" spans="5:6" x14ac:dyDescent="0.45">
      <c r="E146" s="1203">
        <v>35</v>
      </c>
      <c r="F146" s="1203" t="s">
        <v>247</v>
      </c>
    </row>
    <row r="147" spans="5:6" x14ac:dyDescent="0.45">
      <c r="E147" s="1203">
        <v>36</v>
      </c>
      <c r="F147" s="1203" t="s">
        <v>248</v>
      </c>
    </row>
    <row r="148" spans="5:6" x14ac:dyDescent="0.45">
      <c r="E148" s="1203">
        <v>36</v>
      </c>
      <c r="F148" s="1203" t="s">
        <v>249</v>
      </c>
    </row>
    <row r="149" spans="5:6" x14ac:dyDescent="0.45">
      <c r="E149" s="1203">
        <v>38</v>
      </c>
      <c r="F149" s="1203" t="s">
        <v>250</v>
      </c>
    </row>
    <row r="150" spans="5:6" x14ac:dyDescent="0.45">
      <c r="E150" s="1203">
        <v>39</v>
      </c>
      <c r="F150" s="1203" t="s">
        <v>251</v>
      </c>
    </row>
    <row r="151" spans="5:6" x14ac:dyDescent="0.45">
      <c r="E151" s="1203">
        <v>40</v>
      </c>
      <c r="F151" s="1203" t="s">
        <v>209</v>
      </c>
    </row>
    <row r="152" spans="5:6" x14ac:dyDescent="0.45">
      <c r="E152" s="1203">
        <v>41</v>
      </c>
      <c r="F152" s="1203" t="s">
        <v>264</v>
      </c>
    </row>
    <row r="153" spans="5:6" x14ac:dyDescent="0.45">
      <c r="E153" s="1203">
        <v>42</v>
      </c>
      <c r="F153" s="1203" t="s">
        <v>252</v>
      </c>
    </row>
    <row r="154" spans="5:6" x14ac:dyDescent="0.45">
      <c r="E154" s="1203">
        <v>43</v>
      </c>
      <c r="F154" s="1203" t="s">
        <v>253</v>
      </c>
    </row>
    <row r="155" spans="5:6" x14ac:dyDescent="0.45">
      <c r="E155" s="1203">
        <v>44</v>
      </c>
      <c r="F155" s="1203" t="s">
        <v>254</v>
      </c>
    </row>
    <row r="156" spans="5:6" x14ac:dyDescent="0.45">
      <c r="E156" s="1203">
        <v>45</v>
      </c>
      <c r="F156" s="1203" t="s">
        <v>210</v>
      </c>
    </row>
    <row r="157" spans="5:6" x14ac:dyDescent="0.45">
      <c r="E157" s="1203">
        <v>46</v>
      </c>
      <c r="F157" s="1203" t="s">
        <v>255</v>
      </c>
    </row>
    <row r="158" spans="5:6" x14ac:dyDescent="0.45">
      <c r="E158" s="1203">
        <v>47</v>
      </c>
      <c r="F158" s="1203" t="s">
        <v>211</v>
      </c>
    </row>
    <row r="159" spans="5:6" x14ac:dyDescent="0.45">
      <c r="E159" s="1203">
        <v>48</v>
      </c>
      <c r="F159" s="1203" t="s">
        <v>256</v>
      </c>
    </row>
    <row r="160" spans="5:6" x14ac:dyDescent="0.45">
      <c r="E160" s="1203">
        <v>49</v>
      </c>
      <c r="F160" s="1203" t="s">
        <v>257</v>
      </c>
    </row>
    <row r="161" spans="5:6" x14ac:dyDescent="0.45">
      <c r="E161" s="1203">
        <v>50</v>
      </c>
      <c r="F161" s="1203" t="s">
        <v>260</v>
      </c>
    </row>
    <row r="162" spans="5:6" x14ac:dyDescent="0.45">
      <c r="E162" s="1203">
        <v>51</v>
      </c>
      <c r="F162" s="1203" t="s">
        <v>258</v>
      </c>
    </row>
    <row r="163" spans="5:6" x14ac:dyDescent="0.45">
      <c r="E163" s="1203">
        <v>52</v>
      </c>
      <c r="F163" s="1203" t="s">
        <v>212</v>
      </c>
    </row>
    <row r="164" spans="5:6" x14ac:dyDescent="0.45">
      <c r="E164" s="1203">
        <v>53</v>
      </c>
      <c r="F164" s="1203" t="s">
        <v>259</v>
      </c>
    </row>
    <row r="165" spans="5:6" x14ac:dyDescent="0.45">
      <c r="E165" s="1203">
        <v>54</v>
      </c>
      <c r="F165" s="1203" t="s">
        <v>261</v>
      </c>
    </row>
    <row r="166" spans="5:6" x14ac:dyDescent="0.45">
      <c r="E166" s="1203">
        <v>55</v>
      </c>
      <c r="F166" s="1203" t="s">
        <v>262</v>
      </c>
    </row>
    <row r="167" spans="5:6" x14ac:dyDescent="0.45">
      <c r="E167"/>
      <c r="F167"/>
    </row>
    <row r="168" spans="5:6" x14ac:dyDescent="0.45">
      <c r="E168"/>
      <c r="F168"/>
    </row>
  </sheetData>
  <sheetProtection algorithmName="SHA-512" hashValue="hk/J6NKeUjB53x/elfY6U5VV8oeKJ5mtCrDzN80dWzBZ94dcU0R7KrHjl2egClysVXTtuGV/3UHYuIbYHX7v6w==" saltValue="hsLE3u6FEsrXxPq9E28WHg=="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9CC7CA05-B6AA-42B7-8EDF-46A36E69851B}">
      <formula1>$F$112:$F$166</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64AC5-CE96-4C3D-816B-0F96E5779DD9}">
  <dimension ref="A1:AA168"/>
  <sheetViews>
    <sheetView tabSelected="1" topLeftCell="B1" zoomScale="60" zoomScaleNormal="60" workbookViewId="0">
      <selection activeCell="N2" sqref="N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793"/>
      <c r="R1" s="3"/>
      <c r="S1" s="4"/>
      <c r="U1" s="794"/>
      <c r="V1" s="794"/>
      <c r="W1" s="794"/>
      <c r="X1" s="794"/>
      <c r="Y1" s="794"/>
      <c r="Z1" s="794"/>
      <c r="AA1" s="794"/>
    </row>
    <row r="2" spans="1:27" ht="30" x14ac:dyDescent="1.1000000000000001">
      <c r="B2" s="795"/>
      <c r="C2" s="796"/>
      <c r="D2" s="797" t="s">
        <v>286</v>
      </c>
      <c r="E2" s="796"/>
      <c r="F2" s="798"/>
      <c r="G2" s="798"/>
      <c r="H2" s="798"/>
      <c r="I2" s="798"/>
      <c r="J2" s="798"/>
      <c r="K2" s="798"/>
      <c r="L2" s="798"/>
      <c r="M2" s="798"/>
      <c r="N2" s="798"/>
      <c r="O2" s="798"/>
      <c r="P2" s="798"/>
      <c r="Q2" s="796"/>
      <c r="R2" s="798"/>
      <c r="S2" s="6"/>
    </row>
    <row r="3" spans="1:27" ht="14.65" thickBot="1" x14ac:dyDescent="0.5">
      <c r="B3" s="799"/>
      <c r="C3" s="800"/>
      <c r="D3" s="800"/>
      <c r="E3" s="800"/>
      <c r="F3" s="801"/>
      <c r="G3" s="801"/>
      <c r="H3" s="801"/>
      <c r="I3" s="801"/>
      <c r="J3" s="801"/>
      <c r="K3" s="801"/>
      <c r="L3" s="801"/>
      <c r="M3" s="801"/>
      <c r="N3" s="801"/>
      <c r="O3" s="801"/>
      <c r="P3" s="801"/>
      <c r="Q3" s="800"/>
      <c r="R3" s="801"/>
      <c r="S3" s="7"/>
    </row>
    <row r="4" spans="1:27" ht="26.45" customHeight="1" thickBot="1" x14ac:dyDescent="0.5">
      <c r="B4" s="799"/>
      <c r="C4" s="800"/>
      <c r="D4" s="802" t="s">
        <v>195</v>
      </c>
      <c r="E4" s="800"/>
      <c r="F4" s="8" t="s">
        <v>249</v>
      </c>
      <c r="G4" s="801"/>
      <c r="H4" s="801"/>
      <c r="I4" s="801"/>
      <c r="J4" s="801"/>
      <c r="K4" s="1652" t="s">
        <v>556</v>
      </c>
      <c r="L4" s="1653"/>
      <c r="M4" s="1654"/>
      <c r="N4" s="803">
        <f>(N9+N46+N59+N69+N76+N79+N92)/7</f>
        <v>0.16717275424739336</v>
      </c>
      <c r="O4" s="804">
        <f>(O9+O46+O59+O69+O76+O79+O92)</f>
        <v>25.847280664627178</v>
      </c>
      <c r="P4" s="803">
        <f>O4/100</f>
        <v>0.25847280664627176</v>
      </c>
      <c r="Q4" s="800"/>
      <c r="R4" s="801"/>
      <c r="S4" s="7"/>
    </row>
    <row r="5" spans="1:27" ht="18.399999999999999" thickBot="1" x14ac:dyDescent="0.6">
      <c r="B5" s="1655"/>
      <c r="C5" s="1656"/>
      <c r="D5" s="1656"/>
      <c r="E5" s="1656"/>
      <c r="F5" s="1656"/>
      <c r="G5" s="1656"/>
      <c r="H5" s="1656"/>
      <c r="I5" s="1656"/>
      <c r="J5" s="1656"/>
      <c r="K5" s="1656"/>
      <c r="L5" s="58"/>
      <c r="M5" s="805">
        <f>100/28</f>
        <v>3.5714285714285716</v>
      </c>
      <c r="N5" s="9"/>
      <c r="O5" s="561"/>
      <c r="P5" s="561"/>
      <c r="Q5" s="806"/>
      <c r="R5" s="9"/>
      <c r="S5" s="10"/>
    </row>
    <row r="6" spans="1:27" ht="33.6" customHeight="1" thickBot="1" x14ac:dyDescent="0.5">
      <c r="B6" s="1657"/>
      <c r="C6" s="1658"/>
      <c r="D6" s="1658"/>
      <c r="E6" s="1658"/>
      <c r="F6" s="1659"/>
      <c r="G6" s="807"/>
      <c r="H6" s="807"/>
      <c r="I6" s="807"/>
      <c r="J6" s="807"/>
      <c r="K6" s="807"/>
      <c r="L6" s="807"/>
      <c r="M6" s="807"/>
      <c r="N6" s="808"/>
      <c r="O6" s="809"/>
      <c r="P6" s="809"/>
      <c r="Q6" s="808"/>
      <c r="R6" s="12"/>
      <c r="S6" s="13"/>
    </row>
    <row r="7" spans="1:27" ht="55.8" customHeight="1" thickBot="1" x14ac:dyDescent="0.5">
      <c r="B7" s="1660"/>
      <c r="C7" s="1661"/>
      <c r="D7" s="1661"/>
      <c r="E7" s="1661"/>
      <c r="F7" s="1662"/>
      <c r="G7" s="810"/>
      <c r="H7" s="811" t="s">
        <v>218</v>
      </c>
      <c r="I7" s="812" t="s">
        <v>219</v>
      </c>
      <c r="J7" s="813" t="s">
        <v>91</v>
      </c>
      <c r="K7" s="814" t="s">
        <v>107</v>
      </c>
      <c r="L7" s="814" t="s">
        <v>104</v>
      </c>
      <c r="M7" s="814" t="s">
        <v>105</v>
      </c>
      <c r="N7" s="812" t="s">
        <v>106</v>
      </c>
      <c r="O7" s="812" t="s">
        <v>464</v>
      </c>
      <c r="P7" s="815" t="s">
        <v>465</v>
      </c>
      <c r="Q7" s="816" t="s">
        <v>93</v>
      </c>
      <c r="R7" s="817" t="s">
        <v>110</v>
      </c>
      <c r="S7" s="818" t="s">
        <v>103</v>
      </c>
    </row>
    <row r="8" spans="1:27" ht="25.25" customHeight="1" thickBot="1" x14ac:dyDescent="0.5">
      <c r="B8" s="819" t="s">
        <v>2</v>
      </c>
      <c r="C8" s="819" t="s">
        <v>92</v>
      </c>
      <c r="D8" s="819" t="s">
        <v>3</v>
      </c>
      <c r="E8" s="819" t="s">
        <v>94</v>
      </c>
      <c r="F8" s="819" t="s">
        <v>102</v>
      </c>
      <c r="G8" s="819" t="s">
        <v>96</v>
      </c>
      <c r="H8" s="820"/>
      <c r="I8" s="821"/>
      <c r="J8" s="820"/>
      <c r="K8" s="822"/>
      <c r="L8" s="822"/>
      <c r="M8" s="819"/>
      <c r="N8" s="823"/>
      <c r="O8" s="824"/>
      <c r="P8" s="825"/>
      <c r="Q8" s="821"/>
      <c r="R8" s="823"/>
      <c r="S8" s="823"/>
      <c r="V8" s="826" t="s">
        <v>151</v>
      </c>
      <c r="W8" s="827"/>
      <c r="X8" s="827"/>
      <c r="Y8" s="827"/>
      <c r="Z8" s="828"/>
    </row>
    <row r="9" spans="1:27" s="168" customFormat="1" ht="25.25" customHeight="1" thickBot="1" x14ac:dyDescent="0.5">
      <c r="B9" s="1663" t="s">
        <v>0</v>
      </c>
      <c r="C9" s="1664"/>
      <c r="D9" s="1664"/>
      <c r="E9" s="1664"/>
      <c r="F9" s="1665"/>
      <c r="G9" s="829"/>
      <c r="H9" s="830"/>
      <c r="I9" s="831"/>
      <c r="J9" s="832"/>
      <c r="K9" s="832"/>
      <c r="L9" s="832"/>
      <c r="M9" s="829"/>
      <c r="N9" s="833">
        <f>(N10+N18+N23+N32+N37+N40+N43)/7</f>
        <v>0.48607719036980512</v>
      </c>
      <c r="O9" s="834">
        <f>(O10+O18+O23+O32+O37+O40+O43)</f>
        <v>11.493135463839934</v>
      </c>
      <c r="P9" s="835">
        <f>O9/42.857136</f>
        <v>0.2681732037306444</v>
      </c>
      <c r="Q9" s="832"/>
      <c r="R9" s="836"/>
      <c r="S9" s="836"/>
      <c r="U9" s="837"/>
      <c r="V9" s="838"/>
      <c r="W9" s="839"/>
      <c r="X9" s="839"/>
      <c r="Y9" s="839"/>
      <c r="Z9" s="840"/>
      <c r="AA9" s="837"/>
    </row>
    <row r="10" spans="1:27" s="92" customFormat="1" ht="25.25" customHeight="1" thickBot="1" x14ac:dyDescent="0.5">
      <c r="B10" s="1666" t="s">
        <v>1</v>
      </c>
      <c r="C10" s="1667"/>
      <c r="D10" s="1667"/>
      <c r="E10" s="1667"/>
      <c r="F10" s="1668"/>
      <c r="G10" s="841"/>
      <c r="H10" s="842"/>
      <c r="I10" s="843"/>
      <c r="J10" s="844"/>
      <c r="K10" s="844"/>
      <c r="L10" s="844"/>
      <c r="M10" s="841"/>
      <c r="N10" s="833">
        <f>(N11+N13+N15)/3</f>
        <v>1.4292613497941515</v>
      </c>
      <c r="O10" s="834">
        <f>(O11+O13+O15)</f>
        <v>7.7724195038660815</v>
      </c>
      <c r="P10" s="835">
        <f>O10/10.714284</f>
        <v>0.72542593642898412</v>
      </c>
      <c r="Q10" s="844"/>
      <c r="R10" s="845"/>
      <c r="S10" s="845"/>
      <c r="U10" s="846"/>
      <c r="V10" s="847"/>
      <c r="W10" s="848"/>
      <c r="X10" s="848"/>
      <c r="Y10" s="848"/>
      <c r="Z10" s="849"/>
      <c r="AA10" s="846"/>
    </row>
    <row r="11" spans="1:27" ht="27.6" customHeight="1" x14ac:dyDescent="0.45">
      <c r="A11" s="1669">
        <v>1</v>
      </c>
      <c r="B11" s="1680" t="s">
        <v>4</v>
      </c>
      <c r="C11" s="1682">
        <f>M5</f>
        <v>3.5714285714285716</v>
      </c>
      <c r="D11" s="850" t="s">
        <v>111</v>
      </c>
      <c r="E11" s="851">
        <f>$C$11/2</f>
        <v>1.7857142857142858</v>
      </c>
      <c r="F11" s="852" t="s">
        <v>5</v>
      </c>
      <c r="G11" s="853">
        <f>E11/1</f>
        <v>1.7857142857142858</v>
      </c>
      <c r="H11" s="854">
        <v>74803</v>
      </c>
      <c r="I11" s="855">
        <v>55536</v>
      </c>
      <c r="J11" s="856">
        <f>(H11-I11)</f>
        <v>19267</v>
      </c>
      <c r="K11" s="857">
        <f>(0.3*I11)*6/10</f>
        <v>9996.48</v>
      </c>
      <c r="L11" s="858">
        <f>I11+K11</f>
        <v>65532.479999999996</v>
      </c>
      <c r="M11" s="859">
        <f>IF(K11&lt;&gt;0,J11/K11,"0%")</f>
        <v>1.9273784372098979</v>
      </c>
      <c r="N11" s="1674">
        <f>(((G11/C11)*M11)+((G12/C11)*M12))</f>
        <v>0.61048833560274152</v>
      </c>
      <c r="O11" s="1676">
        <f>IF((((G11/C11)*M11)+((G12/C11)*M12))&gt;=1,3.57148,IF((((G11/C11)*M11)+((G12/C11)*M12))&lt;=0,0, (((G11/C11)*M11)+((G12/C11)*M12))*3.571428))</f>
        <v>2.1803151354450279</v>
      </c>
      <c r="P11" s="1678">
        <f>O11/3.571428</f>
        <v>0.61048833560274152</v>
      </c>
      <c r="Q11" s="860" t="s">
        <v>97</v>
      </c>
      <c r="R11" s="136" t="s">
        <v>373</v>
      </c>
      <c r="S11" s="137"/>
      <c r="V11" s="861" t="s">
        <v>109</v>
      </c>
      <c r="W11" s="862" t="e">
        <f>#REF!</f>
        <v>#REF!</v>
      </c>
      <c r="X11" s="863"/>
      <c r="Y11" s="863"/>
      <c r="Z11" s="864"/>
    </row>
    <row r="12" spans="1:27" ht="27" customHeight="1" thickBot="1" x14ac:dyDescent="0.5">
      <c r="A12" s="1669"/>
      <c r="B12" s="1681"/>
      <c r="C12" s="1683"/>
      <c r="D12" s="865" t="s">
        <v>112</v>
      </c>
      <c r="E12" s="866">
        <f>$C$11/2</f>
        <v>1.7857142857142858</v>
      </c>
      <c r="F12" s="867" t="s">
        <v>281</v>
      </c>
      <c r="G12" s="868">
        <f>E12/1</f>
        <v>1.7857142857142858</v>
      </c>
      <c r="H12" s="869">
        <v>33.4</v>
      </c>
      <c r="I12" s="870">
        <v>30.2</v>
      </c>
      <c r="J12" s="871">
        <f>I12-H12</f>
        <v>-3.1999999999999993</v>
      </c>
      <c r="K12" s="872">
        <f>(0.25*I12)*(6/10)</f>
        <v>4.5299999999999994</v>
      </c>
      <c r="L12" s="873">
        <f>I12-K12</f>
        <v>25.67</v>
      </c>
      <c r="M12" s="898">
        <f>IF(K12&lt;&gt;0,J12/K12,"0%")</f>
        <v>-0.70640176600441495</v>
      </c>
      <c r="N12" s="1675"/>
      <c r="O12" s="1677"/>
      <c r="P12" s="1679"/>
      <c r="Q12" s="875" t="s">
        <v>98</v>
      </c>
      <c r="R12" s="91" t="s">
        <v>374</v>
      </c>
      <c r="S12" s="440"/>
      <c r="V12" s="876">
        <v>0.02</v>
      </c>
      <c r="W12" s="877" t="e">
        <f>(W11-(W11*V12))</f>
        <v>#REF!</v>
      </c>
      <c r="X12" s="877" t="e">
        <f>W11-(V12*W11)</f>
        <v>#REF!</v>
      </c>
      <c r="Y12" s="863"/>
      <c r="Z12" s="864"/>
    </row>
    <row r="13" spans="1:27" ht="32.450000000000003" customHeight="1" thickBot="1" x14ac:dyDescent="0.5">
      <c r="A13" s="1669">
        <v>2</v>
      </c>
      <c r="B13" s="1670" t="s">
        <v>6</v>
      </c>
      <c r="C13" s="1672">
        <f>M5</f>
        <v>3.5714285714285716</v>
      </c>
      <c r="D13" s="878" t="s">
        <v>273</v>
      </c>
      <c r="E13" s="879">
        <f>$C$13/2</f>
        <v>1.7857142857142858</v>
      </c>
      <c r="F13" s="880" t="s">
        <v>7</v>
      </c>
      <c r="G13" s="881">
        <f>E13/1</f>
        <v>1.7857142857142858</v>
      </c>
      <c r="H13" s="352"/>
      <c r="I13" s="883">
        <v>20.9</v>
      </c>
      <c r="J13" s="884">
        <f>IF(I13=H13,(5-H13),I13-H13)</f>
        <v>20.9</v>
      </c>
      <c r="K13" s="885">
        <f>IF(I13&lt;=5,0,((I13-5)*(6/10)))</f>
        <v>9.5399999999999991</v>
      </c>
      <c r="L13" s="886">
        <f>I13-K13</f>
        <v>11.36</v>
      </c>
      <c r="M13" s="859" t="str">
        <f>IF(H13=0,"0%",J13/K13)</f>
        <v>0%</v>
      </c>
      <c r="N13" s="1674">
        <f>(((G13/C13)*M13)+((G14/C13)*M14))</f>
        <v>0.56578947368421073</v>
      </c>
      <c r="O13" s="1676">
        <f>IF((((G13/C13)*M13)+((G14/C13)*M14))&gt;=1,3.57148,IF((((G13/C13)*M13)+((G14/C13)*M14))&lt;=0,0, (((G13/C13)*M13)+((G14/C13)*M14))*3.571428))</f>
        <v>2.0206763684210536</v>
      </c>
      <c r="P13" s="1678">
        <f>O13/3.571428</f>
        <v>0.56578947368421073</v>
      </c>
      <c r="Q13" s="888" t="s">
        <v>99</v>
      </c>
      <c r="R13" s="441" t="s">
        <v>479</v>
      </c>
      <c r="S13" s="230" t="s">
        <v>473</v>
      </c>
      <c r="V13" s="876">
        <v>0.02</v>
      </c>
      <c r="W13" s="877" t="e">
        <f>(#REF!-(#REF!*V13))</f>
        <v>#REF!</v>
      </c>
      <c r="X13" s="877" t="e">
        <f>(W11-(V12*W11))-((W11-(V12*W11))*0.02)-(((W11-(V12*W11))-((W11-(V12*W11))*0.02))*0.02)-(((W11-(V12*W11))-((W11-(V12*W11))*0.02)-(((W11-(V12*W11))-((W11-(V12*W11))*0.02))*0.02))*0.02)</f>
        <v>#REF!</v>
      </c>
      <c r="Y13" s="889" t="e">
        <f>(W11-W14)/W11</f>
        <v>#REF!</v>
      </c>
      <c r="Z13" s="864"/>
    </row>
    <row r="14" spans="1:27" ht="33" customHeight="1" thickBot="1" x14ac:dyDescent="0.5">
      <c r="A14" s="1669"/>
      <c r="B14" s="1671"/>
      <c r="C14" s="1673"/>
      <c r="D14" s="865" t="s">
        <v>274</v>
      </c>
      <c r="E14" s="890">
        <f>$C$13/2</f>
        <v>1.7857142857142858</v>
      </c>
      <c r="F14" s="891" t="s">
        <v>8</v>
      </c>
      <c r="G14" s="892">
        <f>E14/1</f>
        <v>1.7857142857142858</v>
      </c>
      <c r="H14" s="893">
        <v>92.9</v>
      </c>
      <c r="I14" s="894">
        <v>80</v>
      </c>
      <c r="J14" s="895">
        <f>H14-I14</f>
        <v>12.900000000000006</v>
      </c>
      <c r="K14" s="896">
        <f>(0.95*(100-I14))*6/10</f>
        <v>11.4</v>
      </c>
      <c r="L14" s="897">
        <f>K14+I14</f>
        <v>91.4</v>
      </c>
      <c r="M14" s="874">
        <f>IF(K14&lt;&gt;0,J14/K14,"1%")</f>
        <v>1.1315789473684215</v>
      </c>
      <c r="N14" s="1675"/>
      <c r="O14" s="1677"/>
      <c r="P14" s="1679"/>
      <c r="Q14" s="899" t="s">
        <v>100</v>
      </c>
      <c r="R14" s="442" t="s">
        <v>376</v>
      </c>
      <c r="S14" s="609" t="s">
        <v>377</v>
      </c>
      <c r="V14" s="900">
        <v>0.02</v>
      </c>
      <c r="W14" s="901" t="e">
        <f>(#REF!-(#REF!*V14))</f>
        <v>#REF!</v>
      </c>
      <c r="X14" s="901"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02" t="e">
        <f>W11-X14</f>
        <v>#REF!</v>
      </c>
      <c r="Z14" s="903"/>
    </row>
    <row r="15" spans="1:27" ht="22.25" customHeight="1" thickBot="1" x14ac:dyDescent="0.5">
      <c r="A15" s="1710">
        <v>3</v>
      </c>
      <c r="B15" s="1711" t="s">
        <v>9</v>
      </c>
      <c r="C15" s="1713">
        <f>M5</f>
        <v>3.5714285714285716</v>
      </c>
      <c r="D15" s="1711" t="s">
        <v>113</v>
      </c>
      <c r="E15" s="1713">
        <f>$C$15/1</f>
        <v>3.5714285714285716</v>
      </c>
      <c r="F15" s="904" t="s">
        <v>221</v>
      </c>
      <c r="G15" s="905">
        <f>$E$15/3</f>
        <v>1.1904761904761905</v>
      </c>
      <c r="H15" s="906">
        <v>49.7</v>
      </c>
      <c r="I15" s="907">
        <v>44.5</v>
      </c>
      <c r="J15" s="908">
        <f>H15-I15</f>
        <v>5.2000000000000028</v>
      </c>
      <c r="K15" s="909">
        <f>(0.5*I15)*6/10</f>
        <v>13.35</v>
      </c>
      <c r="L15" s="858">
        <f>I15+K15</f>
        <v>57.85</v>
      </c>
      <c r="M15" s="887">
        <f>IF(K15&lt;&gt;0,J15/K15,"0%")</f>
        <v>0.38951310861423244</v>
      </c>
      <c r="N15" s="1715">
        <f>(((G15/C15)*M15)+((G16/C15)*M16)+((G17/C15)*M17))</f>
        <v>3.1115062400955025</v>
      </c>
      <c r="O15" s="1702">
        <f>IF((((G15/C15)*M15)+((G16/C15)*M16)+((G17/C15)*M17))&gt;=1,3.571428,IF((((G15/C15)*M15)+((G16/C15)*M16)+((G17/C15)*M17))&lt;=0,0,(((G15/C15)*M15)+((G16/C15)*M16)+((G17/C15)*M17))*3.571428))</f>
        <v>3.571428</v>
      </c>
      <c r="P15" s="1678">
        <f>O15/3.571428</f>
        <v>1</v>
      </c>
      <c r="Q15" s="910" t="s">
        <v>101</v>
      </c>
      <c r="R15" s="443" t="s">
        <v>378</v>
      </c>
      <c r="S15" s="137" t="s">
        <v>379</v>
      </c>
    </row>
    <row r="16" spans="1:27" ht="35.25" thickBot="1" x14ac:dyDescent="0.5">
      <c r="A16" s="1710"/>
      <c r="B16" s="1711"/>
      <c r="C16" s="1713"/>
      <c r="D16" s="1711"/>
      <c r="E16" s="1713"/>
      <c r="F16" s="911" t="s">
        <v>220</v>
      </c>
      <c r="G16" s="912">
        <f t="shared" ref="G16:G17" si="0">$E$15/3</f>
        <v>1.1904761904761905</v>
      </c>
      <c r="H16" s="180">
        <v>36</v>
      </c>
      <c r="I16" s="181">
        <v>33</v>
      </c>
      <c r="J16" s="913">
        <f>H16-I16</f>
        <v>3</v>
      </c>
      <c r="K16" s="914">
        <f>(0.5*I16)*6/10</f>
        <v>9.9</v>
      </c>
      <c r="L16" s="915">
        <f t="shared" ref="L16:L17" si="1">I16+K16</f>
        <v>42.9</v>
      </c>
      <c r="M16" s="916">
        <f>IF(K16&lt;&gt;0,J16/K16,"0%")</f>
        <v>0.30303030303030304</v>
      </c>
      <c r="N16" s="1716"/>
      <c r="O16" s="1700"/>
      <c r="P16" s="1703"/>
      <c r="Q16" s="917" t="s">
        <v>95</v>
      </c>
      <c r="R16" s="443" t="s">
        <v>378</v>
      </c>
      <c r="S16" s="137" t="s">
        <v>380</v>
      </c>
    </row>
    <row r="17" spans="1:19" ht="25.25" customHeight="1" thickBot="1" x14ac:dyDescent="0.5">
      <c r="A17" s="1710"/>
      <c r="B17" s="1712"/>
      <c r="C17" s="1714"/>
      <c r="D17" s="1712"/>
      <c r="E17" s="1714"/>
      <c r="F17" s="918" t="s">
        <v>10</v>
      </c>
      <c r="G17" s="919">
        <f t="shared" si="0"/>
        <v>1.1904761904761905</v>
      </c>
      <c r="H17" s="94">
        <v>19.399999999999999</v>
      </c>
      <c r="I17" s="95">
        <v>5.4</v>
      </c>
      <c r="J17" s="920">
        <f>H17-I17</f>
        <v>13.999999999999998</v>
      </c>
      <c r="K17" s="921">
        <f>(0.5*I17)*6/10</f>
        <v>1.6200000000000003</v>
      </c>
      <c r="L17" s="873">
        <f t="shared" si="1"/>
        <v>7.0200000000000005</v>
      </c>
      <c r="M17" s="874">
        <f>IF(K17&lt;&gt;0,J17/K17,"0%")</f>
        <v>8.6419753086419728</v>
      </c>
      <c r="N17" s="1717"/>
      <c r="O17" s="1701"/>
      <c r="P17" s="1703"/>
      <c r="Q17" s="922" t="s">
        <v>162</v>
      </c>
      <c r="R17" s="443" t="s">
        <v>378</v>
      </c>
      <c r="S17" s="440" t="s">
        <v>381</v>
      </c>
    </row>
    <row r="18" spans="1:19" ht="21.4" thickBot="1" x14ac:dyDescent="0.7">
      <c r="A18" s="14"/>
      <c r="B18" s="1704" t="s">
        <v>11</v>
      </c>
      <c r="C18" s="1705"/>
      <c r="D18" s="1705"/>
      <c r="E18" s="1705"/>
      <c r="F18" s="1706"/>
      <c r="G18" s="923"/>
      <c r="H18" s="1204"/>
      <c r="I18" s="1204"/>
      <c r="J18" s="924"/>
      <c r="K18" s="924"/>
      <c r="L18" s="924"/>
      <c r="M18" s="925"/>
      <c r="N18" s="833">
        <f>N19</f>
        <v>4.178607547845109E-2</v>
      </c>
      <c r="O18" s="834">
        <f>O19</f>
        <v>0.14923595997385361</v>
      </c>
      <c r="P18" s="835">
        <f>O18/3.571428</f>
        <v>4.178607547845109E-2</v>
      </c>
      <c r="Q18" s="924"/>
      <c r="R18" s="249"/>
      <c r="S18" s="250"/>
    </row>
    <row r="19" spans="1:19" ht="34.25" customHeight="1" x14ac:dyDescent="0.45">
      <c r="A19" s="1669">
        <v>4</v>
      </c>
      <c r="B19" s="1687" t="s">
        <v>12</v>
      </c>
      <c r="C19" s="1691">
        <f>M5</f>
        <v>3.5714285714285716</v>
      </c>
      <c r="D19" s="926" t="s">
        <v>114</v>
      </c>
      <c r="E19" s="853">
        <f>$C$19/4</f>
        <v>0.8928571428571429</v>
      </c>
      <c r="F19" s="927" t="s">
        <v>222</v>
      </c>
      <c r="G19" s="905">
        <f>E19/1</f>
        <v>0.8928571428571429</v>
      </c>
      <c r="H19" s="928">
        <v>49</v>
      </c>
      <c r="I19" s="929">
        <v>40.4</v>
      </c>
      <c r="J19" s="930">
        <f>H19-I19</f>
        <v>8.6000000000000014</v>
      </c>
      <c r="K19" s="909">
        <f>(2*I19)*6/10</f>
        <v>48.48</v>
      </c>
      <c r="L19" s="931">
        <f t="shared" ref="L19:L22" si="2">K19+I19</f>
        <v>88.88</v>
      </c>
      <c r="M19" s="859">
        <f>IF(K19&lt;&gt;0,J19/K19,"0%")</f>
        <v>0.17739273927392743</v>
      </c>
      <c r="N19" s="1695">
        <f>(((G19/C19)*M19)+((G20/C19)*M20)+((G21/C19)*M21)+((G22/C19)*M22))</f>
        <v>4.178607547845109E-2</v>
      </c>
      <c r="O19" s="1699">
        <f>IF((((G19/C19)*M19)+((G20/C19)*M20)+((G21/C19)*M21)+((G22/C19)*M22))&gt;=1,3.571428,IF((((G19/C19)*M19)+((G20/C19)*M20)+((G21/C19)*M21)+((G22/C19)*M22))&lt;=0,0,((((G19/C19)*M19)+((G20/C19)*M20)+((G21/C19)*M21)+((G22/C19)*M22))*3.571428)))</f>
        <v>0.14923595997385361</v>
      </c>
      <c r="P19" s="1678">
        <f>O19/3.571428</f>
        <v>4.178607547845109E-2</v>
      </c>
      <c r="Q19" s="932" t="s">
        <v>163</v>
      </c>
      <c r="R19" s="444" t="s">
        <v>382</v>
      </c>
      <c r="S19" s="137" t="s">
        <v>383</v>
      </c>
    </row>
    <row r="20" spans="1:19" ht="39" customHeight="1" x14ac:dyDescent="0.45">
      <c r="A20" s="1669"/>
      <c r="B20" s="1688"/>
      <c r="C20" s="1692"/>
      <c r="D20" s="933" t="s">
        <v>152</v>
      </c>
      <c r="E20" s="934">
        <f>($C$19/4)</f>
        <v>0.8928571428571429</v>
      </c>
      <c r="F20" s="935" t="s">
        <v>265</v>
      </c>
      <c r="G20" s="912">
        <f>E20/1</f>
        <v>0.8928571428571429</v>
      </c>
      <c r="H20" s="96">
        <v>69.8</v>
      </c>
      <c r="I20" s="90">
        <v>69.3</v>
      </c>
      <c r="J20" s="936">
        <f t="shared" ref="J20:J24" si="3">H20-I20</f>
        <v>0.5</v>
      </c>
      <c r="K20" s="914">
        <f>(100-I20)*(6/10)</f>
        <v>18.420000000000002</v>
      </c>
      <c r="L20" s="937">
        <f t="shared" si="2"/>
        <v>87.72</v>
      </c>
      <c r="M20" s="916">
        <f>IF(K20&lt;&gt;0,J20/K20,"0%")</f>
        <v>2.7144408251900107E-2</v>
      </c>
      <c r="N20" s="1696"/>
      <c r="O20" s="1700"/>
      <c r="P20" s="1703"/>
      <c r="Q20" s="938" t="s">
        <v>164</v>
      </c>
      <c r="R20" s="445" t="s">
        <v>384</v>
      </c>
      <c r="S20" s="380" t="s">
        <v>385</v>
      </c>
    </row>
    <row r="21" spans="1:19" ht="56.45" customHeight="1" x14ac:dyDescent="0.45">
      <c r="A21" s="1669"/>
      <c r="B21" s="1688"/>
      <c r="C21" s="1692"/>
      <c r="D21" s="933" t="s">
        <v>153</v>
      </c>
      <c r="E21" s="934">
        <f t="shared" ref="E21:E22" si="4">($C$19/4)</f>
        <v>0.8928571428571429</v>
      </c>
      <c r="F21" s="935" t="s">
        <v>155</v>
      </c>
      <c r="G21" s="912">
        <f>E21/1</f>
        <v>0.8928571428571429</v>
      </c>
      <c r="H21" s="96">
        <v>87.2</v>
      </c>
      <c r="I21" s="90">
        <v>87.6</v>
      </c>
      <c r="J21" s="936">
        <f t="shared" si="3"/>
        <v>-0.39999999999999147</v>
      </c>
      <c r="K21" s="914">
        <f>(0.3*I21)*6/10</f>
        <v>15.767999999999997</v>
      </c>
      <c r="L21" s="937">
        <f t="shared" si="2"/>
        <v>103.36799999999999</v>
      </c>
      <c r="M21" s="916">
        <f>IF(K21&lt;&gt;0,J21/K21,"0%")</f>
        <v>-2.5367833587011134E-2</v>
      </c>
      <c r="N21" s="1696"/>
      <c r="O21" s="1700"/>
      <c r="P21" s="1703"/>
      <c r="Q21" s="938" t="s">
        <v>165</v>
      </c>
      <c r="R21" s="445" t="s">
        <v>386</v>
      </c>
      <c r="S21" s="380" t="s">
        <v>387</v>
      </c>
    </row>
    <row r="22" spans="1:19" ht="36.6" customHeight="1" thickBot="1" x14ac:dyDescent="0.5">
      <c r="A22" s="1669"/>
      <c r="B22" s="1707"/>
      <c r="C22" s="1708"/>
      <c r="D22" s="891" t="s">
        <v>154</v>
      </c>
      <c r="E22" s="939">
        <f t="shared" si="4"/>
        <v>0.8928571428571429</v>
      </c>
      <c r="F22" s="940" t="s">
        <v>156</v>
      </c>
      <c r="G22" s="941">
        <f>E22/1</f>
        <v>0.8928571428571429</v>
      </c>
      <c r="H22" s="942">
        <v>30.2</v>
      </c>
      <c r="I22" s="97">
        <v>30.7</v>
      </c>
      <c r="J22" s="943">
        <f t="shared" si="3"/>
        <v>-0.5</v>
      </c>
      <c r="K22" s="921">
        <f>(100-I22)*(6/10)</f>
        <v>41.58</v>
      </c>
      <c r="L22" s="944">
        <f t="shared" si="2"/>
        <v>72.28</v>
      </c>
      <c r="M22" s="874">
        <f>IF(K22&lt;&gt;0,J22/K22,"100%")</f>
        <v>-1.2025012025012025E-2</v>
      </c>
      <c r="N22" s="1709"/>
      <c r="O22" s="1701"/>
      <c r="P22" s="1679"/>
      <c r="Q22" s="945" t="s">
        <v>95</v>
      </c>
      <c r="R22" s="445" t="s">
        <v>384</v>
      </c>
      <c r="S22" s="380" t="s">
        <v>385</v>
      </c>
    </row>
    <row r="23" spans="1:19" ht="20.45" customHeight="1" thickBot="1" x14ac:dyDescent="0.5">
      <c r="B23" s="1684" t="s">
        <v>13</v>
      </c>
      <c r="C23" s="1685"/>
      <c r="D23" s="1685"/>
      <c r="E23" s="1685"/>
      <c r="F23" s="1686"/>
      <c r="G23" s="923"/>
      <c r="H23" s="1204"/>
      <c r="I23" s="1204"/>
      <c r="J23" s="946"/>
      <c r="K23" s="947"/>
      <c r="L23" s="947"/>
      <c r="M23" s="925"/>
      <c r="N23" s="833">
        <f>N24</f>
        <v>-0.14720496344066133</v>
      </c>
      <c r="O23" s="834">
        <f>O24</f>
        <v>0</v>
      </c>
      <c r="P23" s="835">
        <f>O23/3.571428</f>
        <v>0</v>
      </c>
      <c r="Q23" s="924"/>
      <c r="R23" s="255"/>
      <c r="S23" s="255"/>
    </row>
    <row r="24" spans="1:19" ht="36" customHeight="1" x14ac:dyDescent="0.45">
      <c r="A24" s="1669">
        <v>5</v>
      </c>
      <c r="B24" s="1687" t="s">
        <v>14</v>
      </c>
      <c r="C24" s="1691">
        <f>M5</f>
        <v>3.5714285714285716</v>
      </c>
      <c r="D24" s="926" t="s">
        <v>115</v>
      </c>
      <c r="E24" s="853">
        <f>$C$24/4</f>
        <v>0.8928571428571429</v>
      </c>
      <c r="F24" s="926" t="s">
        <v>280</v>
      </c>
      <c r="G24" s="853">
        <f>E24/1</f>
        <v>0.8928571428571429</v>
      </c>
      <c r="H24" s="373"/>
      <c r="I24" s="929">
        <v>80.400000000000006</v>
      </c>
      <c r="J24" s="949">
        <f t="shared" si="3"/>
        <v>-80.400000000000006</v>
      </c>
      <c r="K24" s="909">
        <f>(0.3*I24)*6/10</f>
        <v>14.472</v>
      </c>
      <c r="L24" s="931">
        <f>K24+I24</f>
        <v>94.872</v>
      </c>
      <c r="M24" s="859" t="str">
        <f>IF(H24=0,"0%",J24/K24)</f>
        <v>0%</v>
      </c>
      <c r="N24" s="1695">
        <f>(((G24/C24)*M24)+((G25/C24)*M25)+ ((G26/C24)*M26)+((G27/C24)*M27)+((G28/C24)*M28)+((G29/C24)*M29)+((G30/C24)*M30)+((G31/C24)*M31))</f>
        <v>-0.14720496344066133</v>
      </c>
      <c r="O24" s="1699">
        <f>IF((((G24/C24)*M24)+((G25/C24)*M25)+ ((G26/C24)*M26)+((G27/C24)*M27)+((G28/C24)*M28)+((G29/C24)*M29)+((G30/C24)*M30)+((G31/C24)*M31))&gt;=1,3.571428,IF((((G24/C24)*M24)+((G25/C24)*M25)+ ((G26/C24)*M26)+((G27/C24)*M27)+((G28/C24)*M28)+((G29/C24)*M29)+((G30/C24)*M30)+((G31/C24)*M31))&lt;=0,0,((((G24/C24)*M24)+((G25/C24)*M25)+ ((G26/C24)*M26)+((G27/C24)*M27)+((G28/C24)*M28)+((G29/C24)*M29)+((G30/C24)*M30)+((G31/C24)*M31))*3.571428)))</f>
        <v>0</v>
      </c>
      <c r="P24" s="1678">
        <f>O24/3.571428</f>
        <v>0</v>
      </c>
      <c r="Q24" s="950" t="s">
        <v>166</v>
      </c>
      <c r="R24" s="446" t="s">
        <v>388</v>
      </c>
      <c r="S24" s="447" t="s">
        <v>480</v>
      </c>
    </row>
    <row r="25" spans="1:19" ht="19.8" customHeight="1" thickBot="1" x14ac:dyDescent="0.5">
      <c r="A25" s="1669"/>
      <c r="B25" s="1688"/>
      <c r="C25" s="1692"/>
      <c r="D25" s="1721" t="s">
        <v>158</v>
      </c>
      <c r="E25" s="1723">
        <v>0.9</v>
      </c>
      <c r="F25" s="933" t="s">
        <v>15</v>
      </c>
      <c r="G25" s="934">
        <f>$E$25/3</f>
        <v>0.3</v>
      </c>
      <c r="H25" s="96">
        <v>265</v>
      </c>
      <c r="I25" s="90">
        <v>385</v>
      </c>
      <c r="J25" s="951">
        <f t="shared" ref="J25:J30" si="5">I25-H25</f>
        <v>120</v>
      </c>
      <c r="K25" s="914">
        <f>(0.5*I25)*6/10</f>
        <v>115.5</v>
      </c>
      <c r="L25" s="937">
        <f>I25-K25</f>
        <v>269.5</v>
      </c>
      <c r="M25" s="916">
        <f t="shared" ref="M25:M31" si="6">IF(K25&lt;&gt;0,J25/K25,"0%")</f>
        <v>1.0389610389610389</v>
      </c>
      <c r="N25" s="1696"/>
      <c r="O25" s="1700"/>
      <c r="P25" s="1703"/>
      <c r="Q25" s="952" t="s">
        <v>167</v>
      </c>
      <c r="R25" s="448" t="s">
        <v>389</v>
      </c>
      <c r="S25" s="380"/>
    </row>
    <row r="26" spans="1:19" ht="19.8" customHeight="1" thickBot="1" x14ac:dyDescent="0.5">
      <c r="A26" s="1669"/>
      <c r="B26" s="1688"/>
      <c r="C26" s="1692"/>
      <c r="D26" s="1722"/>
      <c r="E26" s="1693"/>
      <c r="F26" s="933" t="s">
        <v>16</v>
      </c>
      <c r="G26" s="934">
        <f t="shared" ref="G26:G27" si="7">$E$25/3</f>
        <v>0.3</v>
      </c>
      <c r="H26" s="356"/>
      <c r="I26" s="90">
        <v>20</v>
      </c>
      <c r="J26" s="951">
        <f t="shared" si="5"/>
        <v>20</v>
      </c>
      <c r="K26" s="914">
        <f>(0.8*I26)*6/10</f>
        <v>9.6</v>
      </c>
      <c r="L26" s="937">
        <f>I26-K26</f>
        <v>10.4</v>
      </c>
      <c r="M26" s="916" t="str">
        <f>IF(H26=0,"0%",J26/K26)</f>
        <v>0%</v>
      </c>
      <c r="N26" s="1696"/>
      <c r="O26" s="1700"/>
      <c r="P26" s="1703"/>
      <c r="Q26" s="952" t="s">
        <v>168</v>
      </c>
      <c r="R26" s="449" t="s">
        <v>390</v>
      </c>
      <c r="S26" s="447" t="s">
        <v>481</v>
      </c>
    </row>
    <row r="27" spans="1:19" ht="19.8" customHeight="1" x14ac:dyDescent="0.45">
      <c r="A27" s="1669"/>
      <c r="B27" s="1688"/>
      <c r="C27" s="1692"/>
      <c r="D27" s="1722"/>
      <c r="E27" s="1693"/>
      <c r="F27" s="933" t="s">
        <v>17</v>
      </c>
      <c r="G27" s="934">
        <f t="shared" si="7"/>
        <v>0.3</v>
      </c>
      <c r="H27" s="356"/>
      <c r="I27" s="90">
        <v>54</v>
      </c>
      <c r="J27" s="951">
        <f t="shared" si="5"/>
        <v>54</v>
      </c>
      <c r="K27" s="914">
        <f>(0.5*I27)*(6/10)</f>
        <v>16.2</v>
      </c>
      <c r="L27" s="937">
        <f>K27+I27</f>
        <v>70.2</v>
      </c>
      <c r="M27" s="916" t="str">
        <f>IF(H27=0,"0%",J27/K27)</f>
        <v>0%</v>
      </c>
      <c r="N27" s="1696"/>
      <c r="O27" s="1700"/>
      <c r="P27" s="1703"/>
      <c r="Q27" s="952" t="s">
        <v>169</v>
      </c>
      <c r="R27" s="449" t="s">
        <v>390</v>
      </c>
      <c r="S27" s="447" t="s">
        <v>481</v>
      </c>
    </row>
    <row r="28" spans="1:19" ht="30.6" customHeight="1" x14ac:dyDescent="0.45">
      <c r="A28" s="16"/>
      <c r="B28" s="1688"/>
      <c r="C28" s="1692"/>
      <c r="D28" s="1721" t="s">
        <v>116</v>
      </c>
      <c r="E28" s="1723">
        <f t="shared" ref="E28:E31" si="8">$C$24/4</f>
        <v>0.8928571428571429</v>
      </c>
      <c r="F28" s="933" t="s">
        <v>148</v>
      </c>
      <c r="G28" s="934">
        <f>$E$28/3</f>
        <v>0.29761904761904762</v>
      </c>
      <c r="H28" s="96">
        <v>4</v>
      </c>
      <c r="I28" s="90">
        <v>4.37</v>
      </c>
      <c r="J28" s="951">
        <f t="shared" si="5"/>
        <v>0.37000000000000011</v>
      </c>
      <c r="K28" s="914">
        <f>(0.5*I28)*(6/10)</f>
        <v>1.3109999999999999</v>
      </c>
      <c r="L28" s="937">
        <f>I28-K28</f>
        <v>3.0590000000000002</v>
      </c>
      <c r="M28" s="916">
        <f t="shared" si="6"/>
        <v>0.2822273073989322</v>
      </c>
      <c r="N28" s="1697"/>
      <c r="O28" s="1700"/>
      <c r="P28" s="1703"/>
      <c r="Q28" s="952" t="s">
        <v>170</v>
      </c>
      <c r="R28" s="448" t="s">
        <v>391</v>
      </c>
      <c r="S28" s="380" t="s">
        <v>392</v>
      </c>
    </row>
    <row r="29" spans="1:19" ht="20.45" customHeight="1" x14ac:dyDescent="0.45">
      <c r="A29" s="16"/>
      <c r="B29" s="1688"/>
      <c r="C29" s="1692"/>
      <c r="D29" s="1722"/>
      <c r="E29" s="1693"/>
      <c r="F29" s="933" t="s">
        <v>149</v>
      </c>
      <c r="G29" s="934">
        <f t="shared" ref="G29:G30" si="9">$E$28/3</f>
        <v>0.29761904761904762</v>
      </c>
      <c r="H29" s="96">
        <v>446</v>
      </c>
      <c r="I29" s="90">
        <v>495</v>
      </c>
      <c r="J29" s="951">
        <f t="shared" si="5"/>
        <v>49</v>
      </c>
      <c r="K29" s="914">
        <f>(0.5*I29)*(6/10)</f>
        <v>148.5</v>
      </c>
      <c r="L29" s="937">
        <f>I29-K29</f>
        <v>346.5</v>
      </c>
      <c r="M29" s="916">
        <f t="shared" si="6"/>
        <v>0.32996632996632996</v>
      </c>
      <c r="N29" s="1697"/>
      <c r="O29" s="1700"/>
      <c r="P29" s="1703"/>
      <c r="Q29" s="952" t="s">
        <v>171</v>
      </c>
      <c r="R29" s="448" t="s">
        <v>393</v>
      </c>
      <c r="S29" s="380" t="s">
        <v>394</v>
      </c>
    </row>
    <row r="30" spans="1:19" ht="20.45" customHeight="1" thickBot="1" x14ac:dyDescent="0.5">
      <c r="A30" s="16"/>
      <c r="B30" s="1689"/>
      <c r="C30" s="1693"/>
      <c r="D30" s="1722"/>
      <c r="E30" s="1693"/>
      <c r="F30" s="933" t="s">
        <v>150</v>
      </c>
      <c r="G30" s="934">
        <f t="shared" si="9"/>
        <v>0.29761904761904762</v>
      </c>
      <c r="H30" s="96">
        <v>29.2</v>
      </c>
      <c r="I30" s="90">
        <v>14.4</v>
      </c>
      <c r="J30" s="951">
        <f t="shared" si="5"/>
        <v>-14.799999999999999</v>
      </c>
      <c r="K30" s="914">
        <f>(0.5*I30)*(6/10)</f>
        <v>4.32</v>
      </c>
      <c r="L30" s="937">
        <f>I30-K30</f>
        <v>10.08</v>
      </c>
      <c r="M30" s="916">
        <f t="shared" si="6"/>
        <v>-3.4259259259259256</v>
      </c>
      <c r="N30" s="1697"/>
      <c r="O30" s="1700"/>
      <c r="P30" s="1703"/>
      <c r="Q30" s="952" t="s">
        <v>172</v>
      </c>
      <c r="R30" s="448" t="s">
        <v>395</v>
      </c>
      <c r="S30" s="380" t="s">
        <v>396</v>
      </c>
    </row>
    <row r="31" spans="1:19" ht="34.9" customHeight="1" thickBot="1" x14ac:dyDescent="0.5">
      <c r="A31" s="16"/>
      <c r="B31" s="1690"/>
      <c r="C31" s="1694"/>
      <c r="D31" s="953" t="s">
        <v>117</v>
      </c>
      <c r="E31" s="868">
        <f t="shared" si="8"/>
        <v>0.8928571428571429</v>
      </c>
      <c r="F31" s="954" t="s">
        <v>223</v>
      </c>
      <c r="G31" s="868">
        <f>E31/1</f>
        <v>0.8928571428571429</v>
      </c>
      <c r="H31" s="360"/>
      <c r="I31" s="376"/>
      <c r="J31" s="955">
        <f t="shared" ref="J31" si="10">H31-I31</f>
        <v>0</v>
      </c>
      <c r="K31" s="921">
        <f>(100-I31)*(6/10)</f>
        <v>60</v>
      </c>
      <c r="L31" s="944">
        <f>K31+I31</f>
        <v>60</v>
      </c>
      <c r="M31" s="874">
        <f t="shared" si="6"/>
        <v>0</v>
      </c>
      <c r="N31" s="1698"/>
      <c r="O31" s="1701"/>
      <c r="P31" s="1679"/>
      <c r="Q31" s="956" t="s">
        <v>95</v>
      </c>
      <c r="R31" s="448"/>
      <c r="S31" s="155" t="s">
        <v>463</v>
      </c>
    </row>
    <row r="32" spans="1:19" ht="20.45" customHeight="1" thickBot="1" x14ac:dyDescent="0.5">
      <c r="B32" s="1724" t="s">
        <v>18</v>
      </c>
      <c r="C32" s="1725"/>
      <c r="D32" s="1725"/>
      <c r="E32" s="1725"/>
      <c r="F32" s="1726"/>
      <c r="G32" s="923"/>
      <c r="H32" s="184"/>
      <c r="I32" s="185"/>
      <c r="J32" s="957"/>
      <c r="K32" s="958"/>
      <c r="L32" s="959"/>
      <c r="M32" s="1205"/>
      <c r="N32" s="833">
        <f>(N33+N34+N35+N36)/4</f>
        <v>-0.28261183261183254</v>
      </c>
      <c r="O32" s="834">
        <f>(O33+O34+O35+O36)</f>
        <v>0</v>
      </c>
      <c r="P32" s="835">
        <f>O32/14.285712</f>
        <v>0</v>
      </c>
      <c r="Q32" s="924"/>
      <c r="R32" s="250"/>
      <c r="S32" s="250"/>
    </row>
    <row r="33" spans="1:19" ht="33.6" customHeight="1" thickBot="1" x14ac:dyDescent="0.5">
      <c r="A33" s="16">
        <v>6</v>
      </c>
      <c r="B33" s="961" t="s">
        <v>19</v>
      </c>
      <c r="C33" s="962">
        <f>$M$5</f>
        <v>3.5714285714285716</v>
      </c>
      <c r="D33" s="963" t="s">
        <v>287</v>
      </c>
      <c r="E33" s="964">
        <f>C33/1</f>
        <v>3.5714285714285716</v>
      </c>
      <c r="F33" s="961" t="s">
        <v>288</v>
      </c>
      <c r="G33" s="962">
        <f>E33/1</f>
        <v>3.5714285714285716</v>
      </c>
      <c r="H33" s="99">
        <v>-0.1</v>
      </c>
      <c r="I33" s="186">
        <v>5.6</v>
      </c>
      <c r="J33" s="965">
        <f>IF(H33&lt;7,(H33-7),(H33-I33))</f>
        <v>-7.1</v>
      </c>
      <c r="K33" s="966">
        <f>IF((7-H33&gt;=0),(7-H33),0)</f>
        <v>7.1</v>
      </c>
      <c r="L33" s="967">
        <f>IF((I33&lt;7),7,I33)</f>
        <v>7</v>
      </c>
      <c r="M33" s="968">
        <f>IF(K33&lt;&gt;0,J33/7,(1+((H33-I33)/I33)))</f>
        <v>-1.0142857142857142</v>
      </c>
      <c r="N33" s="969">
        <f>((G33/C33)*M33)</f>
        <v>-1.0142857142857142</v>
      </c>
      <c r="O33" s="970">
        <f>IF(((G33/C33)*M33)&gt;=1,3.571428,IF(((G33/C33)*M33)&lt;=0,0,((G33/C33)*M33)*3.571428))</f>
        <v>0</v>
      </c>
      <c r="P33" s="835">
        <f>O33/3.571428</f>
        <v>0</v>
      </c>
      <c r="Q33" s="971" t="s">
        <v>97</v>
      </c>
      <c r="R33" s="450" t="s">
        <v>397</v>
      </c>
      <c r="S33" s="1206"/>
    </row>
    <row r="34" spans="1:19" ht="51" customHeight="1" thickBot="1" x14ac:dyDescent="0.5">
      <c r="A34" s="16">
        <v>7</v>
      </c>
      <c r="B34" s="961" t="s">
        <v>20</v>
      </c>
      <c r="C34" s="962">
        <f t="shared" ref="C34:C36" si="11">$M$5</f>
        <v>3.5714285714285716</v>
      </c>
      <c r="D34" s="961" t="s">
        <v>118</v>
      </c>
      <c r="E34" s="964">
        <f t="shared" ref="E34:E36" si="12">C34/1</f>
        <v>3.5714285714285716</v>
      </c>
      <c r="F34" s="961" t="s">
        <v>21</v>
      </c>
      <c r="G34" s="962">
        <f>E34/1</f>
        <v>3.5714285714285716</v>
      </c>
      <c r="H34" s="973">
        <v>10.8</v>
      </c>
      <c r="I34" s="1207">
        <v>11</v>
      </c>
      <c r="J34" s="975">
        <f>H34-I34</f>
        <v>-0.19999999999999929</v>
      </c>
      <c r="K34" s="976">
        <f>(0.5*I34)*(6/10)</f>
        <v>3.3</v>
      </c>
      <c r="L34" s="977">
        <f>K34+I34</f>
        <v>14.3</v>
      </c>
      <c r="M34" s="968">
        <f>IF(K34&lt;&gt;0,J34/K34,"0%")</f>
        <v>-6.0606060606060393E-2</v>
      </c>
      <c r="N34" s="969">
        <f>((G34/C34)*M34)</f>
        <v>-6.0606060606060393E-2</v>
      </c>
      <c r="O34" s="970">
        <f>IF(((G34/C34)*M34)&gt;=1,3.571428,IF(((G34/C34)*M34)&lt;=0,0,((G34/C34)*M34)*3.571428))</f>
        <v>0</v>
      </c>
      <c r="P34" s="835">
        <f t="shared" ref="P34:P36" si="13">O34/3.571428</f>
        <v>0</v>
      </c>
      <c r="Q34" s="971" t="s">
        <v>173</v>
      </c>
      <c r="R34" s="451" t="s">
        <v>375</v>
      </c>
      <c r="S34" s="460" t="s">
        <v>398</v>
      </c>
    </row>
    <row r="35" spans="1:19" ht="40.799999999999997" customHeight="1" thickBot="1" x14ac:dyDescent="0.5">
      <c r="A35" s="16">
        <v>8</v>
      </c>
      <c r="B35" s="961" t="s">
        <v>22</v>
      </c>
      <c r="C35" s="962">
        <f t="shared" si="11"/>
        <v>3.5714285714285716</v>
      </c>
      <c r="D35" s="961" t="s">
        <v>119</v>
      </c>
      <c r="E35" s="964">
        <f t="shared" si="12"/>
        <v>3.5714285714285716</v>
      </c>
      <c r="F35" s="961" t="s">
        <v>23</v>
      </c>
      <c r="G35" s="962">
        <f>E35/1</f>
        <v>3.5714285714285716</v>
      </c>
      <c r="H35" s="358"/>
      <c r="I35" s="188">
        <v>0.34</v>
      </c>
      <c r="J35" s="978">
        <f>H35-I35</f>
        <v>-0.34</v>
      </c>
      <c r="K35" s="979">
        <f>IF((I35&gt;=1),0,((1-I35)*0.6))</f>
        <v>0.39599999999999996</v>
      </c>
      <c r="L35" s="967">
        <f>I35+K35</f>
        <v>0.73599999999999999</v>
      </c>
      <c r="M35" s="874" t="str">
        <f>IF(H35=0,"0%",J35/K35)</f>
        <v>0%</v>
      </c>
      <c r="N35" s="969">
        <f>((G35/C35)*M35)</f>
        <v>0</v>
      </c>
      <c r="O35" s="970">
        <f>IF(((G35/C35)*M35)&gt;=1,3.571428,IF(((G35/C35)*M35)&lt;=0,0,((G35/C35)*M35)*3.571428))</f>
        <v>0</v>
      </c>
      <c r="P35" s="835">
        <f t="shared" si="13"/>
        <v>0</v>
      </c>
      <c r="Q35" s="971" t="s">
        <v>174</v>
      </c>
      <c r="R35" s="451" t="s">
        <v>482</v>
      </c>
      <c r="S35" s="230" t="s">
        <v>483</v>
      </c>
    </row>
    <row r="36" spans="1:19" ht="32.450000000000003" customHeight="1" thickBot="1" x14ac:dyDescent="0.5">
      <c r="A36" s="16">
        <v>9</v>
      </c>
      <c r="B36" s="961" t="s">
        <v>24</v>
      </c>
      <c r="C36" s="962">
        <f t="shared" si="11"/>
        <v>3.5714285714285716</v>
      </c>
      <c r="D36" s="961" t="s">
        <v>275</v>
      </c>
      <c r="E36" s="964">
        <f t="shared" si="12"/>
        <v>3.5714285714285716</v>
      </c>
      <c r="F36" s="980" t="s">
        <v>25</v>
      </c>
      <c r="G36" s="962">
        <f>E36/1</f>
        <v>3.5714285714285716</v>
      </c>
      <c r="H36" s="82">
        <v>2.9</v>
      </c>
      <c r="I36" s="188">
        <v>3</v>
      </c>
      <c r="J36" s="981">
        <f>H36-I36</f>
        <v>-0.10000000000000009</v>
      </c>
      <c r="K36" s="982">
        <f>(1*I36)*(6/10)</f>
        <v>1.7999999999999998</v>
      </c>
      <c r="L36" s="983">
        <f>I36+K36</f>
        <v>4.8</v>
      </c>
      <c r="M36" s="968">
        <f>IF(K36&lt;&gt;0,J36/K36,"0%")</f>
        <v>-5.5555555555555608E-2</v>
      </c>
      <c r="N36" s="969">
        <f>((G36/C36)*M36)</f>
        <v>-5.5555555555555608E-2</v>
      </c>
      <c r="O36" s="970">
        <f>IF(((G36/C36)*M36)&gt;=1,3.571428,IF(((G36/C36)*M36)&lt;=0,0,((G36/C36)*M36)*3.571428))</f>
        <v>0</v>
      </c>
      <c r="P36" s="835">
        <f t="shared" si="13"/>
        <v>0</v>
      </c>
      <c r="Q36" s="984" t="s">
        <v>175</v>
      </c>
      <c r="R36" s="452" t="s">
        <v>399</v>
      </c>
      <c r="S36" s="460" t="s">
        <v>400</v>
      </c>
    </row>
    <row r="37" spans="1:19" ht="30.6" customHeight="1" thickBot="1" x14ac:dyDescent="0.5">
      <c r="B37" s="1718" t="s">
        <v>26</v>
      </c>
      <c r="C37" s="1719"/>
      <c r="D37" s="1719"/>
      <c r="E37" s="1719"/>
      <c r="F37" s="1720"/>
      <c r="G37" s="985"/>
      <c r="H37" s="1208"/>
      <c r="I37" s="1208"/>
      <c r="J37" s="986"/>
      <c r="K37" s="987"/>
      <c r="L37" s="987"/>
      <c r="M37" s="988"/>
      <c r="N37" s="833">
        <f>N38</f>
        <v>-0.14957264957264951</v>
      </c>
      <c r="O37" s="834">
        <f>O38</f>
        <v>0</v>
      </c>
      <c r="P37" s="835">
        <f>O37/3.571428</f>
        <v>0</v>
      </c>
      <c r="Q37" s="989"/>
      <c r="R37" s="249"/>
      <c r="S37" s="250"/>
    </row>
    <row r="38" spans="1:19" ht="25.8" customHeight="1" thickBot="1" x14ac:dyDescent="0.5">
      <c r="A38" s="1669">
        <v>10</v>
      </c>
      <c r="B38" s="1687" t="s">
        <v>27</v>
      </c>
      <c r="C38" s="1691">
        <f>M5</f>
        <v>3.5714285714285716</v>
      </c>
      <c r="D38" s="904" t="s">
        <v>120</v>
      </c>
      <c r="E38" s="853">
        <f>$C$38/2</f>
        <v>1.7857142857142858</v>
      </c>
      <c r="F38" s="990" t="s">
        <v>224</v>
      </c>
      <c r="G38" s="853">
        <f>E38/1</f>
        <v>1.7857142857142858</v>
      </c>
      <c r="H38" s="1209">
        <v>3.2</v>
      </c>
      <c r="I38" s="1210">
        <v>3.9</v>
      </c>
      <c r="J38" s="991">
        <f>H38-I38</f>
        <v>-0.69999999999999973</v>
      </c>
      <c r="K38" s="992">
        <f>(1*I38)*(6/10)</f>
        <v>2.34</v>
      </c>
      <c r="L38" s="993">
        <f>I38+K38</f>
        <v>6.24</v>
      </c>
      <c r="M38" s="859">
        <f>IF(K38&lt;&gt;0,J38/K38,"0%")</f>
        <v>-0.29914529914529903</v>
      </c>
      <c r="N38" s="1715">
        <f>(((G38/C38)*M38)+((G39/C38)*M39))</f>
        <v>-0.14957264957264951</v>
      </c>
      <c r="O38" s="1676">
        <f>IF((((G38/C38)*M38)+((G39/C38)*M39))&gt;=1,3.57148,IF((((G38/C38)*M38)+((G39/C38)*M39))&lt;=0,0, (((G38/C38)*M38)+((G39/C38)*M39))*3.571428))</f>
        <v>0</v>
      </c>
      <c r="P38" s="1678">
        <f>O38/3.571428</f>
        <v>0</v>
      </c>
      <c r="Q38" s="994" t="s">
        <v>176</v>
      </c>
      <c r="R38" s="453" t="s">
        <v>401</v>
      </c>
      <c r="S38" s="137" t="s">
        <v>402</v>
      </c>
    </row>
    <row r="39" spans="1:19" ht="35.25" thickBot="1" x14ac:dyDescent="0.5">
      <c r="A39" s="1669"/>
      <c r="B39" s="1688"/>
      <c r="C39" s="1692"/>
      <c r="D39" s="911" t="s">
        <v>157</v>
      </c>
      <c r="E39" s="868">
        <f>$C$38/2</f>
        <v>1.7857142857142858</v>
      </c>
      <c r="F39" s="995" t="s">
        <v>225</v>
      </c>
      <c r="G39" s="934">
        <f>E39/1</f>
        <v>1.7857142857142858</v>
      </c>
      <c r="H39" s="356"/>
      <c r="I39" s="386"/>
      <c r="J39" s="996">
        <f>H39-I39</f>
        <v>0</v>
      </c>
      <c r="K39" s="997">
        <f>IF(AND(I39&gt;=10,H39&gt;=I39),0,((10-H39)*(6/10)))</f>
        <v>6</v>
      </c>
      <c r="L39" s="998">
        <f>I39+K39</f>
        <v>6</v>
      </c>
      <c r="M39" s="874">
        <f>IF(K39&lt;&gt;0,J39/K39,"0%")</f>
        <v>0</v>
      </c>
      <c r="N39" s="1716"/>
      <c r="O39" s="1677"/>
      <c r="P39" s="1679"/>
      <c r="Q39" s="999" t="s">
        <v>95</v>
      </c>
      <c r="R39" s="449"/>
      <c r="S39" s="155" t="s">
        <v>463</v>
      </c>
    </row>
    <row r="40" spans="1:19" ht="20.45" customHeight="1" thickBot="1" x14ac:dyDescent="0.5">
      <c r="B40" s="1730" t="s">
        <v>28</v>
      </c>
      <c r="C40" s="1731"/>
      <c r="D40" s="1731"/>
      <c r="E40" s="1732"/>
      <c r="F40" s="1733"/>
      <c r="G40" s="985"/>
      <c r="H40" s="189"/>
      <c r="I40" s="189"/>
      <c r="J40" s="1000"/>
      <c r="K40" s="1001"/>
      <c r="L40" s="1001"/>
      <c r="M40" s="1002"/>
      <c r="N40" s="833">
        <f>N41</f>
        <v>0</v>
      </c>
      <c r="O40" s="834">
        <f>O41</f>
        <v>0</v>
      </c>
      <c r="P40" s="835">
        <f>O40/3.571428</f>
        <v>0</v>
      </c>
      <c r="Q40" s="1003"/>
      <c r="R40" s="263"/>
      <c r="S40" s="255"/>
    </row>
    <row r="41" spans="1:19" ht="35.25" thickBot="1" x14ac:dyDescent="0.5">
      <c r="A41" s="1669">
        <v>11</v>
      </c>
      <c r="B41" s="1734" t="s">
        <v>29</v>
      </c>
      <c r="C41" s="1736">
        <f>M5</f>
        <v>3.5714285714285716</v>
      </c>
      <c r="D41" s="1004" t="s">
        <v>121</v>
      </c>
      <c r="E41" s="1005">
        <f>$C$41/2</f>
        <v>1.7857142857142858</v>
      </c>
      <c r="F41" s="880" t="s">
        <v>30</v>
      </c>
      <c r="G41" s="1006">
        <f>E41/1</f>
        <v>1.7857142857142858</v>
      </c>
      <c r="H41" s="389"/>
      <c r="I41" s="390"/>
      <c r="J41" s="1007">
        <f>H41-I41</f>
        <v>0</v>
      </c>
      <c r="K41" s="1008">
        <f>(0.5*I41)*(6/10)</f>
        <v>0</v>
      </c>
      <c r="L41" s="1009">
        <f>I41+K41</f>
        <v>0</v>
      </c>
      <c r="M41" s="859" t="str">
        <f>IF(K41&lt;&gt;0,J41/K41,"0%")</f>
        <v>0%</v>
      </c>
      <c r="N41" s="1738">
        <f>(((G41/C41)*M41)+(G42/C41)*M42)</f>
        <v>0</v>
      </c>
      <c r="O41" s="1676">
        <f>IF((((G41/C41)*M41)+((G42/C41)*M42))&gt;=1,3.57148,IF((((G41/C41)*M41)+((G42/C41)*M42))&lt;=0,0, (((G41/C41)*M41)+((G42/C41)*M42))*3.571428))</f>
        <v>0</v>
      </c>
      <c r="P41" s="1678">
        <f>O41/3.571428</f>
        <v>0</v>
      </c>
      <c r="Q41" s="1010" t="s">
        <v>177</v>
      </c>
      <c r="R41" s="256"/>
      <c r="S41" s="155" t="s">
        <v>463</v>
      </c>
    </row>
    <row r="42" spans="1:19" ht="23.65" thickBot="1" x14ac:dyDescent="0.5">
      <c r="A42" s="1669"/>
      <c r="B42" s="1735"/>
      <c r="C42" s="1737"/>
      <c r="D42" s="1011" t="s">
        <v>122</v>
      </c>
      <c r="E42" s="939">
        <f>$C$41/2</f>
        <v>1.7857142857142858</v>
      </c>
      <c r="F42" s="891" t="s">
        <v>31</v>
      </c>
      <c r="G42" s="1012">
        <f>E42/1</f>
        <v>1.7857142857142858</v>
      </c>
      <c r="H42" s="391"/>
      <c r="I42" s="392"/>
      <c r="J42" s="1013">
        <f>H42-I42</f>
        <v>0</v>
      </c>
      <c r="K42" s="896">
        <f>(0.5*I42)*(6/10)</f>
        <v>0</v>
      </c>
      <c r="L42" s="1014">
        <f>I42+K42</f>
        <v>0</v>
      </c>
      <c r="M42" s="874" t="str">
        <f>IF(K42&lt;&gt;0,J42/K42,"0%")</f>
        <v>0%</v>
      </c>
      <c r="N42" s="1738"/>
      <c r="O42" s="1677"/>
      <c r="P42" s="1679"/>
      <c r="Q42" s="1010" t="s">
        <v>95</v>
      </c>
      <c r="R42" s="264"/>
      <c r="S42" s="155" t="s">
        <v>463</v>
      </c>
    </row>
    <row r="43" spans="1:19" ht="30.6" customHeight="1" thickBot="1" x14ac:dyDescent="0.5">
      <c r="B43" s="1704" t="s">
        <v>32</v>
      </c>
      <c r="C43" s="1705"/>
      <c r="D43" s="1705"/>
      <c r="E43" s="1705"/>
      <c r="F43" s="1706"/>
      <c r="G43" s="923"/>
      <c r="H43" s="190"/>
      <c r="I43" s="190"/>
      <c r="J43" s="1015"/>
      <c r="K43" s="1016"/>
      <c r="L43" s="1016"/>
      <c r="M43" s="948"/>
      <c r="N43" s="833">
        <f>N44</f>
        <v>2.5108823529411768</v>
      </c>
      <c r="O43" s="834">
        <f>O44</f>
        <v>3.5714800000000002</v>
      </c>
      <c r="P43" s="835">
        <f>O43/3.571428</f>
        <v>1.0000145600023296</v>
      </c>
      <c r="Q43" s="1017"/>
      <c r="R43" s="255"/>
      <c r="S43" s="255"/>
    </row>
    <row r="44" spans="1:19" ht="37.799999999999997" customHeight="1" thickBot="1" x14ac:dyDescent="0.5">
      <c r="A44" s="1669">
        <v>12</v>
      </c>
      <c r="B44" s="1727" t="s">
        <v>33</v>
      </c>
      <c r="C44" s="1691">
        <f>M5</f>
        <v>3.5714285714285716</v>
      </c>
      <c r="D44" s="926" t="s">
        <v>123</v>
      </c>
      <c r="E44" s="1018">
        <f>C44/2</f>
        <v>1.7857142857142858</v>
      </c>
      <c r="F44" s="926" t="s">
        <v>34</v>
      </c>
      <c r="G44" s="853">
        <f>$E$44/1</f>
        <v>1.7857142857142858</v>
      </c>
      <c r="H44" s="454"/>
      <c r="I44" s="455"/>
      <c r="J44" s="1019">
        <f>IF(I44=H44,(H44-30),H44-I44)</f>
        <v>-30</v>
      </c>
      <c r="K44" s="909">
        <f>IF(I44&gt;=30,0,((30-I44)*(6/10)))</f>
        <v>18</v>
      </c>
      <c r="L44" s="1020">
        <f>I44+K44</f>
        <v>18</v>
      </c>
      <c r="M44" s="859" t="str">
        <f>IF(H44=0,"0%",J44/K44)</f>
        <v>0%</v>
      </c>
      <c r="N44" s="1715">
        <f>(((G44/C44)*M44)+((G45/C44)*M45))</f>
        <v>2.5108823529411768</v>
      </c>
      <c r="O44" s="1676">
        <f>IF((((G44/C44)*M44)+((G45/C44)*M45))&gt;=1,3.57148,IF((((G44/C44)*M44)+((G45/C44)*M45))&lt;=0,0, (((G44/C44)*M44)+((G45/C44)*M45))*3.571428))</f>
        <v>3.5714800000000002</v>
      </c>
      <c r="P44" s="1678">
        <f>O44/3.571428</f>
        <v>1.0000145600023296</v>
      </c>
      <c r="Q44" s="910" t="s">
        <v>178</v>
      </c>
      <c r="R44" s="453"/>
      <c r="S44" s="155" t="s">
        <v>463</v>
      </c>
    </row>
    <row r="45" spans="1:19" ht="58.5" thickBot="1" x14ac:dyDescent="0.5">
      <c r="A45" s="1669"/>
      <c r="B45" s="1728"/>
      <c r="C45" s="1729"/>
      <c r="D45" s="953" t="s">
        <v>124</v>
      </c>
      <c r="E45" s="1021">
        <f>(C44/2)</f>
        <v>1.7857142857142858</v>
      </c>
      <c r="F45" s="953" t="s">
        <v>35</v>
      </c>
      <c r="G45" s="868">
        <f>$E$45/1</f>
        <v>1.7857142857142858</v>
      </c>
      <c r="H45" s="85">
        <v>85.37</v>
      </c>
      <c r="I45" s="86">
        <v>85.37</v>
      </c>
      <c r="J45" s="1022">
        <f>IF(I45=H45,(H45-17),H45-I45)</f>
        <v>68.37</v>
      </c>
      <c r="K45" s="1023">
        <f>IF(I45&gt;=17,0,((17-I45)*(6/10)))</f>
        <v>0</v>
      </c>
      <c r="L45" s="1024">
        <f>I45+K45</f>
        <v>85.37</v>
      </c>
      <c r="M45" s="887">
        <f>IF(I45&gt;=17,(1+(H45-17)/17),(H45/17))</f>
        <v>5.0217647058823536</v>
      </c>
      <c r="N45" s="1717"/>
      <c r="O45" s="1677"/>
      <c r="P45" s="1679"/>
      <c r="Q45" s="922" t="s">
        <v>179</v>
      </c>
      <c r="R45" s="456" t="s">
        <v>404</v>
      </c>
      <c r="S45" s="440" t="s">
        <v>405</v>
      </c>
    </row>
    <row r="46" spans="1:19" ht="30.6" customHeight="1" thickBot="1" x14ac:dyDescent="0.5">
      <c r="B46" s="1743" t="s">
        <v>36</v>
      </c>
      <c r="C46" s="1744"/>
      <c r="D46" s="1744"/>
      <c r="E46" s="1744"/>
      <c r="F46" s="1745"/>
      <c r="G46" s="1025"/>
      <c r="H46" s="108"/>
      <c r="I46" s="457"/>
      <c r="J46" s="1026"/>
      <c r="K46" s="1027"/>
      <c r="L46" s="1027"/>
      <c r="M46" s="1028"/>
      <c r="N46" s="833">
        <f>(N47+N50+N52)/3</f>
        <v>0.597180235731951</v>
      </c>
      <c r="O46" s="834">
        <f>(O47+O50+O52)</f>
        <v>4.0174066448190713</v>
      </c>
      <c r="P46" s="835">
        <f>O46/10.714284</f>
        <v>0.37495801350972885</v>
      </c>
      <c r="Q46" s="1029"/>
      <c r="R46" s="268"/>
      <c r="S46" s="268"/>
    </row>
    <row r="47" spans="1:19" ht="20.45" customHeight="1" thickBot="1" x14ac:dyDescent="0.5">
      <c r="B47" s="1684" t="s">
        <v>37</v>
      </c>
      <c r="C47" s="1685"/>
      <c r="D47" s="1685"/>
      <c r="E47" s="1685"/>
      <c r="F47" s="1686"/>
      <c r="G47" s="1030"/>
      <c r="H47" s="189"/>
      <c r="I47" s="189"/>
      <c r="J47" s="1031"/>
      <c r="K47" s="1032"/>
      <c r="L47" s="1032"/>
      <c r="M47" s="923"/>
      <c r="N47" s="833">
        <f>N48</f>
        <v>0</v>
      </c>
      <c r="O47" s="834">
        <f>O48</f>
        <v>0</v>
      </c>
      <c r="P47" s="835">
        <f>O47/3.571428</f>
        <v>0</v>
      </c>
      <c r="Q47" s="1017"/>
      <c r="R47" s="255"/>
      <c r="S47" s="255"/>
    </row>
    <row r="48" spans="1:19" ht="37.799999999999997" customHeight="1" thickBot="1" x14ac:dyDescent="0.5">
      <c r="A48" s="1669">
        <v>13</v>
      </c>
      <c r="B48" s="1727" t="s">
        <v>38</v>
      </c>
      <c r="C48" s="1691">
        <f>M5</f>
        <v>3.5714285714285716</v>
      </c>
      <c r="D48" s="926" t="s">
        <v>125</v>
      </c>
      <c r="E48" s="853">
        <f>$C$48/2</f>
        <v>1.7857142857142858</v>
      </c>
      <c r="F48" s="1033" t="s">
        <v>289</v>
      </c>
      <c r="G48" s="853">
        <f>E48/1</f>
        <v>1.7857142857142858</v>
      </c>
      <c r="H48" s="362"/>
      <c r="I48" s="382"/>
      <c r="J48" s="1034">
        <f>H48-I48</f>
        <v>0</v>
      </c>
      <c r="K48" s="1035">
        <f>(0.5*I48)* (6/10)</f>
        <v>0</v>
      </c>
      <c r="L48" s="1036">
        <f>I48-K48</f>
        <v>0</v>
      </c>
      <c r="M48" s="887" t="str">
        <f>IF(K48&lt;&gt;0,J48/K48,"0%")</f>
        <v>0%</v>
      </c>
      <c r="N48" s="1746">
        <f>(((G48/C48)*M48)+((G49/C48)*M49))</f>
        <v>0</v>
      </c>
      <c r="O48" s="1676">
        <f>IF((((G48/C48)*M48)+((G49/C48)*M49))&gt;=1,3.57148,IF((((G48/C48)*M48)+((G49/C48)*M49))&lt;=0,0, (((G48/C48)*M48)+((G49/C48)*M49))*3.571428))</f>
        <v>0</v>
      </c>
      <c r="P48" s="1678">
        <f>O48/3.571428</f>
        <v>0</v>
      </c>
      <c r="Q48" s="950" t="s">
        <v>95</v>
      </c>
      <c r="R48" s="262"/>
      <c r="S48" s="155" t="s">
        <v>463</v>
      </c>
    </row>
    <row r="49" spans="1:19" ht="30.6" customHeight="1" thickBot="1" x14ac:dyDescent="0.5">
      <c r="A49" s="1669"/>
      <c r="B49" s="1728"/>
      <c r="C49" s="1729"/>
      <c r="D49" s="953" t="s">
        <v>126</v>
      </c>
      <c r="E49" s="868">
        <f>$C$48/2</f>
        <v>1.7857142857142858</v>
      </c>
      <c r="F49" s="953" t="s">
        <v>290</v>
      </c>
      <c r="G49" s="868">
        <f>E49/1</f>
        <v>1.7857142857142858</v>
      </c>
      <c r="H49" s="383"/>
      <c r="I49" s="384"/>
      <c r="J49" s="955">
        <f>H49-I49</f>
        <v>0</v>
      </c>
      <c r="K49" s="1037">
        <f>(2*I49)*(6/10)</f>
        <v>0</v>
      </c>
      <c r="L49" s="1038">
        <f>I49+K49</f>
        <v>0</v>
      </c>
      <c r="M49" s="874" t="str">
        <f>IF(K49&lt;&gt;0,J49/K49,"0%")</f>
        <v>0%</v>
      </c>
      <c r="N49" s="1747"/>
      <c r="O49" s="1677"/>
      <c r="P49" s="1679"/>
      <c r="Q49" s="956" t="s">
        <v>95</v>
      </c>
      <c r="R49" s="264"/>
      <c r="S49" s="155" t="s">
        <v>463</v>
      </c>
    </row>
    <row r="50" spans="1:19" ht="15" customHeight="1" thickBot="1" x14ac:dyDescent="0.5">
      <c r="B50" s="1704" t="s">
        <v>39</v>
      </c>
      <c r="C50" s="1705"/>
      <c r="D50" s="1705"/>
      <c r="E50" s="1705"/>
      <c r="F50" s="1706"/>
      <c r="G50" s="1039"/>
      <c r="H50" s="191"/>
      <c r="I50" s="191"/>
      <c r="J50" s="1040"/>
      <c r="K50" s="1040"/>
      <c r="L50" s="1040"/>
      <c r="M50" s="1041"/>
      <c r="N50" s="833">
        <f>N51</f>
        <v>1.6666666666666667</v>
      </c>
      <c r="O50" s="834">
        <f>O51</f>
        <v>3.571428</v>
      </c>
      <c r="P50" s="835">
        <f>O50/3.571428</f>
        <v>1</v>
      </c>
      <c r="Q50" s="1042"/>
      <c r="R50" s="269"/>
      <c r="S50" s="458"/>
    </row>
    <row r="51" spans="1:19" ht="30.6" customHeight="1" thickBot="1" x14ac:dyDescent="0.5">
      <c r="A51" s="15">
        <v>14</v>
      </c>
      <c r="B51" s="1043" t="s">
        <v>226</v>
      </c>
      <c r="C51" s="1044">
        <f>M5</f>
        <v>3.5714285714285716</v>
      </c>
      <c r="D51" s="1045" t="s">
        <v>272</v>
      </c>
      <c r="E51" s="1046">
        <f>C51</f>
        <v>3.5714285714285716</v>
      </c>
      <c r="F51" s="1047" t="s">
        <v>266</v>
      </c>
      <c r="G51" s="1048">
        <f>E51/1</f>
        <v>3.5714285714285716</v>
      </c>
      <c r="H51" s="554">
        <v>100</v>
      </c>
      <c r="I51" s="555">
        <v>0</v>
      </c>
      <c r="J51" s="1049">
        <f>H51-I51</f>
        <v>100</v>
      </c>
      <c r="K51" s="1050">
        <f>(100-I51)*(6/10)</f>
        <v>60</v>
      </c>
      <c r="L51" s="1051">
        <f>I51+K51</f>
        <v>60</v>
      </c>
      <c r="M51" s="898">
        <f>IF(K51&lt;&gt;0,J51/K51,"100%")</f>
        <v>1.6666666666666667</v>
      </c>
      <c r="N51" s="969">
        <f>((G51/C51)*M51)</f>
        <v>1.6666666666666667</v>
      </c>
      <c r="O51" s="970">
        <f>IF(((G51/C51)*M51)&gt;=1,3.571428,IF(((G51/C51)*M51)&lt;=0,0,((G51/C51)*M51)*3.571428))</f>
        <v>3.571428</v>
      </c>
      <c r="P51" s="835">
        <f>O51/3.571428</f>
        <v>1</v>
      </c>
      <c r="Q51" s="1052" t="s">
        <v>95</v>
      </c>
      <c r="R51" s="270"/>
      <c r="S51" s="483" t="s">
        <v>413</v>
      </c>
    </row>
    <row r="52" spans="1:19" ht="20.45" customHeight="1" thickBot="1" x14ac:dyDescent="0.5">
      <c r="B52" s="1704" t="s">
        <v>40</v>
      </c>
      <c r="C52" s="1705"/>
      <c r="D52" s="1705"/>
      <c r="E52" s="1705"/>
      <c r="F52" s="1706"/>
      <c r="G52" s="1030"/>
      <c r="H52" s="189"/>
      <c r="I52" s="189"/>
      <c r="J52" s="1031"/>
      <c r="K52" s="1032"/>
      <c r="L52" s="1032"/>
      <c r="M52" s="948"/>
      <c r="N52" s="833">
        <f>N53</f>
        <v>0.12487404052918644</v>
      </c>
      <c r="O52" s="834">
        <f>O53</f>
        <v>0.44597864481907123</v>
      </c>
      <c r="P52" s="835">
        <f>O52/3.571428</f>
        <v>0.12487404052918642</v>
      </c>
      <c r="Q52" s="1053"/>
      <c r="R52" s="269"/>
      <c r="S52" s="458"/>
    </row>
    <row r="53" spans="1:19" ht="43.8" customHeight="1" thickBot="1" x14ac:dyDescent="0.5">
      <c r="A53" s="1669">
        <v>15</v>
      </c>
      <c r="B53" s="1687" t="s">
        <v>108</v>
      </c>
      <c r="C53" s="1691">
        <f>M5</f>
        <v>3.5714285714285716</v>
      </c>
      <c r="D53" s="1054" t="s">
        <v>127</v>
      </c>
      <c r="E53" s="1055">
        <f>$C$53/5</f>
        <v>0.7142857142857143</v>
      </c>
      <c r="F53" s="1056" t="s">
        <v>41</v>
      </c>
      <c r="G53" s="905">
        <f>E53/1</f>
        <v>0.7142857142857143</v>
      </c>
      <c r="H53" s="405"/>
      <c r="I53" s="406"/>
      <c r="J53" s="930">
        <f>H53-I53</f>
        <v>0</v>
      </c>
      <c r="K53" s="1035">
        <f>(100-I53)*(6/10)</f>
        <v>60</v>
      </c>
      <c r="L53" s="993">
        <f t="shared" ref="L53:L58" si="14">I53+K53</f>
        <v>60</v>
      </c>
      <c r="M53" s="859">
        <f t="shared" ref="M53:M55" si="15">IF(K53&lt;&gt;0,J53/K53,"0%")</f>
        <v>0</v>
      </c>
      <c r="N53" s="1740">
        <f>(((G53/C53)*M53)+((G54/C53)*M54)+((G55/C53)*M55)+((G56/C53)*M56)+((G57/C53)*M57)+((G58/C53)*M58))</f>
        <v>0.12487404052918644</v>
      </c>
      <c r="O53" s="1751">
        <f>IF((((G53/C53)*M53)+((G54/C53)*M54)+((G55/C53)*M55)+((G56/C53)*M56)+((G57/C53)*M57)+((G58/C53)*M58))&gt;=1,3.571428,IF((((G53/C53)*M53)+((G54/C53)*M54)+((G55/C53)*M55)+((G56/C53)*M56)+((G57/C53)*M57)+((G58/C53)*M58))&lt;=0,0,((((G53/C53)*M53)+((G54/C53)*M54)+((G55/C53)*M55)+((G56/C53)*M56)+((G57/C53)*M57)+((G58/C53)*M58))*3.571428)))</f>
        <v>0.44597864481907123</v>
      </c>
      <c r="P53" s="1678">
        <f>O53/3.571428</f>
        <v>0.12487404052918642</v>
      </c>
      <c r="Q53" s="1057" t="s">
        <v>95</v>
      </c>
      <c r="R53" s="271"/>
      <c r="S53" s="155" t="s">
        <v>463</v>
      </c>
    </row>
    <row r="54" spans="1:19" ht="35.450000000000003" customHeight="1" thickBot="1" x14ac:dyDescent="0.5">
      <c r="A54" s="1669"/>
      <c r="B54" s="1688"/>
      <c r="C54" s="1692"/>
      <c r="D54" s="1058" t="s">
        <v>128</v>
      </c>
      <c r="E54" s="1059">
        <f t="shared" ref="E54:E57" si="16">$C$53/5</f>
        <v>0.7142857142857143</v>
      </c>
      <c r="F54" s="1060" t="s">
        <v>42</v>
      </c>
      <c r="G54" s="912">
        <f>E54/1</f>
        <v>0.7142857142857143</v>
      </c>
      <c r="H54" s="356"/>
      <c r="I54" s="381"/>
      <c r="J54" s="936">
        <f>H54-I54</f>
        <v>0</v>
      </c>
      <c r="K54" s="997">
        <f>(100-I54)*(6/6)</f>
        <v>100</v>
      </c>
      <c r="L54" s="998">
        <f>I54+K54</f>
        <v>100</v>
      </c>
      <c r="M54" s="916">
        <f t="shared" si="15"/>
        <v>0</v>
      </c>
      <c r="N54" s="1741"/>
      <c r="O54" s="1700"/>
      <c r="P54" s="1703"/>
      <c r="Q54" s="1061" t="s">
        <v>95</v>
      </c>
      <c r="R54" s="246"/>
      <c r="S54" s="155" t="s">
        <v>463</v>
      </c>
    </row>
    <row r="55" spans="1:19" ht="34.25" customHeight="1" thickBot="1" x14ac:dyDescent="0.5">
      <c r="A55" s="1669"/>
      <c r="B55" s="1688"/>
      <c r="C55" s="1692"/>
      <c r="D55" s="1058" t="s">
        <v>129</v>
      </c>
      <c r="E55" s="1059">
        <f t="shared" si="16"/>
        <v>0.7142857142857143</v>
      </c>
      <c r="F55" s="1060" t="s">
        <v>43</v>
      </c>
      <c r="G55" s="912">
        <f>E55/1</f>
        <v>0.7142857142857143</v>
      </c>
      <c r="H55" s="356"/>
      <c r="I55" s="381"/>
      <c r="J55" s="936">
        <f>H55-I55</f>
        <v>0</v>
      </c>
      <c r="K55" s="997">
        <f>(100-I55)*(6/10)</f>
        <v>60</v>
      </c>
      <c r="L55" s="998">
        <f t="shared" si="14"/>
        <v>60</v>
      </c>
      <c r="M55" s="916">
        <f t="shared" si="15"/>
        <v>0</v>
      </c>
      <c r="N55" s="1741"/>
      <c r="O55" s="1700"/>
      <c r="P55" s="1703"/>
      <c r="Q55" s="1061" t="s">
        <v>95</v>
      </c>
      <c r="R55" s="246"/>
      <c r="S55" s="155" t="s">
        <v>463</v>
      </c>
    </row>
    <row r="56" spans="1:19" ht="37.25" customHeight="1" x14ac:dyDescent="0.45">
      <c r="A56" s="1669"/>
      <c r="B56" s="1688"/>
      <c r="C56" s="1692"/>
      <c r="D56" s="1058" t="s">
        <v>130</v>
      </c>
      <c r="E56" s="1059">
        <f t="shared" si="16"/>
        <v>0.7142857142857143</v>
      </c>
      <c r="F56" s="1060" t="s">
        <v>44</v>
      </c>
      <c r="G56" s="912">
        <f>E56/1</f>
        <v>0.7142857142857143</v>
      </c>
      <c r="H56" s="233">
        <v>49.7</v>
      </c>
      <c r="I56" s="234">
        <v>44.5</v>
      </c>
      <c r="J56" s="936">
        <f>H56-I56</f>
        <v>5.2000000000000028</v>
      </c>
      <c r="K56" s="1062">
        <f>(0.5*I56)*(6/7)</f>
        <v>19.071428571428569</v>
      </c>
      <c r="L56" s="998">
        <f t="shared" si="14"/>
        <v>63.571428571428569</v>
      </c>
      <c r="M56" s="916">
        <f>IF(K56&lt;&gt;0,J56/K56,"0%")</f>
        <v>0.2726591760299627</v>
      </c>
      <c r="N56" s="1741"/>
      <c r="O56" s="1700"/>
      <c r="P56" s="1703"/>
      <c r="Q56" s="1061" t="s">
        <v>101</v>
      </c>
      <c r="R56" s="443" t="s">
        <v>378</v>
      </c>
      <c r="S56" s="137" t="s">
        <v>379</v>
      </c>
    </row>
    <row r="57" spans="1:19" ht="22.8" customHeight="1" thickBot="1" x14ac:dyDescent="0.5">
      <c r="A57" s="1669"/>
      <c r="B57" s="1688"/>
      <c r="C57" s="1692"/>
      <c r="D57" s="1753" t="s">
        <v>131</v>
      </c>
      <c r="E57" s="1755">
        <f t="shared" si="16"/>
        <v>0.7142857142857143</v>
      </c>
      <c r="F57" s="1060" t="s">
        <v>45</v>
      </c>
      <c r="G57" s="912">
        <f>$E$57/2</f>
        <v>0.35714285714285715</v>
      </c>
      <c r="H57" s="459">
        <v>74.8</v>
      </c>
      <c r="I57" s="234">
        <v>52.6</v>
      </c>
      <c r="J57" s="936">
        <f t="shared" ref="J57:J58" si="17">H57-I57</f>
        <v>22.199999999999996</v>
      </c>
      <c r="K57" s="1064">
        <f>(1*I57)*(6/10)</f>
        <v>31.56</v>
      </c>
      <c r="L57" s="998">
        <f t="shared" si="14"/>
        <v>84.16</v>
      </c>
      <c r="M57" s="916">
        <f>IF(K57&lt;&gt;0,J57/K57,"0%")</f>
        <v>0.70342205323193907</v>
      </c>
      <c r="N57" s="1741"/>
      <c r="O57" s="1700"/>
      <c r="P57" s="1703"/>
      <c r="Q57" s="1061" t="s">
        <v>180</v>
      </c>
      <c r="R57" s="380" t="s">
        <v>406</v>
      </c>
      <c r="S57" s="380" t="s">
        <v>407</v>
      </c>
    </row>
    <row r="58" spans="1:19" ht="15" customHeight="1" thickBot="1" x14ac:dyDescent="0.5">
      <c r="A58" s="1669"/>
      <c r="B58" s="1739"/>
      <c r="C58" s="1729"/>
      <c r="D58" s="1754"/>
      <c r="E58" s="1756"/>
      <c r="F58" s="867" t="s">
        <v>46</v>
      </c>
      <c r="G58" s="919">
        <f>$E$57/2</f>
        <v>0.35714285714285715</v>
      </c>
      <c r="H58" s="385"/>
      <c r="I58" s="376"/>
      <c r="J58" s="943">
        <f t="shared" si="17"/>
        <v>0</v>
      </c>
      <c r="K58" s="1037">
        <f>(1*I58)*(6/10)</f>
        <v>0</v>
      </c>
      <c r="L58" s="1065">
        <f t="shared" si="14"/>
        <v>0</v>
      </c>
      <c r="M58" s="874" t="str">
        <f>IF(K58&lt;&gt;0,J58/K58,"0%")</f>
        <v>0%</v>
      </c>
      <c r="N58" s="1742"/>
      <c r="O58" s="1701"/>
      <c r="P58" s="1679"/>
      <c r="Q58" s="1066" t="s">
        <v>95</v>
      </c>
      <c r="R58" s="440"/>
      <c r="S58" s="155" t="s">
        <v>463</v>
      </c>
    </row>
    <row r="59" spans="1:19" ht="23.45" customHeight="1" thickBot="1" x14ac:dyDescent="0.5">
      <c r="B59" s="1743" t="s">
        <v>47</v>
      </c>
      <c r="C59" s="1744"/>
      <c r="D59" s="1744"/>
      <c r="E59" s="1744"/>
      <c r="F59" s="1745"/>
      <c r="G59" s="1067"/>
      <c r="H59" s="192"/>
      <c r="I59" s="192"/>
      <c r="J59" s="1068"/>
      <c r="K59" s="1068"/>
      <c r="L59" s="1068"/>
      <c r="M59" s="1028"/>
      <c r="N59" s="833">
        <f>(N60+N67)/2</f>
        <v>-0.84166666666666667</v>
      </c>
      <c r="O59" s="834">
        <f>(O60+O67)</f>
        <v>0.89285700000000001</v>
      </c>
      <c r="P59" s="835">
        <f>O59/7.142856</f>
        <v>0.125</v>
      </c>
      <c r="Q59" s="1069"/>
      <c r="R59" s="272"/>
      <c r="S59" s="273"/>
    </row>
    <row r="60" spans="1:19" ht="22.25" customHeight="1" thickBot="1" x14ac:dyDescent="0.5">
      <c r="B60" s="1704" t="s">
        <v>48</v>
      </c>
      <c r="C60" s="1705"/>
      <c r="D60" s="1705"/>
      <c r="E60" s="1705"/>
      <c r="F60" s="1706"/>
      <c r="G60" s="923"/>
      <c r="H60" s="396"/>
      <c r="I60" s="396"/>
      <c r="J60" s="946"/>
      <c r="K60" s="947"/>
      <c r="L60" s="947"/>
      <c r="M60" s="948"/>
      <c r="N60" s="833">
        <f>N61</f>
        <v>0.25</v>
      </c>
      <c r="O60" s="834">
        <f>O61</f>
        <v>0.89285700000000001</v>
      </c>
      <c r="P60" s="835">
        <f>O60/3.571428</f>
        <v>0.25</v>
      </c>
      <c r="Q60" s="924"/>
      <c r="R60" s="255"/>
      <c r="S60" s="255"/>
    </row>
    <row r="61" spans="1:19" ht="39" customHeight="1" thickBot="1" x14ac:dyDescent="0.5">
      <c r="A61" s="1669">
        <v>16</v>
      </c>
      <c r="B61" s="1687" t="s">
        <v>49</v>
      </c>
      <c r="C61" s="1691">
        <f>M5</f>
        <v>3.5714285714285716</v>
      </c>
      <c r="D61" s="926" t="s">
        <v>133</v>
      </c>
      <c r="E61" s="853">
        <f>$C$61/4</f>
        <v>0.8928571428571429</v>
      </c>
      <c r="F61" s="926" t="s">
        <v>50</v>
      </c>
      <c r="G61" s="905">
        <f>E61/1</f>
        <v>0.8928571428571429</v>
      </c>
      <c r="H61" s="373"/>
      <c r="I61" s="179"/>
      <c r="J61" s="1019">
        <f>IF(I61=H61,(H61-70),H61-I61)</f>
        <v>-70</v>
      </c>
      <c r="K61" s="909">
        <f>IF(I61&gt;=70,0,((70-I61)*(6/10)))</f>
        <v>42</v>
      </c>
      <c r="L61" s="1070">
        <f t="shared" ref="L61:L66" si="18">I61+K61</f>
        <v>42</v>
      </c>
      <c r="M61" s="859" t="str">
        <f>IF(H61=0,"0%",J61/K61)</f>
        <v>0%</v>
      </c>
      <c r="N61" s="1748">
        <f>(((G61/C61)*M61)+((G62/C61)*M62)+((G63/C61)*M63)+((G64/C61)*M64)+((G65/C61)*M65)+((G66/C61)*M66))</f>
        <v>0.25</v>
      </c>
      <c r="O61" s="1751">
        <f>IF((((G61/C61)*M61)+((G62/C61)*M62)+((G63/C61)*M63)+((G64/C61)*M64)+((G65/C61)*M65)+((G66/C61)*M66))&gt;=1,3.571428,IF((((G61/C61)*M61)+((G62/C61)*M62)+((G63/C61)*M63)+((G64/C61)*M64)+((G65/C61)*M65)+((G66/C61)*M66))&lt;=0,0,((((G61/C61)*M61)+((G62/C61)*M62)+((G63/C61)*M63)+((G64/C61)*M64)+((G65/C61)*M65)+((G66/C61)*M66))*3.571428)))</f>
        <v>0.89285700000000001</v>
      </c>
      <c r="P61" s="1678">
        <f>O61/3.571428</f>
        <v>0.25</v>
      </c>
      <c r="Q61" s="994" t="s">
        <v>181</v>
      </c>
      <c r="R61" s="453"/>
      <c r="S61" s="155" t="s">
        <v>463</v>
      </c>
    </row>
    <row r="62" spans="1:19" ht="58.25" customHeight="1" thickBot="1" x14ac:dyDescent="0.5">
      <c r="A62" s="1669"/>
      <c r="B62" s="1688"/>
      <c r="C62" s="1692"/>
      <c r="D62" s="933" t="s">
        <v>134</v>
      </c>
      <c r="E62" s="934">
        <f t="shared" ref="E62:E63" si="19">$C$61/4</f>
        <v>0.8928571428571429</v>
      </c>
      <c r="F62" s="1058" t="s">
        <v>276</v>
      </c>
      <c r="G62" s="912">
        <f>$E$62/1</f>
        <v>0.8928571428571429</v>
      </c>
      <c r="H62" s="356">
        <v>0.875</v>
      </c>
      <c r="I62" s="381"/>
      <c r="J62" s="1071">
        <f>IF(I62=H62,(H62-70),H62-I62)</f>
        <v>0.875</v>
      </c>
      <c r="K62" s="914">
        <f t="shared" ref="K62:K63" si="20">IF(I62&gt;=70,0,((70-I62)*(6/10)))</f>
        <v>42</v>
      </c>
      <c r="L62" s="1072">
        <f t="shared" si="18"/>
        <v>42</v>
      </c>
      <c r="M62" s="916" t="str">
        <f>IF(I62=0,"0%",J62/K62)</f>
        <v>0%</v>
      </c>
      <c r="N62" s="1749"/>
      <c r="O62" s="1700"/>
      <c r="P62" s="1703"/>
      <c r="Q62" s="999" t="s">
        <v>182</v>
      </c>
      <c r="R62" s="449" t="s">
        <v>375</v>
      </c>
      <c r="S62" s="379" t="s">
        <v>484</v>
      </c>
    </row>
    <row r="63" spans="1:19" ht="26.45" customHeight="1" thickBot="1" x14ac:dyDescent="0.5">
      <c r="A63" s="1669"/>
      <c r="B63" s="1688"/>
      <c r="C63" s="1692"/>
      <c r="D63" s="933" t="s">
        <v>135</v>
      </c>
      <c r="E63" s="934">
        <f t="shared" si="19"/>
        <v>0.8928571428571429</v>
      </c>
      <c r="F63" s="933" t="s">
        <v>51</v>
      </c>
      <c r="G63" s="912">
        <f>E63/1</f>
        <v>0.8928571428571429</v>
      </c>
      <c r="H63" s="365"/>
      <c r="I63" s="366"/>
      <c r="J63" s="1071">
        <f>IF(I63=H63,(H63-70),H63-I63)</f>
        <v>-70</v>
      </c>
      <c r="K63" s="914">
        <f t="shared" si="20"/>
        <v>42</v>
      </c>
      <c r="L63" s="1072">
        <f t="shared" si="18"/>
        <v>42</v>
      </c>
      <c r="M63" s="916" t="str">
        <f>IF(H63=0,"0%",J63/K63)</f>
        <v>0%</v>
      </c>
      <c r="N63" s="1749"/>
      <c r="O63" s="1700"/>
      <c r="P63" s="1703"/>
      <c r="Q63" s="999" t="s">
        <v>95</v>
      </c>
      <c r="R63" s="449"/>
      <c r="S63" s="155" t="s">
        <v>463</v>
      </c>
    </row>
    <row r="64" spans="1:19" ht="15" customHeight="1" x14ac:dyDescent="0.45">
      <c r="A64" s="1669"/>
      <c r="B64" s="1688"/>
      <c r="C64" s="1692"/>
      <c r="D64" s="1721" t="s">
        <v>136</v>
      </c>
      <c r="E64" s="1723">
        <f>$C$61/4</f>
        <v>0.8928571428571429</v>
      </c>
      <c r="F64" s="1073" t="s">
        <v>52</v>
      </c>
      <c r="G64" s="1074">
        <f>$E$64/3</f>
        <v>0.29761904761904762</v>
      </c>
      <c r="H64" s="101">
        <v>100</v>
      </c>
      <c r="I64" s="104">
        <v>100</v>
      </c>
      <c r="J64" s="1075">
        <f t="shared" ref="J64:J66" si="21">H64-I64</f>
        <v>0</v>
      </c>
      <c r="K64" s="1076">
        <f>(100-I64)*(6/10)</f>
        <v>0</v>
      </c>
      <c r="L64" s="1072">
        <f t="shared" si="18"/>
        <v>100</v>
      </c>
      <c r="M64" s="916" t="str">
        <f t="shared" ref="M64:M66" si="22">IF(K64&lt;&gt;0,J64/K64,"100%")</f>
        <v>100%</v>
      </c>
      <c r="N64" s="1749"/>
      <c r="O64" s="1700"/>
      <c r="P64" s="1703"/>
      <c r="Q64" s="999" t="s">
        <v>95</v>
      </c>
      <c r="R64" s="448"/>
      <c r="S64" s="380"/>
    </row>
    <row r="65" spans="1:19" x14ac:dyDescent="0.45">
      <c r="A65" s="1669"/>
      <c r="B65" s="1688"/>
      <c r="C65" s="1692"/>
      <c r="D65" s="1721"/>
      <c r="E65" s="1723"/>
      <c r="F65" s="1073" t="s">
        <v>53</v>
      </c>
      <c r="G65" s="1074">
        <f t="shared" ref="G65:G66" si="23">$E$64/3</f>
        <v>0.29761904761904762</v>
      </c>
      <c r="H65" s="101">
        <v>100</v>
      </c>
      <c r="I65" s="104">
        <v>100</v>
      </c>
      <c r="J65" s="1075">
        <f t="shared" si="21"/>
        <v>0</v>
      </c>
      <c r="K65" s="1076">
        <f>(100-I65)*(6/10)</f>
        <v>0</v>
      </c>
      <c r="L65" s="1072">
        <f t="shared" si="18"/>
        <v>100</v>
      </c>
      <c r="M65" s="916" t="str">
        <f t="shared" si="22"/>
        <v>100%</v>
      </c>
      <c r="N65" s="1749"/>
      <c r="O65" s="1700"/>
      <c r="P65" s="1703"/>
      <c r="Q65" s="999" t="s">
        <v>95</v>
      </c>
      <c r="R65" s="449"/>
      <c r="S65" s="380"/>
    </row>
    <row r="66" spans="1:19" ht="27.6" customHeight="1" thickBot="1" x14ac:dyDescent="0.5">
      <c r="A66" s="1669"/>
      <c r="B66" s="1739"/>
      <c r="C66" s="1729"/>
      <c r="D66" s="1728"/>
      <c r="E66" s="1752"/>
      <c r="F66" s="1077" t="s">
        <v>54</v>
      </c>
      <c r="G66" s="1078">
        <f t="shared" si="23"/>
        <v>0.29761904761904762</v>
      </c>
      <c r="H66" s="100">
        <v>100</v>
      </c>
      <c r="I66" s="107">
        <v>100</v>
      </c>
      <c r="J66" s="1079">
        <f t="shared" si="21"/>
        <v>0</v>
      </c>
      <c r="K66" s="1080">
        <f>(100-I66)*(6/10)</f>
        <v>0</v>
      </c>
      <c r="L66" s="1081">
        <f t="shared" si="18"/>
        <v>100</v>
      </c>
      <c r="M66" s="874" t="str">
        <f t="shared" si="22"/>
        <v>100%</v>
      </c>
      <c r="N66" s="1750"/>
      <c r="O66" s="1701"/>
      <c r="P66" s="1679"/>
      <c r="Q66" s="1082" t="s">
        <v>95</v>
      </c>
      <c r="R66" s="456"/>
      <c r="S66" s="440"/>
    </row>
    <row r="67" spans="1:19" ht="27" customHeight="1" thickBot="1" x14ac:dyDescent="0.5">
      <c r="B67" s="1684" t="s">
        <v>55</v>
      </c>
      <c r="C67" s="1685"/>
      <c r="D67" s="1685"/>
      <c r="E67" s="1685"/>
      <c r="F67" s="1686"/>
      <c r="G67" s="1015"/>
      <c r="H67" s="397"/>
      <c r="I67" s="397"/>
      <c r="J67" s="1015"/>
      <c r="K67" s="1016"/>
      <c r="L67" s="1016"/>
      <c r="M67" s="1094"/>
      <c r="N67" s="833">
        <f>N68</f>
        <v>-1.9333333333333333</v>
      </c>
      <c r="O67" s="834">
        <f>O68</f>
        <v>0</v>
      </c>
      <c r="P67" s="835">
        <f>O67/3.571428</f>
        <v>0</v>
      </c>
      <c r="Q67" s="1083"/>
      <c r="R67" s="274"/>
      <c r="S67" s="269"/>
    </row>
    <row r="68" spans="1:19" ht="58.5" thickBot="1" x14ac:dyDescent="0.5">
      <c r="A68" s="16">
        <v>17</v>
      </c>
      <c r="B68" s="1084" t="s">
        <v>56</v>
      </c>
      <c r="C68" s="1085">
        <f>M5</f>
        <v>3.5714285714285716</v>
      </c>
      <c r="D68" s="1084" t="s">
        <v>137</v>
      </c>
      <c r="E68" s="1085">
        <f>C68</f>
        <v>3.5714285714285716</v>
      </c>
      <c r="F68" s="1084" t="s">
        <v>57</v>
      </c>
      <c r="G68" s="1086">
        <f>E68/1</f>
        <v>3.5714285714285716</v>
      </c>
      <c r="H68" s="1087">
        <v>81.2</v>
      </c>
      <c r="I68" s="224"/>
      <c r="J68" s="1089">
        <f>IF(I68=H68,(H68-70),I68-H68)</f>
        <v>-81.2</v>
      </c>
      <c r="K68" s="982">
        <f t="shared" ref="K68" si="24">IF(I68&gt;=70,0,((70-I68)*(6/10)))</f>
        <v>42</v>
      </c>
      <c r="L68" s="1090">
        <f>I68-K68</f>
        <v>-42</v>
      </c>
      <c r="M68" s="968">
        <f t="shared" ref="M68" si="25">IF(I68&gt;=70,(1+(H68-70)/70),(J68/K68))</f>
        <v>-1.9333333333333333</v>
      </c>
      <c r="N68" s="1091">
        <f>((G68/C68)*M68)</f>
        <v>-1.9333333333333333</v>
      </c>
      <c r="O68" s="970">
        <f>IF(((G68/C68)*M68)&gt;=1,3.571428,IF(((G68/C68)*M68)&lt;=0,0,((G68/C68)*M68)*3.571428))</f>
        <v>0</v>
      </c>
      <c r="P68" s="835">
        <f>O68/3.571428</f>
        <v>0</v>
      </c>
      <c r="Q68" s="1092" t="s">
        <v>132</v>
      </c>
      <c r="R68" s="460" t="s">
        <v>375</v>
      </c>
      <c r="S68" s="461" t="s">
        <v>478</v>
      </c>
    </row>
    <row r="69" spans="1:19" ht="22.25" customHeight="1" thickBot="1" x14ac:dyDescent="0.5">
      <c r="B69" s="1575" t="s">
        <v>58</v>
      </c>
      <c r="C69" s="1576"/>
      <c r="D69" s="1576"/>
      <c r="E69" s="1576"/>
      <c r="F69" s="1577"/>
      <c r="G69" s="173"/>
      <c r="H69" s="128"/>
      <c r="I69" s="193"/>
      <c r="J69" s="174"/>
      <c r="K69" s="79"/>
      <c r="L69" s="79"/>
      <c r="M69" s="1093"/>
      <c r="N69" s="833">
        <f>(N70+N72+N74)/3</f>
        <v>0.33333333333333331</v>
      </c>
      <c r="O69" s="834">
        <f>(O70+O72+O74)</f>
        <v>3.571428</v>
      </c>
      <c r="P69" s="835">
        <f>O69/10.714284</f>
        <v>0.33333333333333337</v>
      </c>
      <c r="Q69" s="808"/>
      <c r="R69" s="193"/>
      <c r="S69" s="276"/>
    </row>
    <row r="70" spans="1:19" ht="20.45" customHeight="1" thickBot="1" x14ac:dyDescent="0.5">
      <c r="B70" s="1704" t="s">
        <v>59</v>
      </c>
      <c r="C70" s="1705"/>
      <c r="D70" s="1705"/>
      <c r="E70" s="1705"/>
      <c r="F70" s="1706"/>
      <c r="G70" s="923"/>
      <c r="H70" s="120"/>
      <c r="I70" s="121"/>
      <c r="J70" s="924"/>
      <c r="K70" s="924"/>
      <c r="L70" s="924"/>
      <c r="M70" s="1094"/>
      <c r="N70" s="833">
        <f>N71</f>
        <v>0</v>
      </c>
      <c r="O70" s="834">
        <f>O71</f>
        <v>0</v>
      </c>
      <c r="P70" s="835">
        <f t="shared" ref="P70:P78" si="26">O70/3.571428</f>
        <v>0</v>
      </c>
      <c r="Q70" s="1053"/>
      <c r="R70" s="269"/>
      <c r="S70" s="269"/>
    </row>
    <row r="71" spans="1:19" ht="52.25" customHeight="1" thickBot="1" x14ac:dyDescent="0.5">
      <c r="A71" s="16">
        <v>18</v>
      </c>
      <c r="B71" s="1095" t="s">
        <v>60</v>
      </c>
      <c r="C71" s="1096">
        <f>M5</f>
        <v>3.5714285714285716</v>
      </c>
      <c r="D71" s="1097" t="s">
        <v>138</v>
      </c>
      <c r="E71" s="1098">
        <f>C71</f>
        <v>3.5714285714285716</v>
      </c>
      <c r="F71" s="1099" t="s">
        <v>61</v>
      </c>
      <c r="G71" s="1100">
        <f>E71/1</f>
        <v>3.5714285714285716</v>
      </c>
      <c r="H71" s="359"/>
      <c r="I71" s="224"/>
      <c r="J71" s="1101">
        <f>I71-H71</f>
        <v>0</v>
      </c>
      <c r="K71" s="979">
        <f>(0.5*I71)*0.6</f>
        <v>0</v>
      </c>
      <c r="L71" s="1090">
        <f>I71-K71</f>
        <v>0</v>
      </c>
      <c r="M71" s="874" t="str">
        <f>IF(H71=0,"0%",J71/K71)</f>
        <v>0%</v>
      </c>
      <c r="N71" s="1091">
        <f>((G71/C71)*M71)</f>
        <v>0</v>
      </c>
      <c r="O71" s="970">
        <f>IF(((G71/C71)*M71)&gt;=1,3.571428,IF(((G71/C71)*M71)&lt;=0,0,((G71/C71)*M71)*3.571428))</f>
        <v>0</v>
      </c>
      <c r="P71" s="835">
        <f t="shared" si="26"/>
        <v>0</v>
      </c>
      <c r="Q71" s="1102" t="s">
        <v>183</v>
      </c>
      <c r="R71" s="460" t="s">
        <v>403</v>
      </c>
      <c r="S71" s="155" t="s">
        <v>463</v>
      </c>
    </row>
    <row r="72" spans="1:19" ht="20.45" customHeight="1" thickBot="1" x14ac:dyDescent="0.5">
      <c r="B72" s="1730" t="s">
        <v>277</v>
      </c>
      <c r="C72" s="1731"/>
      <c r="D72" s="1731"/>
      <c r="E72" s="1731"/>
      <c r="F72" s="1733"/>
      <c r="G72" s="985"/>
      <c r="H72" s="118"/>
      <c r="I72" s="189"/>
      <c r="J72" s="986"/>
      <c r="K72" s="987"/>
      <c r="L72" s="987"/>
      <c r="M72" s="988"/>
      <c r="N72" s="833">
        <f>N73</f>
        <v>0</v>
      </c>
      <c r="O72" s="834">
        <f>O73</f>
        <v>0</v>
      </c>
      <c r="P72" s="835">
        <f t="shared" si="26"/>
        <v>0</v>
      </c>
      <c r="Q72" s="1103"/>
      <c r="R72" s="269"/>
      <c r="S72" s="269"/>
    </row>
    <row r="73" spans="1:19" ht="45" customHeight="1" thickBot="1" x14ac:dyDescent="0.5">
      <c r="A73" s="16">
        <v>19</v>
      </c>
      <c r="B73" s="1104" t="s">
        <v>62</v>
      </c>
      <c r="C73" s="1105">
        <f>M5</f>
        <v>3.5714285714285716</v>
      </c>
      <c r="D73" s="1106" t="s">
        <v>139</v>
      </c>
      <c r="E73" s="1105">
        <f>C73</f>
        <v>3.5714285714285716</v>
      </c>
      <c r="F73" s="1107" t="s">
        <v>63</v>
      </c>
      <c r="G73" s="1108">
        <f>E73/1</f>
        <v>3.5714285714285716</v>
      </c>
      <c r="H73" s="358"/>
      <c r="I73" s="395"/>
      <c r="J73" s="1109">
        <f>I73-H73</f>
        <v>0</v>
      </c>
      <c r="K73" s="1110">
        <f>IF(H73&gt;0,(H73),I73)</f>
        <v>0</v>
      </c>
      <c r="L73" s="1111">
        <f>I73-K73</f>
        <v>0</v>
      </c>
      <c r="M73" s="874" t="str">
        <f>IF(H73=0,"0%",J73/K73)</f>
        <v>0%</v>
      </c>
      <c r="N73" s="1091">
        <f>((G73/C73)*M73)</f>
        <v>0</v>
      </c>
      <c r="O73" s="970">
        <f>IF(((G73/C73)*M73)&gt;=1,3.571428,IF(((G73/C73)*M73)&lt;=0,0,((G73/C73)*M73)*3.571428))</f>
        <v>0</v>
      </c>
      <c r="P73" s="835">
        <f t="shared" si="26"/>
        <v>0</v>
      </c>
      <c r="Q73" s="1112" t="s">
        <v>95</v>
      </c>
      <c r="R73" s="275" t="s">
        <v>403</v>
      </c>
      <c r="S73" s="155" t="s">
        <v>463</v>
      </c>
    </row>
    <row r="74" spans="1:19" ht="30.6" customHeight="1" thickBot="1" x14ac:dyDescent="0.5">
      <c r="B74" s="1704" t="s">
        <v>64</v>
      </c>
      <c r="C74" s="1705"/>
      <c r="D74" s="1705"/>
      <c r="E74" s="1705"/>
      <c r="F74" s="1706"/>
      <c r="G74" s="924"/>
      <c r="H74" s="120"/>
      <c r="I74" s="121"/>
      <c r="J74" s="924"/>
      <c r="K74" s="924"/>
      <c r="L74" s="924"/>
      <c r="M74" s="923"/>
      <c r="N74" s="833">
        <f>N75</f>
        <v>1</v>
      </c>
      <c r="O74" s="834">
        <f>O75</f>
        <v>3.571428</v>
      </c>
      <c r="P74" s="835">
        <f t="shared" si="26"/>
        <v>1</v>
      </c>
      <c r="Q74" s="1053"/>
      <c r="R74" s="269"/>
      <c r="S74" s="269"/>
    </row>
    <row r="75" spans="1:19" ht="29.45" customHeight="1" thickBot="1" x14ac:dyDescent="0.5">
      <c r="A75" s="16">
        <v>20</v>
      </c>
      <c r="B75" s="1104" t="s">
        <v>65</v>
      </c>
      <c r="C75" s="964">
        <f>M5</f>
        <v>3.5714285714285716</v>
      </c>
      <c r="D75" s="1097" t="s">
        <v>140</v>
      </c>
      <c r="E75" s="1113">
        <f>C75</f>
        <v>3.5714285714285716</v>
      </c>
      <c r="F75" s="1106" t="s">
        <v>66</v>
      </c>
      <c r="G75" s="1100">
        <f>E75/1</f>
        <v>3.5714285714285716</v>
      </c>
      <c r="H75" s="1211">
        <v>1</v>
      </c>
      <c r="I75" s="1212">
        <v>1</v>
      </c>
      <c r="J75" s="1049">
        <f>H75-I75</f>
        <v>0</v>
      </c>
      <c r="K75" s="1050">
        <f>IF(AND(H75=0,I75=1)," 1",(H75-I75))</f>
        <v>0</v>
      </c>
      <c r="L75" s="1115">
        <f>I75+K75</f>
        <v>1</v>
      </c>
      <c r="M75" s="1116">
        <f>(IF(I75=1,1,(J75/K75)))</f>
        <v>1</v>
      </c>
      <c r="N75" s="1091">
        <f>((G75/C75)*M75)</f>
        <v>1</v>
      </c>
      <c r="O75" s="970">
        <f>IF(((G75/C75)*M75)&gt;=1,3.571428,IF(((G75/C75)*M75)&lt;=0,0,((G75/C75)*M75)*3.571428))</f>
        <v>3.571428</v>
      </c>
      <c r="P75" s="835">
        <f t="shared" si="26"/>
        <v>1</v>
      </c>
      <c r="Q75" s="1117" t="s">
        <v>95</v>
      </c>
      <c r="R75" s="442"/>
      <c r="S75" s="460" t="s">
        <v>408</v>
      </c>
    </row>
    <row r="76" spans="1:19" ht="20.45" customHeight="1" thickBot="1" x14ac:dyDescent="0.5">
      <c r="B76" s="1763" t="s">
        <v>67</v>
      </c>
      <c r="C76" s="1764"/>
      <c r="D76" s="1764"/>
      <c r="E76" s="1764"/>
      <c r="F76" s="1765"/>
      <c r="G76" s="1118"/>
      <c r="H76" s="130"/>
      <c r="I76" s="131"/>
      <c r="J76" s="1119"/>
      <c r="K76" s="807"/>
      <c r="L76" s="807"/>
      <c r="M76" s="1118"/>
      <c r="N76" s="833">
        <f t="shared" ref="N76:O77" si="27">N77</f>
        <v>0</v>
      </c>
      <c r="O76" s="834">
        <f t="shared" si="27"/>
        <v>0</v>
      </c>
      <c r="P76" s="835">
        <f t="shared" si="26"/>
        <v>0</v>
      </c>
      <c r="Q76" s="1120"/>
      <c r="R76" s="278"/>
      <c r="S76" s="278"/>
    </row>
    <row r="77" spans="1:19" ht="20.45" customHeight="1" thickBot="1" x14ac:dyDescent="0.5">
      <c r="B77" s="1704" t="s">
        <v>68</v>
      </c>
      <c r="C77" s="1705"/>
      <c r="D77" s="1705"/>
      <c r="E77" s="1705"/>
      <c r="F77" s="1706"/>
      <c r="G77" s="923"/>
      <c r="H77" s="120"/>
      <c r="I77" s="121"/>
      <c r="J77" s="946"/>
      <c r="K77" s="947"/>
      <c r="L77" s="947"/>
      <c r="M77" s="925"/>
      <c r="N77" s="833">
        <f t="shared" si="27"/>
        <v>0</v>
      </c>
      <c r="O77" s="834">
        <f t="shared" si="27"/>
        <v>0</v>
      </c>
      <c r="P77" s="835">
        <f t="shared" si="26"/>
        <v>0</v>
      </c>
      <c r="Q77" s="1053"/>
      <c r="R77" s="269"/>
      <c r="S77" s="269"/>
    </row>
    <row r="78" spans="1:19" ht="35.25" thickBot="1" x14ac:dyDescent="0.5">
      <c r="A78" s="16">
        <v>21</v>
      </c>
      <c r="B78" s="1104" t="s">
        <v>69</v>
      </c>
      <c r="C78" s="1113">
        <f>M5</f>
        <v>3.5714285714285716</v>
      </c>
      <c r="D78" s="1121" t="s">
        <v>141</v>
      </c>
      <c r="E78" s="1113">
        <f>C78</f>
        <v>3.5714285714285716</v>
      </c>
      <c r="F78" s="1121" t="s">
        <v>70</v>
      </c>
      <c r="G78" s="1085">
        <f>E78/1</f>
        <v>3.5714285714285716</v>
      </c>
      <c r="H78" s="358"/>
      <c r="I78" s="224"/>
      <c r="J78" s="1089">
        <f>IF(I78=H78,(H78-60),H78-I78)</f>
        <v>-60</v>
      </c>
      <c r="K78" s="982">
        <f>IF(I78&gt;=60,0,((60-I78)*(6/10)))</f>
        <v>36</v>
      </c>
      <c r="L78" s="1090">
        <f t="shared" ref="L78" si="28">K78+I78</f>
        <v>36</v>
      </c>
      <c r="M78" s="968">
        <f>IF(I78&gt;=60,(1+(H78-60)/60),(H78/L78))</f>
        <v>0</v>
      </c>
      <c r="N78" s="1091">
        <f>((G78/C78)*M78)</f>
        <v>0</v>
      </c>
      <c r="O78" s="970">
        <f>IF(((G78/C78)*M78)&gt;=1,3.571428,IF(((G78/C78)*M78)&lt;=0,0,((G78/C78)*M78)*3.571428))</f>
        <v>0</v>
      </c>
      <c r="P78" s="835">
        <f t="shared" si="26"/>
        <v>0</v>
      </c>
      <c r="Q78" s="1122" t="s">
        <v>95</v>
      </c>
      <c r="R78" s="460" t="s">
        <v>403</v>
      </c>
      <c r="S78" s="155" t="s">
        <v>463</v>
      </c>
    </row>
    <row r="79" spans="1:19" ht="21.6" customHeight="1" thickBot="1" x14ac:dyDescent="0.5">
      <c r="B79" s="1757" t="s">
        <v>71</v>
      </c>
      <c r="C79" s="1758"/>
      <c r="D79" s="1758"/>
      <c r="E79" s="1758"/>
      <c r="F79" s="1759"/>
      <c r="G79" s="1118"/>
      <c r="H79" s="130"/>
      <c r="I79" s="131"/>
      <c r="J79" s="1123"/>
      <c r="K79" s="1124"/>
      <c r="L79" s="1124"/>
      <c r="M79" s="1118"/>
      <c r="N79" s="833">
        <f>(N80+N86)/2</f>
        <v>0.25253920302758764</v>
      </c>
      <c r="O79" s="834">
        <f>(O80+O86)</f>
        <v>3.2898019324741945</v>
      </c>
      <c r="P79" s="835">
        <f>O79/10.714284</f>
        <v>0.30704822949197491</v>
      </c>
      <c r="Q79" s="1120"/>
      <c r="R79" s="278"/>
      <c r="S79" s="278"/>
    </row>
    <row r="80" spans="1:19" ht="20.45" customHeight="1" thickBot="1" x14ac:dyDescent="0.5">
      <c r="B80" s="1684" t="s">
        <v>72</v>
      </c>
      <c r="C80" s="1685"/>
      <c r="D80" s="1685"/>
      <c r="E80" s="1685"/>
      <c r="F80" s="1686"/>
      <c r="G80" s="948"/>
      <c r="H80" s="132"/>
      <c r="I80" s="133"/>
      <c r="J80" s="924"/>
      <c r="K80" s="924"/>
      <c r="L80" s="924"/>
      <c r="M80" s="948"/>
      <c r="N80" s="833">
        <f>(N81+N83)/2</f>
        <v>0.41606628242074933</v>
      </c>
      <c r="O80" s="834">
        <f>(O81+O83)</f>
        <v>2.9719015417867438</v>
      </c>
      <c r="P80" s="835">
        <f>O80/7.142856</f>
        <v>0.41606628242074933</v>
      </c>
      <c r="Q80" s="1125"/>
      <c r="R80" s="255"/>
      <c r="S80" s="255"/>
    </row>
    <row r="81" spans="1:19" ht="46.5" x14ac:dyDescent="0.45">
      <c r="A81" s="16"/>
      <c r="B81" s="1760" t="s">
        <v>73</v>
      </c>
      <c r="C81" s="1691">
        <f>M5</f>
        <v>3.5714285714285716</v>
      </c>
      <c r="D81" s="926" t="s">
        <v>267</v>
      </c>
      <c r="E81" s="853">
        <f>$C$81/2</f>
        <v>1.7857142857142858</v>
      </c>
      <c r="F81" s="1054" t="s">
        <v>278</v>
      </c>
      <c r="G81" s="905">
        <f>E81/1</f>
        <v>1.7857142857142858</v>
      </c>
      <c r="H81" s="928">
        <v>31.7</v>
      </c>
      <c r="I81" s="375"/>
      <c r="J81" s="1019">
        <f>IF(I81=H81,(H81-50),H81-I81)</f>
        <v>31.7</v>
      </c>
      <c r="K81" s="909">
        <f>IF(I81&gt;=50,0,((50-I81)*(6/10)))</f>
        <v>30</v>
      </c>
      <c r="L81" s="1126">
        <f>I81+K81</f>
        <v>30</v>
      </c>
      <c r="M81" s="859" t="str">
        <f>IF(I81=0,"0%",J81/K81)</f>
        <v>0%</v>
      </c>
      <c r="N81" s="1748">
        <f>(((G81/C81)*M81)+((G82/C81)*M82))</f>
        <v>0.83213256484149867</v>
      </c>
      <c r="O81" s="1676">
        <f>IF((((G81/C81)*M81)+((G82/C81)*M82))&gt;=1,3.57148,IF((((G81/C81)*M81)+((G82/C81)*M82))&lt;=0,0, (((G81/C81)*M81)+((G82/C81)*M82))*3.571428))</f>
        <v>2.9719015417867438</v>
      </c>
      <c r="P81" s="1678">
        <f>O81/3.571428</f>
        <v>0.83213256484149867</v>
      </c>
      <c r="Q81" s="1127" t="s">
        <v>279</v>
      </c>
      <c r="R81" s="462" t="s">
        <v>375</v>
      </c>
      <c r="S81" s="447" t="s">
        <v>478</v>
      </c>
    </row>
    <row r="82" spans="1:19" ht="39.6" customHeight="1" thickBot="1" x14ac:dyDescent="0.5">
      <c r="A82" s="16"/>
      <c r="B82" s="1761"/>
      <c r="C82" s="1762"/>
      <c r="D82" s="953" t="s">
        <v>268</v>
      </c>
      <c r="E82" s="868">
        <f>$C$81/2</f>
        <v>1.7857142857142858</v>
      </c>
      <c r="F82" s="954" t="s">
        <v>74</v>
      </c>
      <c r="G82" s="919">
        <f>E82/1</f>
        <v>1.7857142857142858</v>
      </c>
      <c r="H82" s="98">
        <v>46.2</v>
      </c>
      <c r="I82" s="97">
        <v>24.4</v>
      </c>
      <c r="J82" s="1128">
        <f>IF(I82=H82,(H82-30),H82-I82)</f>
        <v>21.800000000000004</v>
      </c>
      <c r="K82" s="921">
        <f>IF(I82&gt;=30,0,((30-I82)*(6/10)))</f>
        <v>3.3600000000000008</v>
      </c>
      <c r="L82" s="1129">
        <f t="shared" ref="L82" si="29">K82+I82</f>
        <v>27.759999999999998</v>
      </c>
      <c r="M82" s="874">
        <f>IF(I82&gt;=30,(1+(H82-30)/30),(H82/L82))</f>
        <v>1.6642651296829973</v>
      </c>
      <c r="N82" s="1750"/>
      <c r="O82" s="1677"/>
      <c r="P82" s="1679"/>
      <c r="Q82" s="1130" t="s">
        <v>282</v>
      </c>
      <c r="R82" s="463" t="s">
        <v>375</v>
      </c>
      <c r="S82" s="440"/>
    </row>
    <row r="83" spans="1:19" ht="60" customHeight="1" thickBot="1" x14ac:dyDescent="0.5">
      <c r="A83" s="16"/>
      <c r="B83" s="1774" t="s">
        <v>142</v>
      </c>
      <c r="C83" s="1776">
        <f>M5</f>
        <v>3.5714285714285716</v>
      </c>
      <c r="D83" s="1131" t="s">
        <v>145</v>
      </c>
      <c r="E83" s="853">
        <f>$C$81/3</f>
        <v>1.1904761904761905</v>
      </c>
      <c r="F83" s="926" t="s">
        <v>143</v>
      </c>
      <c r="G83" s="853">
        <f>E83/1</f>
        <v>1.1904761904761905</v>
      </c>
      <c r="H83" s="362"/>
      <c r="I83" s="929">
        <v>31</v>
      </c>
      <c r="J83" s="1132">
        <f>I83-H83</f>
        <v>31</v>
      </c>
      <c r="K83" s="1008">
        <f>(0.2*I83)*(6/10)</f>
        <v>3.7199999999999998</v>
      </c>
      <c r="L83" s="1133">
        <f>I83-K83</f>
        <v>27.28</v>
      </c>
      <c r="M83" s="887" t="str">
        <f>IF(H83=0,"0%",J83/K83)</f>
        <v>0%</v>
      </c>
      <c r="N83" s="1779">
        <f>(((G83/C83)*M83)+((G84/C83)*M84)+((G85/C83)*M85))</f>
        <v>0</v>
      </c>
      <c r="O83" s="1702">
        <f>IF((((G83/C83)*M83)+((G84/C83)*M84)+((G85/C83)*M85))&gt;=1,3.571428,IF((((G83/C83)*M83)+((G84/C83)*M84)+((G85/C83)*M85))&lt;=0,0,(((G83/C83)*M83)+((G84/C83)*M84)+((G85/C83)*M85))*3.571428))</f>
        <v>0</v>
      </c>
      <c r="P83" s="1678">
        <f>O83/3.571428</f>
        <v>0</v>
      </c>
      <c r="Q83" s="1134" t="s">
        <v>184</v>
      </c>
      <c r="R83" s="464" t="s">
        <v>375</v>
      </c>
      <c r="S83" s="447" t="s">
        <v>473</v>
      </c>
    </row>
    <row r="84" spans="1:19" ht="45" customHeight="1" thickBot="1" x14ac:dyDescent="0.5">
      <c r="A84" s="16"/>
      <c r="B84" s="1774"/>
      <c r="C84" s="1777"/>
      <c r="D84" s="1135" t="s">
        <v>146</v>
      </c>
      <c r="E84" s="934">
        <f t="shared" ref="E84:E85" si="30">$C$81/3</f>
        <v>1.1904761904761905</v>
      </c>
      <c r="F84" s="1058" t="s">
        <v>283</v>
      </c>
      <c r="G84" s="934">
        <f>E84/1</f>
        <v>1.1904761904761905</v>
      </c>
      <c r="H84" s="356"/>
      <c r="I84" s="381"/>
      <c r="J84" s="1136">
        <f>I84-H84</f>
        <v>0</v>
      </c>
      <c r="K84" s="1008">
        <f>(0.5*I84)*(6/10)</f>
        <v>0</v>
      </c>
      <c r="L84" s="1137">
        <f>I84-K84</f>
        <v>0</v>
      </c>
      <c r="M84" s="916" t="str">
        <f>IF(H84=0,"0%",J84/K84)</f>
        <v>0%</v>
      </c>
      <c r="N84" s="1780"/>
      <c r="O84" s="1700"/>
      <c r="P84" s="1703"/>
      <c r="Q84" s="1138" t="s">
        <v>185</v>
      </c>
      <c r="R84" s="465"/>
      <c r="S84" s="155" t="s">
        <v>463</v>
      </c>
    </row>
    <row r="85" spans="1:19" ht="38.450000000000003" customHeight="1" thickBot="1" x14ac:dyDescent="0.5">
      <c r="A85" s="16"/>
      <c r="B85" s="1775"/>
      <c r="C85" s="1778"/>
      <c r="D85" s="1139" t="s">
        <v>147</v>
      </c>
      <c r="E85" s="868">
        <f t="shared" si="30"/>
        <v>1.1904761904761905</v>
      </c>
      <c r="F85" s="954" t="s">
        <v>144</v>
      </c>
      <c r="G85" s="868">
        <f>E85/1</f>
        <v>1.1904761904761905</v>
      </c>
      <c r="H85" s="98">
        <v>78.099999999999994</v>
      </c>
      <c r="I85" s="376"/>
      <c r="J85" s="1140">
        <f>H85-I85</f>
        <v>78.099999999999994</v>
      </c>
      <c r="K85" s="1141">
        <f>(100-I85)*(6/10)</f>
        <v>60</v>
      </c>
      <c r="L85" s="1142">
        <f>I85+K85</f>
        <v>60</v>
      </c>
      <c r="M85" s="874" t="str">
        <f>IF(I85=0,"0%",J85/K85)</f>
        <v>0%</v>
      </c>
      <c r="N85" s="1781"/>
      <c r="O85" s="1701"/>
      <c r="P85" s="1679"/>
      <c r="Q85" s="1143" t="s">
        <v>284</v>
      </c>
      <c r="R85" s="466" t="s">
        <v>485</v>
      </c>
      <c r="S85" s="447" t="s">
        <v>478</v>
      </c>
    </row>
    <row r="86" spans="1:19" ht="20.45" customHeight="1" thickBot="1" x14ac:dyDescent="0.5">
      <c r="B86" s="1766" t="s">
        <v>75</v>
      </c>
      <c r="C86" s="1767"/>
      <c r="D86" s="1767"/>
      <c r="E86" s="1767"/>
      <c r="F86" s="1768"/>
      <c r="G86" s="1094"/>
      <c r="H86" s="134"/>
      <c r="I86" s="135"/>
      <c r="J86" s="1144"/>
      <c r="K86" s="1145"/>
      <c r="L86" s="1145"/>
      <c r="M86" s="925"/>
      <c r="N86" s="833">
        <f>N87</f>
        <v>8.9012123634425955E-2</v>
      </c>
      <c r="O86" s="834">
        <f>O87</f>
        <v>0.31790039068745063</v>
      </c>
      <c r="P86" s="835">
        <f>O86/3.571428</f>
        <v>8.9012123634425955E-2</v>
      </c>
      <c r="Q86" s="1016"/>
      <c r="R86" s="269"/>
      <c r="S86" s="269"/>
    </row>
    <row r="87" spans="1:19" ht="27.6" customHeight="1" thickBot="1" x14ac:dyDescent="0.5">
      <c r="A87" s="1710">
        <v>24</v>
      </c>
      <c r="B87" s="1769" t="s">
        <v>76</v>
      </c>
      <c r="C87" s="1771">
        <f>M5</f>
        <v>3.5714285714285716</v>
      </c>
      <c r="D87" s="1004" t="s">
        <v>159</v>
      </c>
      <c r="E87" s="1005">
        <f>($C$87/3)</f>
        <v>1.1904761904761905</v>
      </c>
      <c r="F87" s="1146" t="s">
        <v>285</v>
      </c>
      <c r="G87" s="1147">
        <f>E87/1</f>
        <v>1.1904761904761905</v>
      </c>
      <c r="H87" s="1148">
        <v>48.5</v>
      </c>
      <c r="I87" s="1149">
        <v>41.7</v>
      </c>
      <c r="J87" s="1150">
        <f>I87-H87</f>
        <v>-6.7999999999999972</v>
      </c>
      <c r="K87" s="1151">
        <f>(0.25*I87)*(6/10)</f>
        <v>6.2549999999999999</v>
      </c>
      <c r="L87" s="1152">
        <f>I87-K87</f>
        <v>35.445</v>
      </c>
      <c r="M87" s="859">
        <f>IF(K87&lt;&gt;0,J87/K87,"0%")</f>
        <v>-1.0871302957633888</v>
      </c>
      <c r="N87" s="1716">
        <f>(((G87/C87)*M87)+((G88/C87)*M88)+((G89/C87)*M89)+((G90/C87)*M90)+((G91/C87)*M91))</f>
        <v>8.9012123634425955E-2</v>
      </c>
      <c r="O87" s="1702">
        <f>IF((((G87/C87)*M87)+((G88/C87)*M88)+((G89/C87)*M89)+((G90/C87)*M90)+((G91/C87)*M91))&gt;=1,3.571428,IF((((G87/C87)*M87)+((G88/C87)*M88)+((G89/C87)*M89)+((G90/C87)*M90)+((G91/C87)*M91))&lt;=0,0,((((G87/C87)*M87)+((G88/C87)*M88)+((G89/C87)*M89)+((G90/C87)*M90)+((G91/C87)*M91))*3.571428)))</f>
        <v>0.31790039068745063</v>
      </c>
      <c r="P87" s="1678">
        <f>O87/3.571428</f>
        <v>8.9012123634425955E-2</v>
      </c>
      <c r="Q87" s="1153" t="s">
        <v>186</v>
      </c>
      <c r="R87" s="467" t="s">
        <v>409</v>
      </c>
      <c r="S87" s="468"/>
    </row>
    <row r="88" spans="1:19" ht="25.8" customHeight="1" x14ac:dyDescent="0.45">
      <c r="A88" s="1710"/>
      <c r="B88" s="1769"/>
      <c r="C88" s="1772"/>
      <c r="D88" s="1782" t="s">
        <v>160</v>
      </c>
      <c r="E88" s="1783">
        <f>C87/3</f>
        <v>1.1904761904761905</v>
      </c>
      <c r="F88" s="935" t="s">
        <v>77</v>
      </c>
      <c r="G88" s="1154">
        <f>$E$88/3</f>
        <v>0.3968253968253968</v>
      </c>
      <c r="H88" s="101">
        <v>3</v>
      </c>
      <c r="I88" s="366"/>
      <c r="J88" s="1155">
        <f>I88-H88</f>
        <v>-3</v>
      </c>
      <c r="K88" s="1156">
        <f>I88*(6/10)</f>
        <v>0</v>
      </c>
      <c r="L88" s="1157">
        <f>I88-K88</f>
        <v>0</v>
      </c>
      <c r="M88" s="916" t="str">
        <f>IF(K88&lt;&gt;0,J88/K88,"0%")</f>
        <v>0%</v>
      </c>
      <c r="N88" s="1697"/>
      <c r="O88" s="1700"/>
      <c r="P88" s="1703"/>
      <c r="Q88" s="1158" t="s">
        <v>187</v>
      </c>
      <c r="R88" s="469" t="s">
        <v>410</v>
      </c>
      <c r="S88" s="447" t="s">
        <v>478</v>
      </c>
    </row>
    <row r="89" spans="1:19" ht="59.65" customHeight="1" thickBot="1" x14ac:dyDescent="0.5">
      <c r="A89" s="1710"/>
      <c r="B89" s="1769"/>
      <c r="C89" s="1772"/>
      <c r="D89" s="1782"/>
      <c r="E89" s="1783"/>
      <c r="F89" s="935" t="s">
        <v>78</v>
      </c>
      <c r="G89" s="1154">
        <f>$E$88/3</f>
        <v>0.3968253968253968</v>
      </c>
      <c r="H89" s="101">
        <v>0.1</v>
      </c>
      <c r="I89" s="104">
        <v>1.6</v>
      </c>
      <c r="J89" s="1155">
        <f>I89-H89</f>
        <v>1.5</v>
      </c>
      <c r="K89" s="1156">
        <f>I89*(6/10)</f>
        <v>0.96</v>
      </c>
      <c r="L89" s="1157">
        <f>I89-K89</f>
        <v>0.64000000000000012</v>
      </c>
      <c r="M89" s="916">
        <f>IF(K89&lt;&gt;0,J89/K89,"0%")</f>
        <v>1.5625</v>
      </c>
      <c r="N89" s="1697"/>
      <c r="O89" s="1700"/>
      <c r="P89" s="1703"/>
      <c r="Q89" s="1158" t="s">
        <v>188</v>
      </c>
      <c r="R89" s="469" t="s">
        <v>388</v>
      </c>
      <c r="S89" s="380"/>
    </row>
    <row r="90" spans="1:19" ht="26.45" customHeight="1" thickBot="1" x14ac:dyDescent="0.5">
      <c r="A90" s="1710"/>
      <c r="B90" s="1769"/>
      <c r="C90" s="1772"/>
      <c r="D90" s="1782"/>
      <c r="E90" s="1783"/>
      <c r="F90" s="935" t="s">
        <v>79</v>
      </c>
      <c r="G90" s="1154">
        <f>$E$88/3</f>
        <v>0.3968253968253968</v>
      </c>
      <c r="H90" s="367"/>
      <c r="I90" s="368"/>
      <c r="J90" s="1155">
        <f>I90-H90</f>
        <v>0</v>
      </c>
      <c r="K90" s="1159">
        <f>(I90)*(6/10)</f>
        <v>0</v>
      </c>
      <c r="L90" s="1160">
        <f>I90-K90</f>
        <v>0</v>
      </c>
      <c r="M90" s="874" t="str">
        <f>IF(H90=0,"0%",J90/K90)</f>
        <v>0%</v>
      </c>
      <c r="N90" s="1697"/>
      <c r="O90" s="1700"/>
      <c r="P90" s="1703"/>
      <c r="Q90" s="1161" t="s">
        <v>189</v>
      </c>
      <c r="R90" s="469"/>
      <c r="S90" s="155" t="s">
        <v>463</v>
      </c>
    </row>
    <row r="91" spans="1:19" ht="40.799999999999997" customHeight="1" thickBot="1" x14ac:dyDescent="0.5">
      <c r="A91" s="1710"/>
      <c r="B91" s="1770"/>
      <c r="C91" s="1773"/>
      <c r="D91" s="918" t="s">
        <v>161</v>
      </c>
      <c r="E91" s="868">
        <f>$C$87/3</f>
        <v>1.1904761904761905</v>
      </c>
      <c r="F91" s="1162" t="s">
        <v>80</v>
      </c>
      <c r="G91" s="1163">
        <f>E91/1</f>
        <v>1.1904761904761905</v>
      </c>
      <c r="H91" s="100">
        <v>50</v>
      </c>
      <c r="I91" s="107">
        <v>0</v>
      </c>
      <c r="J91" s="1164">
        <f>H91-I91</f>
        <v>50</v>
      </c>
      <c r="K91" s="1141">
        <f>(100-I91)*(6/10)</f>
        <v>60</v>
      </c>
      <c r="L91" s="1165">
        <f>I91+K91</f>
        <v>60</v>
      </c>
      <c r="M91" s="874">
        <f>IF(I91&gt;=60,(1+(H91-60)/60),(H91/L91))</f>
        <v>0.83333333333333337</v>
      </c>
      <c r="N91" s="1698"/>
      <c r="O91" s="1701"/>
      <c r="P91" s="1679"/>
      <c r="Q91" s="1166" t="s">
        <v>95</v>
      </c>
      <c r="R91" s="470"/>
      <c r="S91" s="482" t="s">
        <v>412</v>
      </c>
    </row>
    <row r="92" spans="1:19" ht="14.65" thickBot="1" x14ac:dyDescent="0.5">
      <c r="B92" s="1535" t="s">
        <v>81</v>
      </c>
      <c r="C92" s="1536"/>
      <c r="D92" s="1536"/>
      <c r="E92" s="1536"/>
      <c r="F92" s="1537"/>
      <c r="G92" s="11"/>
      <c r="H92" s="130"/>
      <c r="I92" s="131"/>
      <c r="J92" s="175"/>
      <c r="K92" s="11"/>
      <c r="L92" s="11"/>
      <c r="M92" s="173"/>
      <c r="N92" s="833">
        <f>(N93+N97)/2</f>
        <v>0.34274598393574296</v>
      </c>
      <c r="O92" s="834">
        <f>(O93+O97)</f>
        <v>2.5826516234939758</v>
      </c>
      <c r="P92" s="835">
        <f>O92/14.285712</f>
        <v>0.18078564257028112</v>
      </c>
      <c r="Q92" s="1029"/>
      <c r="R92" s="268"/>
      <c r="S92" s="278"/>
    </row>
    <row r="93" spans="1:19" ht="20.45" customHeight="1" thickBot="1" x14ac:dyDescent="0.5">
      <c r="B93" s="1684" t="s">
        <v>82</v>
      </c>
      <c r="C93" s="1685"/>
      <c r="D93" s="1685"/>
      <c r="E93" s="1685"/>
      <c r="F93" s="1686"/>
      <c r="G93" s="923"/>
      <c r="H93" s="120"/>
      <c r="I93" s="121"/>
      <c r="J93" s="947"/>
      <c r="K93" s="947"/>
      <c r="L93" s="947"/>
      <c r="M93" s="948"/>
      <c r="N93" s="833">
        <f>N94</f>
        <v>0.66666666666666663</v>
      </c>
      <c r="O93" s="834">
        <f>O94</f>
        <v>2.3809519999999997</v>
      </c>
      <c r="P93" s="835">
        <f>O93/3.571428</f>
        <v>0.66666666666666663</v>
      </c>
      <c r="Q93" s="1017"/>
      <c r="R93" s="255"/>
      <c r="S93" s="269"/>
    </row>
    <row r="94" spans="1:19" ht="34.799999999999997" customHeight="1" thickBot="1" x14ac:dyDescent="0.5">
      <c r="A94" s="1669">
        <v>25</v>
      </c>
      <c r="B94" s="1687" t="s">
        <v>83</v>
      </c>
      <c r="C94" s="1784">
        <f>M5</f>
        <v>3.5714285714285716</v>
      </c>
      <c r="D94" s="1727" t="s">
        <v>214</v>
      </c>
      <c r="E94" s="1018">
        <f>$C$94/3</f>
        <v>1.1904761904761905</v>
      </c>
      <c r="F94" s="926" t="s">
        <v>269</v>
      </c>
      <c r="G94" s="1167">
        <f>E94/1</f>
        <v>1.1904761904761905</v>
      </c>
      <c r="H94" s="906">
        <v>100</v>
      </c>
      <c r="I94" s="1213">
        <v>100</v>
      </c>
      <c r="J94" s="1168">
        <f>H94-I94</f>
        <v>0</v>
      </c>
      <c r="K94" s="1169">
        <f>(100-I94)*(6/10)</f>
        <v>0</v>
      </c>
      <c r="L94" s="1170">
        <f>I94+K94</f>
        <v>100</v>
      </c>
      <c r="M94" s="859" t="str">
        <f>IF(K94&lt;&gt;0,J94/K94,"100%")</f>
        <v>100%</v>
      </c>
      <c r="N94" s="1748">
        <f>(((G94/C94)*M94)+((G95/C94)*M95)+((G96/C94)*M96))</f>
        <v>0.66666666666666663</v>
      </c>
      <c r="O94" s="1702">
        <f>IF((((G94/C94)*M94)+((G95/C94)*M95)+((G96/C94)*M96))&gt;=1,3.571428,IF((((G94/C94)*M94)+((G95/C94)*M95)+((G96/C94)*M96))&lt;=0,0,(((G94/C94)*M94)+((G95/C94)*M95)+((G96/C94)*M96))*3.571428))</f>
        <v>2.3809519999999997</v>
      </c>
      <c r="P94" s="1678">
        <f>O94/3.571428</f>
        <v>0.66666666666666663</v>
      </c>
      <c r="Q94" s="1171" t="s">
        <v>190</v>
      </c>
      <c r="R94" s="236"/>
      <c r="S94" s="236"/>
    </row>
    <row r="95" spans="1:19" ht="39.6" customHeight="1" x14ac:dyDescent="0.45">
      <c r="A95" s="1669"/>
      <c r="B95" s="1688"/>
      <c r="C95" s="1785"/>
      <c r="D95" s="1721"/>
      <c r="E95" s="1172">
        <f t="shared" ref="E95:E96" si="31">$C$94/3</f>
        <v>1.1904761904761905</v>
      </c>
      <c r="F95" s="1058" t="s">
        <v>270</v>
      </c>
      <c r="G95" s="1154">
        <f>E95/1</f>
        <v>1.1904761904761905</v>
      </c>
      <c r="H95" s="96">
        <v>1.3</v>
      </c>
      <c r="I95" s="386"/>
      <c r="J95" s="1155">
        <f>IF(AND(I95&gt;1,(H95-I95=0)),(H95-1),(H95-I95))</f>
        <v>1.3</v>
      </c>
      <c r="K95" s="997">
        <f>IF(AND(I95&gt;=1,H95&gt;=1),"0",((1-I95)*(6/10)))</f>
        <v>0.6</v>
      </c>
      <c r="L95" s="1173">
        <f t="shared" ref="L95:L96" si="32">I95+K95</f>
        <v>0.6</v>
      </c>
      <c r="M95" s="916" t="str">
        <f>IF(I95=0,"0%",J95/K95)</f>
        <v>0%</v>
      </c>
      <c r="N95" s="1749"/>
      <c r="O95" s="1700"/>
      <c r="P95" s="1703"/>
      <c r="Q95" s="1174" t="s">
        <v>191</v>
      </c>
      <c r="R95" s="253"/>
      <c r="S95" s="447" t="s">
        <v>478</v>
      </c>
    </row>
    <row r="96" spans="1:19" ht="41.45" customHeight="1" thickBot="1" x14ac:dyDescent="0.5">
      <c r="A96" s="1669"/>
      <c r="B96" s="1739"/>
      <c r="C96" s="1786"/>
      <c r="D96" s="1728"/>
      <c r="E96" s="1021">
        <f t="shared" si="31"/>
        <v>1.1904761904761905</v>
      </c>
      <c r="F96" s="953" t="s">
        <v>84</v>
      </c>
      <c r="G96" s="1163">
        <f>E96/1</f>
        <v>1.1904761904761905</v>
      </c>
      <c r="H96" s="98">
        <v>100</v>
      </c>
      <c r="I96" s="1214">
        <v>100</v>
      </c>
      <c r="J96" s="1164">
        <f>H96-I96</f>
        <v>0</v>
      </c>
      <c r="K96" s="1141">
        <f>(100-I96)*(6/10)</f>
        <v>0</v>
      </c>
      <c r="L96" s="1165">
        <f t="shared" si="32"/>
        <v>100</v>
      </c>
      <c r="M96" s="874" t="str">
        <f>IF(K96&lt;&gt;0,J96/K96,"100%")</f>
        <v>100%</v>
      </c>
      <c r="N96" s="1750"/>
      <c r="O96" s="1701"/>
      <c r="P96" s="1679"/>
      <c r="Q96" s="1175" t="s">
        <v>95</v>
      </c>
      <c r="R96" s="265"/>
      <c r="S96" s="265"/>
    </row>
    <row r="97" spans="1:19" ht="18" customHeight="1" thickBot="1" x14ac:dyDescent="0.5">
      <c r="B97" s="1787" t="s">
        <v>85</v>
      </c>
      <c r="C97" s="1788"/>
      <c r="D97" s="1788"/>
      <c r="E97" s="1788"/>
      <c r="F97" s="1789"/>
      <c r="G97" s="1176"/>
      <c r="H97" s="109"/>
      <c r="I97" s="110"/>
      <c r="J97" s="1176"/>
      <c r="K97" s="1177"/>
      <c r="L97" s="1177"/>
      <c r="M97" s="1178"/>
      <c r="N97" s="1179">
        <f>(N98+N99+N100)/3</f>
        <v>1.8825301204819286E-2</v>
      </c>
      <c r="O97" s="1180">
        <f>(O98+O99+O100)</f>
        <v>0.20169962349397599</v>
      </c>
      <c r="P97" s="835">
        <f>O97/10.714284</f>
        <v>1.8825301204819286E-2</v>
      </c>
      <c r="Q97" s="1181"/>
      <c r="R97" s="255"/>
      <c r="S97" s="255"/>
    </row>
    <row r="98" spans="1:19" ht="29.45" customHeight="1" thickBot="1" x14ac:dyDescent="0.5">
      <c r="A98" s="16">
        <v>26</v>
      </c>
      <c r="B98" s="961" t="s">
        <v>86</v>
      </c>
      <c r="C98" s="962">
        <f>$M$5</f>
        <v>3.5714285714285716</v>
      </c>
      <c r="D98" s="961" t="s">
        <v>215</v>
      </c>
      <c r="E98" s="962">
        <f>C98/1</f>
        <v>3.5714285714285716</v>
      </c>
      <c r="F98" s="1095" t="s">
        <v>291</v>
      </c>
      <c r="G98" s="962">
        <f>E98/1</f>
        <v>3.5714285714285716</v>
      </c>
      <c r="H98" s="359"/>
      <c r="I98" s="395"/>
      <c r="J98" s="1182">
        <f>IF(I98=H98,(H98-10),H98-I98)</f>
        <v>-10</v>
      </c>
      <c r="K98" s="982">
        <f>IF(I98&gt;=10,0,((10-I98)*(6/10)))</f>
        <v>6</v>
      </c>
      <c r="L98" s="1090">
        <f>I98+K98</f>
        <v>6</v>
      </c>
      <c r="M98" s="874" t="str">
        <f>IF(H98=0,"0%",J98/K98)</f>
        <v>0%</v>
      </c>
      <c r="N98" s="1091">
        <f>((G98/C98)*M98)</f>
        <v>0</v>
      </c>
      <c r="O98" s="970">
        <f>IF(((G98/C98)*M98)&gt;=1,3.571428,IF(((G98/C98)*M98)&lt;=0,0,((G98/C98)*M98)*3.571428))</f>
        <v>0</v>
      </c>
      <c r="P98" s="835">
        <f>O98/3.571428</f>
        <v>0</v>
      </c>
      <c r="Q98" s="1183" t="s">
        <v>95</v>
      </c>
      <c r="R98" s="452"/>
      <c r="S98" s="155" t="s">
        <v>463</v>
      </c>
    </row>
    <row r="99" spans="1:19" ht="35.25" thickBot="1" x14ac:dyDescent="0.5">
      <c r="A99" s="16">
        <v>27</v>
      </c>
      <c r="B99" s="961" t="s">
        <v>87</v>
      </c>
      <c r="C99" s="962">
        <f>$M$5</f>
        <v>3.5714285714285716</v>
      </c>
      <c r="D99" s="961" t="s">
        <v>216</v>
      </c>
      <c r="E99" s="962">
        <f>C99/1</f>
        <v>3.5714285714285716</v>
      </c>
      <c r="F99" s="1095" t="s">
        <v>271</v>
      </c>
      <c r="G99" s="962">
        <f>E99/1</f>
        <v>3.5714285714285716</v>
      </c>
      <c r="H99" s="1114">
        <v>23.68</v>
      </c>
      <c r="I99" s="1088">
        <v>21.88</v>
      </c>
      <c r="J99" s="1182">
        <f>IF(I99=H99,(H99-75),H99-I99)</f>
        <v>1.8000000000000007</v>
      </c>
      <c r="K99" s="982">
        <f>IF(I99&gt;=75,0,((75-I99)*(6/10)))</f>
        <v>31.872</v>
      </c>
      <c r="L99" s="1115">
        <f>I99+K99</f>
        <v>53.751999999999995</v>
      </c>
      <c r="M99" s="1184">
        <f>IF(I99&gt;=75,(1+(H99-75)/75),(J99/K99))</f>
        <v>5.6475903614457854E-2</v>
      </c>
      <c r="N99" s="1091">
        <f>((G99/C99)*M99)</f>
        <v>5.6475903614457854E-2</v>
      </c>
      <c r="O99" s="970">
        <f>IF(((G99/C99)*M99)&gt;=1,3.571428,IF(((G99/C99)*M99)&lt;=0,0,((G99/C99)*M99)*3.571428))</f>
        <v>0.20169962349397599</v>
      </c>
      <c r="P99" s="835">
        <f>O99/3.571428</f>
        <v>5.6475903614457854E-2</v>
      </c>
      <c r="Q99" s="1183" t="s">
        <v>192</v>
      </c>
      <c r="R99" s="452" t="s">
        <v>411</v>
      </c>
      <c r="S99" s="460"/>
    </row>
    <row r="100" spans="1:19" ht="30.75" thickBot="1" x14ac:dyDescent="0.5">
      <c r="A100" s="1669">
        <v>28</v>
      </c>
      <c r="B100" s="1790" t="s">
        <v>88</v>
      </c>
      <c r="C100" s="1792">
        <f>M5</f>
        <v>3.5714285714285716</v>
      </c>
      <c r="D100" s="1790" t="s">
        <v>217</v>
      </c>
      <c r="E100" s="1792">
        <f>C100/1</f>
        <v>3.5714285714285716</v>
      </c>
      <c r="F100" s="1054" t="s">
        <v>89</v>
      </c>
      <c r="G100" s="853">
        <f>$E$100/2</f>
        <v>1.7857142857142858</v>
      </c>
      <c r="H100" s="362"/>
      <c r="I100" s="375"/>
      <c r="J100" s="1185">
        <f>IF(I100=H100,(25-H100),I100-H100)</f>
        <v>25</v>
      </c>
      <c r="K100" s="1035">
        <f>IF(I100&lt;=25,0,((0.25*I100)*(6/10)))</f>
        <v>0</v>
      </c>
      <c r="L100" s="1186">
        <f>I100-K100</f>
        <v>0</v>
      </c>
      <c r="M100" s="859" t="str">
        <f>IF(H100=0,"0%",J100/K100)</f>
        <v>0%</v>
      </c>
      <c r="N100" s="1795">
        <f>((G100/$C$100)*M100)+((G101/$C$100)*M101)</f>
        <v>0</v>
      </c>
      <c r="O100" s="1676">
        <f>IF((((G100/C100)*M100)+((G101/C100)*M101))&gt;=1,3.57148,IF((((G100/C100)*M100)+((G101/C100)*M101))&lt;=0,0, (((G100/C100)*M100)+((G101/C100)*M101))*3.571428))</f>
        <v>0</v>
      </c>
      <c r="P100" s="1678">
        <f>O100/3.571428</f>
        <v>0</v>
      </c>
      <c r="Q100" s="1187" t="s">
        <v>193</v>
      </c>
      <c r="R100" s="446"/>
      <c r="S100" s="155" t="s">
        <v>463</v>
      </c>
    </row>
    <row r="101" spans="1:19" ht="38.450000000000003" customHeight="1" thickBot="1" x14ac:dyDescent="0.5">
      <c r="A101" s="1669"/>
      <c r="B101" s="1791"/>
      <c r="C101" s="1793"/>
      <c r="D101" s="1791"/>
      <c r="E101" s="1794"/>
      <c r="F101" s="953" t="s">
        <v>90</v>
      </c>
      <c r="G101" s="868">
        <f>$E$100/2</f>
        <v>1.7857142857142858</v>
      </c>
      <c r="H101" s="360"/>
      <c r="I101" s="376"/>
      <c r="J101" s="1188">
        <f>IF(I101=H101,(H101-25),H101-I101)</f>
        <v>-25</v>
      </c>
      <c r="K101" s="921">
        <f>IF(I101&gt;=25,0,((25-I101)*(6/10)))</f>
        <v>15</v>
      </c>
      <c r="L101" s="1189">
        <f t="shared" ref="L101" si="33">K101+I101</f>
        <v>15</v>
      </c>
      <c r="M101" s="874" t="str">
        <f>IF(H101=0,"0%",J101/K101)</f>
        <v>0%</v>
      </c>
      <c r="N101" s="1796"/>
      <c r="O101" s="1677"/>
      <c r="P101" s="1679"/>
      <c r="Q101" s="1190" t="s">
        <v>95</v>
      </c>
      <c r="R101" s="471"/>
      <c r="S101" s="155" t="s">
        <v>463</v>
      </c>
    </row>
    <row r="102" spans="1:19" ht="34.25" customHeight="1" thickBot="1" x14ac:dyDescent="0.5">
      <c r="B102" s="1191" t="s">
        <v>194</v>
      </c>
      <c r="C102" s="1192">
        <f>C11+C13+C15+C19+C24+C33+C34+C35+C36+C38+C41+C44+C48+C51+C53+C61+C68+C71+C73+C75+C78+C81+C83+C87+C94+C98+C99+C100</f>
        <v>99.999999999999972</v>
      </c>
      <c r="D102" s="1193"/>
      <c r="E102" s="1192">
        <f>E11+E12+E13+E14+E15+E19+E20+E21+E22+E24+E25+E28+E31+E33+E34+E35+E36+E38+E39+E41+E42+E44+E45+E48+E49++E51+E53+E54+E55+E56+E57+E61+E62+E63+E64+E68+E71+E73+E75+E78+E81++E82+E83+E84+E85+E87+E88+E91+E94+E95+E96+E98+E99+E100</f>
        <v>100.00714285714285</v>
      </c>
      <c r="F102" s="1194"/>
      <c r="G102" s="1192">
        <f>G11+G12+G13+G14+G15+G16+G17+G19+G20+G21+G22+G24+G25+G26+G27+G28+G29+G30+G31+G33+G34+G35+G36+G38+G39+G41+G42+G44+G45+G48+G49+G51+G53+G54+G55+G56+G57+G58+G61+G62+G63+G64+G65+G66+G68+G71+G73+G75+G78+G81+G82+G83+G84+G85+G87+G88+G89+G90+G91+G94+G95+G96+G98+G99+G100+G101</f>
        <v>100.00714285714285</v>
      </c>
      <c r="H102" s="1195"/>
      <c r="I102" s="1196"/>
      <c r="J102" s="1195"/>
      <c r="K102" s="1197"/>
      <c r="L102" s="1194"/>
      <c r="M102" s="1198"/>
      <c r="N102" s="1199"/>
      <c r="O102" s="1200"/>
      <c r="P102" s="1200"/>
      <c r="Q102" s="1201"/>
      <c r="R102" s="17"/>
      <c r="S102" s="18"/>
    </row>
    <row r="104" spans="1:19" ht="15.75" x14ac:dyDescent="0.5">
      <c r="B104" s="19"/>
    </row>
    <row r="107" spans="1:19" ht="15.75" x14ac:dyDescent="0.5">
      <c r="B107" s="19"/>
    </row>
    <row r="108" spans="1:19" x14ac:dyDescent="0.45">
      <c r="B108" s="20"/>
    </row>
    <row r="109" spans="1:19" x14ac:dyDescent="0.45">
      <c r="B109" s="20"/>
    </row>
    <row r="111" spans="1:19" x14ac:dyDescent="0.45">
      <c r="E111"/>
      <c r="F111" s="1202" t="s">
        <v>196</v>
      </c>
    </row>
    <row r="112" spans="1:19" x14ac:dyDescent="0.45">
      <c r="E112" s="1203">
        <v>1</v>
      </c>
      <c r="F112" s="1203" t="s">
        <v>197</v>
      </c>
    </row>
    <row r="113" spans="5:6" x14ac:dyDescent="0.45">
      <c r="E113" s="1203">
        <v>2</v>
      </c>
      <c r="F113" s="1203" t="s">
        <v>227</v>
      </c>
    </row>
    <row r="114" spans="5:6" x14ac:dyDescent="0.45">
      <c r="E114" s="1203">
        <v>3</v>
      </c>
      <c r="F114" s="1203" t="s">
        <v>228</v>
      </c>
    </row>
    <row r="115" spans="5:6" x14ac:dyDescent="0.45">
      <c r="E115" s="1203">
        <v>4</v>
      </c>
      <c r="F115" s="1203" t="s">
        <v>229</v>
      </c>
    </row>
    <row r="116" spans="5:6" x14ac:dyDescent="0.45">
      <c r="E116" s="1203">
        <v>5</v>
      </c>
      <c r="F116" s="1203" t="s">
        <v>198</v>
      </c>
    </row>
    <row r="117" spans="5:6" x14ac:dyDescent="0.45">
      <c r="E117" s="1203">
        <v>6</v>
      </c>
      <c r="F117" s="1203" t="s">
        <v>230</v>
      </c>
    </row>
    <row r="118" spans="5:6" x14ac:dyDescent="0.45">
      <c r="E118" s="1203">
        <v>7</v>
      </c>
      <c r="F118" s="1203" t="s">
        <v>231</v>
      </c>
    </row>
    <row r="119" spans="5:6" x14ac:dyDescent="0.45">
      <c r="E119" s="1203">
        <v>8</v>
      </c>
      <c r="F119" s="1203" t="s">
        <v>199</v>
      </c>
    </row>
    <row r="120" spans="5:6" x14ac:dyDescent="0.45">
      <c r="E120" s="1203">
        <v>9</v>
      </c>
      <c r="F120" s="1203" t="s">
        <v>200</v>
      </c>
    </row>
    <row r="121" spans="5:6" x14ac:dyDescent="0.45">
      <c r="E121" s="1203">
        <v>10</v>
      </c>
      <c r="F121" s="1203" t="s">
        <v>201</v>
      </c>
    </row>
    <row r="122" spans="5:6" x14ac:dyDescent="0.45">
      <c r="E122" s="1203">
        <v>11</v>
      </c>
      <c r="F122" s="1203" t="s">
        <v>232</v>
      </c>
    </row>
    <row r="123" spans="5:6" x14ac:dyDescent="0.45">
      <c r="E123" s="1203">
        <v>12</v>
      </c>
      <c r="F123" s="1203" t="s">
        <v>202</v>
      </c>
    </row>
    <row r="124" spans="5:6" x14ac:dyDescent="0.45">
      <c r="E124" s="1203">
        <f t="shared" ref="E124:E145" si="34">E123+1</f>
        <v>13</v>
      </c>
      <c r="F124" s="1203" t="s">
        <v>203</v>
      </c>
    </row>
    <row r="125" spans="5:6" x14ac:dyDescent="0.45">
      <c r="E125" s="1203">
        <v>14</v>
      </c>
      <c r="F125" s="1203" t="s">
        <v>233</v>
      </c>
    </row>
    <row r="126" spans="5:6" x14ac:dyDescent="0.45">
      <c r="E126" s="1203">
        <v>15</v>
      </c>
      <c r="F126" s="1203" t="s">
        <v>234</v>
      </c>
    </row>
    <row r="127" spans="5:6" x14ac:dyDescent="0.45">
      <c r="E127" s="1203">
        <v>16</v>
      </c>
      <c r="F127" s="1203" t="s">
        <v>213</v>
      </c>
    </row>
    <row r="128" spans="5:6" x14ac:dyDescent="0.45">
      <c r="E128" s="1203">
        <v>17</v>
      </c>
      <c r="F128" s="1203" t="s">
        <v>235</v>
      </c>
    </row>
    <row r="129" spans="5:6" x14ac:dyDescent="0.45">
      <c r="E129" s="1203">
        <v>18</v>
      </c>
      <c r="F129" s="1203" t="s">
        <v>263</v>
      </c>
    </row>
    <row r="130" spans="5:6" x14ac:dyDescent="0.45">
      <c r="E130" s="1203">
        <v>19</v>
      </c>
      <c r="F130" s="1203" t="s">
        <v>204</v>
      </c>
    </row>
    <row r="131" spans="5:6" x14ac:dyDescent="0.45">
      <c r="E131" s="1203">
        <v>20</v>
      </c>
      <c r="F131" s="1203" t="s">
        <v>236</v>
      </c>
    </row>
    <row r="132" spans="5:6" x14ac:dyDescent="0.45">
      <c r="E132" s="1203">
        <v>21</v>
      </c>
      <c r="F132" s="1203" t="s">
        <v>237</v>
      </c>
    </row>
    <row r="133" spans="5:6" x14ac:dyDescent="0.45">
      <c r="E133" s="1203">
        <v>22</v>
      </c>
      <c r="F133" s="1203" t="s">
        <v>238</v>
      </c>
    </row>
    <row r="134" spans="5:6" x14ac:dyDescent="0.45">
      <c r="E134" s="1203">
        <v>23</v>
      </c>
      <c r="F134" s="1203" t="s">
        <v>205</v>
      </c>
    </row>
    <row r="135" spans="5:6" x14ac:dyDescent="0.45">
      <c r="E135" s="1203">
        <v>24</v>
      </c>
      <c r="F135" s="1203" t="s">
        <v>239</v>
      </c>
    </row>
    <row r="136" spans="5:6" x14ac:dyDescent="0.45">
      <c r="E136" s="1203">
        <v>25</v>
      </c>
      <c r="F136" s="1203" t="s">
        <v>240</v>
      </c>
    </row>
    <row r="137" spans="5:6" x14ac:dyDescent="0.45">
      <c r="E137" s="1203">
        <v>26</v>
      </c>
      <c r="F137" s="1203" t="s">
        <v>241</v>
      </c>
    </row>
    <row r="138" spans="5:6" x14ac:dyDescent="0.45">
      <c r="E138" s="1203">
        <v>27</v>
      </c>
      <c r="F138" s="1203" t="s">
        <v>206</v>
      </c>
    </row>
    <row r="139" spans="5:6" x14ac:dyDescent="0.45">
      <c r="E139" s="1203">
        <v>28</v>
      </c>
      <c r="F139" s="1203" t="s">
        <v>242</v>
      </c>
    </row>
    <row r="140" spans="5:6" x14ac:dyDescent="0.45">
      <c r="E140" s="1203">
        <v>29</v>
      </c>
      <c r="F140" s="1203" t="s">
        <v>243</v>
      </c>
    </row>
    <row r="141" spans="5:6" x14ac:dyDescent="0.45">
      <c r="E141" s="1203">
        <v>30</v>
      </c>
      <c r="F141" s="1203" t="s">
        <v>244</v>
      </c>
    </row>
    <row r="142" spans="5:6" x14ac:dyDescent="0.45">
      <c r="E142" s="1203">
        <v>31</v>
      </c>
      <c r="F142" s="1203" t="s">
        <v>245</v>
      </c>
    </row>
    <row r="143" spans="5:6" x14ac:dyDescent="0.45">
      <c r="E143" s="1203">
        <v>32</v>
      </c>
      <c r="F143" s="1203" t="s">
        <v>246</v>
      </c>
    </row>
    <row r="144" spans="5:6" x14ac:dyDescent="0.45">
      <c r="E144" s="1203">
        <v>33</v>
      </c>
      <c r="F144" s="1203" t="s">
        <v>207</v>
      </c>
    </row>
    <row r="145" spans="5:6" x14ac:dyDescent="0.45">
      <c r="E145" s="1203">
        <f t="shared" si="34"/>
        <v>34</v>
      </c>
      <c r="F145" s="1203" t="s">
        <v>208</v>
      </c>
    </row>
    <row r="146" spans="5:6" x14ac:dyDescent="0.45">
      <c r="E146" s="1203">
        <v>35</v>
      </c>
      <c r="F146" s="1203" t="s">
        <v>247</v>
      </c>
    </row>
    <row r="147" spans="5:6" x14ac:dyDescent="0.45">
      <c r="E147" s="1203">
        <v>36</v>
      </c>
      <c r="F147" s="1203" t="s">
        <v>248</v>
      </c>
    </row>
    <row r="148" spans="5:6" x14ac:dyDescent="0.45">
      <c r="E148" s="1203">
        <v>36</v>
      </c>
      <c r="F148" s="1203" t="s">
        <v>249</v>
      </c>
    </row>
    <row r="149" spans="5:6" x14ac:dyDescent="0.45">
      <c r="E149" s="1203">
        <v>38</v>
      </c>
      <c r="F149" s="1203" t="s">
        <v>250</v>
      </c>
    </row>
    <row r="150" spans="5:6" x14ac:dyDescent="0.45">
      <c r="E150" s="1203">
        <v>39</v>
      </c>
      <c r="F150" s="1203" t="s">
        <v>251</v>
      </c>
    </row>
    <row r="151" spans="5:6" x14ac:dyDescent="0.45">
      <c r="E151" s="1203">
        <v>40</v>
      </c>
      <c r="F151" s="1203" t="s">
        <v>209</v>
      </c>
    </row>
    <row r="152" spans="5:6" x14ac:dyDescent="0.45">
      <c r="E152" s="1203">
        <v>41</v>
      </c>
      <c r="F152" s="1203" t="s">
        <v>264</v>
      </c>
    </row>
    <row r="153" spans="5:6" x14ac:dyDescent="0.45">
      <c r="E153" s="1203">
        <v>42</v>
      </c>
      <c r="F153" s="1203" t="s">
        <v>252</v>
      </c>
    </row>
    <row r="154" spans="5:6" x14ac:dyDescent="0.45">
      <c r="E154" s="1203">
        <v>43</v>
      </c>
      <c r="F154" s="1203" t="s">
        <v>253</v>
      </c>
    </row>
    <row r="155" spans="5:6" x14ac:dyDescent="0.45">
      <c r="E155" s="1203">
        <v>44</v>
      </c>
      <c r="F155" s="1203" t="s">
        <v>254</v>
      </c>
    </row>
    <row r="156" spans="5:6" x14ac:dyDescent="0.45">
      <c r="E156" s="1203">
        <v>45</v>
      </c>
      <c r="F156" s="1203" t="s">
        <v>210</v>
      </c>
    </row>
    <row r="157" spans="5:6" x14ac:dyDescent="0.45">
      <c r="E157" s="1203">
        <v>46</v>
      </c>
      <c r="F157" s="1203" t="s">
        <v>255</v>
      </c>
    </row>
    <row r="158" spans="5:6" x14ac:dyDescent="0.45">
      <c r="E158" s="1203">
        <v>47</v>
      </c>
      <c r="F158" s="1203" t="s">
        <v>211</v>
      </c>
    </row>
    <row r="159" spans="5:6" x14ac:dyDescent="0.45">
      <c r="E159" s="1203">
        <v>48</v>
      </c>
      <c r="F159" s="1203" t="s">
        <v>256</v>
      </c>
    </row>
    <row r="160" spans="5:6" x14ac:dyDescent="0.45">
      <c r="E160" s="1203">
        <v>49</v>
      </c>
      <c r="F160" s="1203" t="s">
        <v>257</v>
      </c>
    </row>
    <row r="161" spans="5:6" x14ac:dyDescent="0.45">
      <c r="E161" s="1203">
        <v>50</v>
      </c>
      <c r="F161" s="1203" t="s">
        <v>260</v>
      </c>
    </row>
    <row r="162" spans="5:6" x14ac:dyDescent="0.45">
      <c r="E162" s="1203">
        <v>51</v>
      </c>
      <c r="F162" s="1203" t="s">
        <v>258</v>
      </c>
    </row>
    <row r="163" spans="5:6" x14ac:dyDescent="0.45">
      <c r="E163" s="1203">
        <v>52</v>
      </c>
      <c r="F163" s="1203" t="s">
        <v>212</v>
      </c>
    </row>
    <row r="164" spans="5:6" x14ac:dyDescent="0.45">
      <c r="E164" s="1203">
        <v>53</v>
      </c>
      <c r="F164" s="1203" t="s">
        <v>259</v>
      </c>
    </row>
    <row r="165" spans="5:6" x14ac:dyDescent="0.45">
      <c r="E165" s="1203">
        <v>54</v>
      </c>
      <c r="F165" s="1203" t="s">
        <v>261</v>
      </c>
    </row>
    <row r="166" spans="5:6" x14ac:dyDescent="0.45">
      <c r="E166" s="1203">
        <v>55</v>
      </c>
      <c r="F166" s="1203" t="s">
        <v>262</v>
      </c>
    </row>
    <row r="167" spans="5:6" x14ac:dyDescent="0.45">
      <c r="E167"/>
      <c r="F167"/>
    </row>
    <row r="168" spans="5:6" x14ac:dyDescent="0.45">
      <c r="E168"/>
      <c r="F168"/>
    </row>
  </sheetData>
  <sheetProtection algorithmName="SHA-512" hashValue="VXOcJKBBtyn1wdD2t96h2ZgFGjtexuA8KPz3Cb9OEtaBgUsI0OWPKKo+F17IQ4MR4gC15fN0/szXBXpO6EnuVA==" saltValue="yrMaR0CK0VKEjf+aWP96TQ=="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F0E3A55C-9E7F-4B5A-91A3-1D2F3C97FC8C}">
      <formula1>$F$112:$F$166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7142A-2A34-4195-BE9F-2FAB44C13370}">
  <dimension ref="A1:AA168"/>
  <sheetViews>
    <sheetView topLeftCell="B1" zoomScale="60" zoomScaleNormal="60" workbookViewId="0">
      <selection activeCell="G11" sqref="G11:G12 C11:C12 M11:M1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793"/>
      <c r="R1" s="3"/>
      <c r="S1" s="4"/>
      <c r="U1" s="794"/>
      <c r="V1" s="794"/>
      <c r="W1" s="794"/>
      <c r="X1" s="794"/>
      <c r="Y1" s="794"/>
      <c r="Z1" s="794"/>
      <c r="AA1" s="794"/>
    </row>
    <row r="2" spans="1:27" ht="30" x14ac:dyDescent="1.1000000000000001">
      <c r="B2" s="795"/>
      <c r="C2" s="796"/>
      <c r="D2" s="797" t="s">
        <v>286</v>
      </c>
      <c r="E2" s="796"/>
      <c r="F2" s="798"/>
      <c r="G2" s="798"/>
      <c r="H2" s="798"/>
      <c r="I2" s="798"/>
      <c r="J2" s="798"/>
      <c r="K2" s="798"/>
      <c r="L2" s="798"/>
      <c r="M2" s="798"/>
      <c r="N2" s="798"/>
      <c r="O2" s="798"/>
      <c r="P2" s="798"/>
      <c r="Q2" s="796"/>
      <c r="R2" s="798"/>
      <c r="S2" s="6"/>
    </row>
    <row r="3" spans="1:27" ht="14.65" thickBot="1" x14ac:dyDescent="0.5">
      <c r="B3" s="799"/>
      <c r="C3" s="800"/>
      <c r="D3" s="800"/>
      <c r="E3" s="800"/>
      <c r="F3" s="801"/>
      <c r="G3" s="801"/>
      <c r="H3" s="801"/>
      <c r="I3" s="801"/>
      <c r="J3" s="801"/>
      <c r="K3" s="801"/>
      <c r="L3" s="801"/>
      <c r="M3" s="801"/>
      <c r="N3" s="801"/>
      <c r="O3" s="801"/>
      <c r="P3" s="801"/>
      <c r="Q3" s="800"/>
      <c r="R3" s="801"/>
      <c r="S3" s="7"/>
    </row>
    <row r="4" spans="1:27" ht="26.45" customHeight="1" thickBot="1" x14ac:dyDescent="0.5">
      <c r="B4" s="799"/>
      <c r="C4" s="800"/>
      <c r="D4" s="802" t="s">
        <v>195</v>
      </c>
      <c r="E4" s="800"/>
      <c r="F4" s="8" t="s">
        <v>262</v>
      </c>
      <c r="G4" s="801"/>
      <c r="H4" s="801"/>
      <c r="I4" s="801"/>
      <c r="J4" s="801"/>
      <c r="K4" s="1652" t="s">
        <v>556</v>
      </c>
      <c r="L4" s="1653"/>
      <c r="M4" s="1654"/>
      <c r="N4" s="803">
        <f>(N9+N46+N59+N69+N76+N79+N92)/7</f>
        <v>0.33771936258536128</v>
      </c>
      <c r="O4" s="804">
        <f>(O9+O46+O59+O69+O76+O79+O92)</f>
        <v>39.199510666601789</v>
      </c>
      <c r="P4" s="803">
        <f>O4/100</f>
        <v>0.39199510666601789</v>
      </c>
      <c r="Q4" s="800"/>
      <c r="R4" s="801"/>
      <c r="S4" s="7"/>
    </row>
    <row r="5" spans="1:27" ht="18.399999999999999" thickBot="1" x14ac:dyDescent="0.6">
      <c r="B5" s="1655"/>
      <c r="C5" s="1656"/>
      <c r="D5" s="1656"/>
      <c r="E5" s="1656"/>
      <c r="F5" s="1656"/>
      <c r="G5" s="1656"/>
      <c r="H5" s="1656"/>
      <c r="I5" s="1656"/>
      <c r="J5" s="1656"/>
      <c r="K5" s="1656"/>
      <c r="L5" s="58"/>
      <c r="M5" s="805">
        <f>100/28</f>
        <v>3.5714285714285716</v>
      </c>
      <c r="N5" s="9"/>
      <c r="O5" s="561"/>
      <c r="P5" s="561"/>
      <c r="Q5" s="806"/>
      <c r="R5" s="9"/>
      <c r="S5" s="10"/>
    </row>
    <row r="6" spans="1:27" ht="33.6" customHeight="1" thickBot="1" x14ac:dyDescent="0.5">
      <c r="B6" s="1657"/>
      <c r="C6" s="1658"/>
      <c r="D6" s="1658"/>
      <c r="E6" s="1658"/>
      <c r="F6" s="1659"/>
      <c r="G6" s="807"/>
      <c r="H6" s="807"/>
      <c r="I6" s="807"/>
      <c r="J6" s="807"/>
      <c r="K6" s="807"/>
      <c r="L6" s="807"/>
      <c r="M6" s="807"/>
      <c r="N6" s="808"/>
      <c r="O6" s="809"/>
      <c r="P6" s="809"/>
      <c r="Q6" s="808"/>
      <c r="R6" s="12"/>
      <c r="S6" s="13"/>
    </row>
    <row r="7" spans="1:27" ht="55.8" customHeight="1" thickBot="1" x14ac:dyDescent="0.5">
      <c r="B7" s="1660"/>
      <c r="C7" s="1661"/>
      <c r="D7" s="1661"/>
      <c r="E7" s="1661"/>
      <c r="F7" s="1662"/>
      <c r="G7" s="810"/>
      <c r="H7" s="811" t="s">
        <v>218</v>
      </c>
      <c r="I7" s="812" t="s">
        <v>219</v>
      </c>
      <c r="J7" s="813" t="s">
        <v>91</v>
      </c>
      <c r="K7" s="814" t="s">
        <v>107</v>
      </c>
      <c r="L7" s="814" t="s">
        <v>104</v>
      </c>
      <c r="M7" s="814" t="s">
        <v>105</v>
      </c>
      <c r="N7" s="812" t="s">
        <v>106</v>
      </c>
      <c r="O7" s="812" t="s">
        <v>464</v>
      </c>
      <c r="P7" s="815" t="s">
        <v>465</v>
      </c>
      <c r="Q7" s="816" t="s">
        <v>93</v>
      </c>
      <c r="R7" s="817" t="s">
        <v>110</v>
      </c>
      <c r="S7" s="818" t="s">
        <v>103</v>
      </c>
    </row>
    <row r="8" spans="1:27" ht="25.25" customHeight="1" thickBot="1" x14ac:dyDescent="0.5">
      <c r="B8" s="819" t="s">
        <v>2</v>
      </c>
      <c r="C8" s="819" t="s">
        <v>92</v>
      </c>
      <c r="D8" s="819" t="s">
        <v>3</v>
      </c>
      <c r="E8" s="819" t="s">
        <v>94</v>
      </c>
      <c r="F8" s="819" t="s">
        <v>102</v>
      </c>
      <c r="G8" s="819" t="s">
        <v>96</v>
      </c>
      <c r="H8" s="820"/>
      <c r="I8" s="821"/>
      <c r="J8" s="820"/>
      <c r="K8" s="822"/>
      <c r="L8" s="822"/>
      <c r="M8" s="819"/>
      <c r="N8" s="823"/>
      <c r="O8" s="824"/>
      <c r="P8" s="825"/>
      <c r="Q8" s="821"/>
      <c r="R8" s="823"/>
      <c r="S8" s="823"/>
      <c r="V8" s="826" t="s">
        <v>151</v>
      </c>
      <c r="W8" s="827"/>
      <c r="X8" s="827"/>
      <c r="Y8" s="827"/>
      <c r="Z8" s="828"/>
    </row>
    <row r="9" spans="1:27" s="168" customFormat="1" ht="25.25" customHeight="1" thickBot="1" x14ac:dyDescent="0.5">
      <c r="B9" s="1663" t="s">
        <v>0</v>
      </c>
      <c r="C9" s="1664"/>
      <c r="D9" s="1664"/>
      <c r="E9" s="1664"/>
      <c r="F9" s="1665"/>
      <c r="G9" s="829"/>
      <c r="H9" s="830"/>
      <c r="I9" s="831"/>
      <c r="J9" s="832"/>
      <c r="K9" s="832"/>
      <c r="L9" s="832"/>
      <c r="M9" s="829"/>
      <c r="N9" s="833">
        <f>(N10+N18+N23+N32+N37+N40+N43)/7</f>
        <v>0.28229186822662261</v>
      </c>
      <c r="O9" s="834">
        <f>(O10+O18+O23+O32+O37+O40+O43)</f>
        <v>12.391060372854863</v>
      </c>
      <c r="P9" s="835">
        <f>O9/42.857136</f>
        <v>0.28912478829324628</v>
      </c>
      <c r="Q9" s="832"/>
      <c r="R9" s="836"/>
      <c r="S9" s="836"/>
      <c r="U9" s="837"/>
      <c r="V9" s="838"/>
      <c r="W9" s="839"/>
      <c r="X9" s="839"/>
      <c r="Y9" s="839"/>
      <c r="Z9" s="840"/>
      <c r="AA9" s="837"/>
    </row>
    <row r="10" spans="1:27" s="92" customFormat="1" ht="25.25" customHeight="1" thickBot="1" x14ac:dyDescent="0.5">
      <c r="B10" s="1666" t="s">
        <v>1</v>
      </c>
      <c r="C10" s="1667"/>
      <c r="D10" s="1667"/>
      <c r="E10" s="1667"/>
      <c r="F10" s="1668"/>
      <c r="G10" s="841"/>
      <c r="H10" s="842"/>
      <c r="I10" s="843"/>
      <c r="J10" s="844"/>
      <c r="K10" s="844"/>
      <c r="L10" s="844"/>
      <c r="M10" s="841"/>
      <c r="N10" s="833">
        <f>(N11+N13+N15)/3</f>
        <v>0.55657183804498789</v>
      </c>
      <c r="O10" s="834">
        <f>(O11+O13+O15)</f>
        <v>5.9632687392160051</v>
      </c>
      <c r="P10" s="835">
        <f>O10/10.714284</f>
        <v>0.55657183804498789</v>
      </c>
      <c r="Q10" s="844"/>
      <c r="R10" s="845"/>
      <c r="S10" s="845"/>
      <c r="U10" s="846"/>
      <c r="V10" s="847"/>
      <c r="W10" s="848"/>
      <c r="X10" s="848"/>
      <c r="Y10" s="848"/>
      <c r="Z10" s="849"/>
      <c r="AA10" s="846"/>
    </row>
    <row r="11" spans="1:27" ht="27.6" customHeight="1" x14ac:dyDescent="0.45">
      <c r="A11" s="1669">
        <v>1</v>
      </c>
      <c r="B11" s="1680" t="s">
        <v>4</v>
      </c>
      <c r="C11" s="1682">
        <f>M5</f>
        <v>3.5714285714285716</v>
      </c>
      <c r="D11" s="850" t="s">
        <v>111</v>
      </c>
      <c r="E11" s="851">
        <f>$C$11/2</f>
        <v>1.7857142857142858</v>
      </c>
      <c r="F11" s="852" t="s">
        <v>5</v>
      </c>
      <c r="G11" s="853">
        <f>E11/1</f>
        <v>1.7857142857142858</v>
      </c>
      <c r="H11" s="1215">
        <f>15829/15</f>
        <v>1055.2666666666667</v>
      </c>
      <c r="I11" s="1216">
        <f>15758/13.4</f>
        <v>1175.9701492537313</v>
      </c>
      <c r="J11" s="856">
        <f>(H11-I11)</f>
        <v>-120.70348258706463</v>
      </c>
      <c r="K11" s="857">
        <f>(0.3*I11)*6/10</f>
        <v>211.6746268656716</v>
      </c>
      <c r="L11" s="858">
        <f>I11+K11</f>
        <v>1387.6447761194029</v>
      </c>
      <c r="M11" s="859">
        <f>IF(K11&lt;&gt;0,J11/K11,"0%")</f>
        <v>-0.57023122881734367</v>
      </c>
      <c r="N11" s="1674">
        <f>(((G11/C11)*M11)+((G12/C11)*M12))</f>
        <v>0.71488438559132816</v>
      </c>
      <c r="O11" s="1676">
        <f>IF((((G11/C11)*M11)+((G12/C11)*M12))&gt;=1,3.57148,IF((((G11/C11)*M11)+((G12/C11)*M12))&lt;=0,0, (((G11/C11)*M11)+((G12/C11)*M12))*3.571428))</f>
        <v>2.5531581114636661</v>
      </c>
      <c r="P11" s="1678">
        <f>O11/3.571428</f>
        <v>0.71488438559132816</v>
      </c>
      <c r="Q11" s="860" t="s">
        <v>97</v>
      </c>
      <c r="R11" s="225" t="s">
        <v>417</v>
      </c>
      <c r="S11" s="194"/>
      <c r="V11" s="861" t="s">
        <v>109</v>
      </c>
      <c r="W11" s="862" t="e">
        <f>#REF!</f>
        <v>#REF!</v>
      </c>
      <c r="X11" s="863"/>
      <c r="Y11" s="863"/>
      <c r="Z11" s="864"/>
    </row>
    <row r="12" spans="1:27" ht="27" customHeight="1" thickBot="1" x14ac:dyDescent="0.5">
      <c r="A12" s="1669"/>
      <c r="B12" s="1681"/>
      <c r="C12" s="1683"/>
      <c r="D12" s="865" t="s">
        <v>112</v>
      </c>
      <c r="E12" s="866">
        <f>$C$11/2</f>
        <v>1.7857142857142858</v>
      </c>
      <c r="F12" s="867" t="s">
        <v>281</v>
      </c>
      <c r="G12" s="868">
        <f>E12/1</f>
        <v>1.7857142857142858</v>
      </c>
      <c r="H12" s="1217">
        <v>7.7</v>
      </c>
      <c r="I12" s="1218">
        <v>11</v>
      </c>
      <c r="J12" s="871">
        <f>I12-H12</f>
        <v>3.3</v>
      </c>
      <c r="K12" s="872">
        <f>(0.25*I12)*(6/10)</f>
        <v>1.65</v>
      </c>
      <c r="L12" s="873">
        <f>I12-K12</f>
        <v>9.35</v>
      </c>
      <c r="M12" s="874">
        <f>IF(K12&lt;&gt;0,J12/K12,"0%")</f>
        <v>2</v>
      </c>
      <c r="N12" s="1675"/>
      <c r="O12" s="1677"/>
      <c r="P12" s="1679"/>
      <c r="Q12" s="875" t="s">
        <v>98</v>
      </c>
      <c r="R12" s="503" t="s">
        <v>418</v>
      </c>
      <c r="S12" s="226" t="s">
        <v>419</v>
      </c>
      <c r="V12" s="876">
        <v>0.02</v>
      </c>
      <c r="W12" s="877" t="e">
        <f>(W11-(W11*V12))</f>
        <v>#REF!</v>
      </c>
      <c r="X12" s="877" t="e">
        <f>W11-(V12*W11)</f>
        <v>#REF!</v>
      </c>
      <c r="Y12" s="863"/>
      <c r="Z12" s="864"/>
    </row>
    <row r="13" spans="1:27" ht="32.450000000000003" customHeight="1" x14ac:dyDescent="0.45">
      <c r="A13" s="1669">
        <v>2</v>
      </c>
      <c r="B13" s="1670" t="s">
        <v>6</v>
      </c>
      <c r="C13" s="1672">
        <f>M5</f>
        <v>3.5714285714285716</v>
      </c>
      <c r="D13" s="878" t="s">
        <v>273</v>
      </c>
      <c r="E13" s="879">
        <f>$C$13/2</f>
        <v>1.7857142857142858</v>
      </c>
      <c r="F13" s="880" t="s">
        <v>7</v>
      </c>
      <c r="G13" s="881">
        <f>E13/1</f>
        <v>1.7857142857142858</v>
      </c>
      <c r="H13" s="882">
        <v>8.4</v>
      </c>
      <c r="I13" s="883">
        <v>11.2</v>
      </c>
      <c r="J13" s="884">
        <f>IF(I13=H13,(5-H13),I13-H13)</f>
        <v>2.7999999999999989</v>
      </c>
      <c r="K13" s="885">
        <f>IF(I13&lt;=5,0,((I13-5)*(6/10)))</f>
        <v>3.7199999999999993</v>
      </c>
      <c r="L13" s="886">
        <f>I13-K13</f>
        <v>7.48</v>
      </c>
      <c r="M13" s="887">
        <f>IF(I13&lt;=5,(1+(5-H13)/5),(J13/K13))</f>
        <v>0.75268817204301064</v>
      </c>
      <c r="N13" s="1674">
        <f>(((G13/C13)*M13)+((G14/C13)*M14))</f>
        <v>0.53774759479343492</v>
      </c>
      <c r="O13" s="1676">
        <f>IF((((G13/C13)*M13)+((G14/C13)*M14))&gt;=1,3.57148,IF((((G13/C13)*M13)+((G14/C13)*M14))&lt;=0,0, (((G13/C13)*M13)+((G14/C13)*M14))*3.571428))</f>
        <v>1.9205268169779277</v>
      </c>
      <c r="P13" s="1678">
        <f>O13/3.571428</f>
        <v>0.53774759479343492</v>
      </c>
      <c r="Q13" s="888" t="s">
        <v>99</v>
      </c>
      <c r="R13" s="178" t="s">
        <v>420</v>
      </c>
      <c r="S13" s="504" t="s">
        <v>421</v>
      </c>
      <c r="V13" s="876">
        <v>0.02</v>
      </c>
      <c r="W13" s="877" t="e">
        <f>(#REF!-(#REF!*V13))</f>
        <v>#REF!</v>
      </c>
      <c r="X13" s="877" t="e">
        <f>(W11-(V12*W11))-((W11-(V12*W11))*0.02)-(((W11-(V12*W11))-((W11-(V12*W11))*0.02))*0.02)-(((W11-(V12*W11))-((W11-(V12*W11))*0.02)-(((W11-(V12*W11))-((W11-(V12*W11))*0.02))*0.02))*0.02)</f>
        <v>#REF!</v>
      </c>
      <c r="Y13" s="889" t="e">
        <f>(W11-W14)/W11</f>
        <v>#REF!</v>
      </c>
      <c r="Z13" s="864"/>
    </row>
    <row r="14" spans="1:27" ht="33" customHeight="1" thickBot="1" x14ac:dyDescent="0.5">
      <c r="A14" s="1669"/>
      <c r="B14" s="1671"/>
      <c r="C14" s="1673"/>
      <c r="D14" s="865" t="s">
        <v>274</v>
      </c>
      <c r="E14" s="890">
        <f>$C$13/2</f>
        <v>1.7857142857142858</v>
      </c>
      <c r="F14" s="891" t="s">
        <v>8</v>
      </c>
      <c r="G14" s="892">
        <f>E14/1</f>
        <v>1.7857142857142858</v>
      </c>
      <c r="H14" s="893">
        <v>79.599999999999994</v>
      </c>
      <c r="I14" s="894">
        <v>75</v>
      </c>
      <c r="J14" s="895">
        <f>H14-I14</f>
        <v>4.5999999999999943</v>
      </c>
      <c r="K14" s="896">
        <f>(0.95*(100-I14))*6/10</f>
        <v>14.25</v>
      </c>
      <c r="L14" s="897">
        <f>K14+I14</f>
        <v>89.25</v>
      </c>
      <c r="M14" s="898">
        <f>IF(K14&lt;&gt;0,J14/K14,"1%")</f>
        <v>0.32280701754385926</v>
      </c>
      <c r="N14" s="1675"/>
      <c r="O14" s="1677"/>
      <c r="P14" s="1679"/>
      <c r="Q14" s="899" t="s">
        <v>100</v>
      </c>
      <c r="R14" s="505" t="s">
        <v>422</v>
      </c>
      <c r="S14" s="353" t="s">
        <v>423</v>
      </c>
      <c r="V14" s="900">
        <v>0.02</v>
      </c>
      <c r="W14" s="901" t="e">
        <f>(#REF!-(#REF!*V14))</f>
        <v>#REF!</v>
      </c>
      <c r="X14" s="901"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02" t="e">
        <f>W11-X14</f>
        <v>#REF!</v>
      </c>
      <c r="Z14" s="903"/>
    </row>
    <row r="15" spans="1:27" ht="22.25" customHeight="1" thickBot="1" x14ac:dyDescent="0.5">
      <c r="A15" s="1710">
        <v>3</v>
      </c>
      <c r="B15" s="1711" t="s">
        <v>9</v>
      </c>
      <c r="C15" s="1713">
        <f>M5</f>
        <v>3.5714285714285716</v>
      </c>
      <c r="D15" s="1711" t="s">
        <v>113</v>
      </c>
      <c r="E15" s="1713">
        <f>$C$15/1</f>
        <v>3.5714285714285716</v>
      </c>
      <c r="F15" s="904" t="s">
        <v>221</v>
      </c>
      <c r="G15" s="853">
        <f>$E$15/3</f>
        <v>1.1904761904761905</v>
      </c>
      <c r="H15" s="1219">
        <v>52.2</v>
      </c>
      <c r="I15" s="1220">
        <v>56</v>
      </c>
      <c r="J15" s="908">
        <f>H15-I15</f>
        <v>-3.7999999999999972</v>
      </c>
      <c r="K15" s="909">
        <f>(0.5*I15)*6/10</f>
        <v>16.8</v>
      </c>
      <c r="L15" s="858">
        <f>I15+K15</f>
        <v>72.8</v>
      </c>
      <c r="M15" s="859">
        <f>IF(K15&lt;&gt;0,J15/K15,"0%")</f>
        <v>-0.22619047619047603</v>
      </c>
      <c r="N15" s="1715">
        <f>(((G15/C15)*M15)+((G16/C15)*M16)+((G17/C15)*M17))</f>
        <v>0.41708353375020035</v>
      </c>
      <c r="O15" s="1702">
        <f>IF((((G15/C15)*M15)+((G16/C15)*M16)+((G17/C15)*M17))&gt;=1,3.571428,IF((((G15/C15)*M15)+((G16/C15)*M16)+((G17/C15)*M17))&lt;=0,0,(((G15/C15)*M15)+((G16/C15)*M16)+((G17/C15)*M17))*3.571428))</f>
        <v>1.4895838107744106</v>
      </c>
      <c r="P15" s="1678">
        <f>O15/3.571428</f>
        <v>0.41708353375020035</v>
      </c>
      <c r="Q15" s="910" t="s">
        <v>101</v>
      </c>
      <c r="R15" s="506" t="s">
        <v>424</v>
      </c>
      <c r="S15" s="411" t="s">
        <v>425</v>
      </c>
    </row>
    <row r="16" spans="1:27" x14ac:dyDescent="0.45">
      <c r="A16" s="1710"/>
      <c r="B16" s="1711"/>
      <c r="C16" s="1713"/>
      <c r="D16" s="1711"/>
      <c r="E16" s="1713"/>
      <c r="F16" s="911" t="s">
        <v>220</v>
      </c>
      <c r="G16" s="934">
        <f t="shared" ref="G16:G17" si="0">$E$15/3</f>
        <v>1.1904761904761905</v>
      </c>
      <c r="H16" s="507">
        <v>46</v>
      </c>
      <c r="I16" s="508">
        <v>44</v>
      </c>
      <c r="J16" s="913">
        <f>H16-I16</f>
        <v>2</v>
      </c>
      <c r="K16" s="914">
        <f>(0.5*I16)*6/10</f>
        <v>13.2</v>
      </c>
      <c r="L16" s="915">
        <f t="shared" ref="L16:L17" si="1">I16+K16</f>
        <v>57.2</v>
      </c>
      <c r="M16" s="916">
        <f>IF(K16&lt;&gt;0,J16/K16,"0%")</f>
        <v>0.15151515151515152</v>
      </c>
      <c r="N16" s="1716"/>
      <c r="O16" s="1700"/>
      <c r="P16" s="1703"/>
      <c r="Q16" s="917" t="s">
        <v>95</v>
      </c>
      <c r="R16" s="506" t="s">
        <v>426</v>
      </c>
      <c r="S16" s="411" t="s">
        <v>425</v>
      </c>
    </row>
    <row r="17" spans="1:19" ht="25.25" customHeight="1" thickBot="1" x14ac:dyDescent="0.5">
      <c r="A17" s="1710"/>
      <c r="B17" s="1712"/>
      <c r="C17" s="1714"/>
      <c r="D17" s="1712"/>
      <c r="E17" s="1714"/>
      <c r="F17" s="918" t="s">
        <v>10</v>
      </c>
      <c r="G17" s="868">
        <f t="shared" si="0"/>
        <v>1.1904761904761905</v>
      </c>
      <c r="H17" s="509">
        <v>62.9</v>
      </c>
      <c r="I17" s="510">
        <v>45</v>
      </c>
      <c r="J17" s="920">
        <f>H17-I17</f>
        <v>17.899999999999999</v>
      </c>
      <c r="K17" s="921">
        <f>(0.5*I17)*6/10</f>
        <v>13.5</v>
      </c>
      <c r="L17" s="873">
        <f t="shared" si="1"/>
        <v>58.5</v>
      </c>
      <c r="M17" s="874">
        <f>IF(K17&lt;&gt;0,J17/K17,"0%")</f>
        <v>1.3259259259259257</v>
      </c>
      <c r="N17" s="1717"/>
      <c r="O17" s="1701"/>
      <c r="P17" s="1703"/>
      <c r="Q17" s="922" t="s">
        <v>162</v>
      </c>
      <c r="R17" s="511" t="s">
        <v>427</v>
      </c>
      <c r="S17" s="355"/>
    </row>
    <row r="18" spans="1:19" ht="21.4" thickBot="1" x14ac:dyDescent="0.7">
      <c r="A18" s="14"/>
      <c r="B18" s="1704" t="s">
        <v>11</v>
      </c>
      <c r="C18" s="1705"/>
      <c r="D18" s="1705"/>
      <c r="E18" s="1705"/>
      <c r="F18" s="1706"/>
      <c r="G18" s="923"/>
      <c r="H18" s="111"/>
      <c r="I18" s="112"/>
      <c r="J18" s="924"/>
      <c r="K18" s="924"/>
      <c r="L18" s="924"/>
      <c r="M18" s="925"/>
      <c r="N18" s="833">
        <f>N19</f>
        <v>7.6449275362318839E-2</v>
      </c>
      <c r="O18" s="834">
        <f>O19</f>
        <v>0.27303308260869563</v>
      </c>
      <c r="P18" s="835">
        <f>O18/3.571428</f>
        <v>7.6449275362318839E-2</v>
      </c>
      <c r="Q18" s="924"/>
      <c r="R18" s="249"/>
      <c r="S18" s="250"/>
    </row>
    <row r="19" spans="1:19" ht="34.25" customHeight="1" thickBot="1" x14ac:dyDescent="0.5">
      <c r="A19" s="1669">
        <v>4</v>
      </c>
      <c r="B19" s="1687" t="s">
        <v>12</v>
      </c>
      <c r="C19" s="1691">
        <f>M5</f>
        <v>3.5714285714285716</v>
      </c>
      <c r="D19" s="926" t="s">
        <v>114</v>
      </c>
      <c r="E19" s="853">
        <f>$C$19/4</f>
        <v>0.8928571428571429</v>
      </c>
      <c r="F19" s="927" t="s">
        <v>222</v>
      </c>
      <c r="G19" s="853">
        <f>E19/1</f>
        <v>0.8928571428571429</v>
      </c>
      <c r="H19" s="1221">
        <v>32</v>
      </c>
      <c r="I19" s="1222">
        <v>25</v>
      </c>
      <c r="J19" s="930">
        <f>H19-I19</f>
        <v>7</v>
      </c>
      <c r="K19" s="909">
        <f>(2*I19)*6/10</f>
        <v>30</v>
      </c>
      <c r="L19" s="931">
        <f t="shared" ref="L19:L22" si="2">K19+I19</f>
        <v>55</v>
      </c>
      <c r="M19" s="859">
        <f>IF(K19&lt;&gt;0,J19/K19,"0%")</f>
        <v>0.23333333333333334</v>
      </c>
      <c r="N19" s="1695">
        <f>(((G19/C19)*M19)+((G20/C19)*M20)+((G21/C19)*M21)+((G22/C19)*M22))</f>
        <v>7.6449275362318839E-2</v>
      </c>
      <c r="O19" s="1699">
        <f>IF((((G19/C19)*M19)+((G20/C19)*M20)+((G21/C19)*M21)+((G22/C19)*M22))&gt;=1,3.571428,IF((((G19/C19)*M19)+((G20/C19)*M20)+((G21/C19)*M21)+((G22/C19)*M22))&lt;=0,0,((((G19/C19)*M19)+((G20/C19)*M20)+((G21/C19)*M21)+((G22/C19)*M22))*3.571428)))</f>
        <v>0.27303308260869563</v>
      </c>
      <c r="P19" s="1678">
        <f>O19/3.571428</f>
        <v>7.6449275362318839E-2</v>
      </c>
      <c r="Q19" s="932" t="s">
        <v>163</v>
      </c>
      <c r="R19" s="139" t="s">
        <v>428</v>
      </c>
      <c r="S19" s="194"/>
    </row>
    <row r="20" spans="1:19" ht="39" customHeight="1" x14ac:dyDescent="0.45">
      <c r="A20" s="1669"/>
      <c r="B20" s="1688"/>
      <c r="C20" s="1692"/>
      <c r="D20" s="933" t="s">
        <v>152</v>
      </c>
      <c r="E20" s="934">
        <f>($C$19/4)</f>
        <v>0.8928571428571429</v>
      </c>
      <c r="F20" s="935" t="s">
        <v>265</v>
      </c>
      <c r="G20" s="934">
        <f>E20/1</f>
        <v>0.8928571428571429</v>
      </c>
      <c r="H20" s="514">
        <v>92</v>
      </c>
      <c r="I20" s="515">
        <v>92</v>
      </c>
      <c r="J20" s="936">
        <f t="shared" ref="J20:J24" si="3">H20-I20</f>
        <v>0</v>
      </c>
      <c r="K20" s="914">
        <f>(100-I20)*(6/10)</f>
        <v>4.8</v>
      </c>
      <c r="L20" s="937">
        <f t="shared" si="2"/>
        <v>96.8</v>
      </c>
      <c r="M20" s="916">
        <f>IF(K20&lt;&gt;0,J20/K20,"0%")</f>
        <v>0</v>
      </c>
      <c r="N20" s="1696"/>
      <c r="O20" s="1700"/>
      <c r="P20" s="1703"/>
      <c r="Q20" s="938" t="s">
        <v>164</v>
      </c>
      <c r="R20" s="139" t="s">
        <v>428</v>
      </c>
      <c r="S20" s="229"/>
    </row>
    <row r="21" spans="1:19" ht="56.45" customHeight="1" thickBot="1" x14ac:dyDescent="0.5">
      <c r="A21" s="1669"/>
      <c r="B21" s="1688"/>
      <c r="C21" s="1692"/>
      <c r="D21" s="933" t="s">
        <v>153</v>
      </c>
      <c r="E21" s="934">
        <f t="shared" ref="E21:E22" si="4">($C$19/4)</f>
        <v>0.8928571428571429</v>
      </c>
      <c r="F21" s="935" t="s">
        <v>155</v>
      </c>
      <c r="G21" s="934">
        <f>E21/1</f>
        <v>0.8928571428571429</v>
      </c>
      <c r="H21" s="512"/>
      <c r="I21" s="515">
        <v>2.5</v>
      </c>
      <c r="J21" s="936">
        <f t="shared" si="3"/>
        <v>-2.5</v>
      </c>
      <c r="K21" s="914">
        <f>(0.3*I21)*6/10</f>
        <v>0.45</v>
      </c>
      <c r="L21" s="937">
        <f t="shared" si="2"/>
        <v>2.95</v>
      </c>
      <c r="M21" s="916" t="str">
        <f>IF(K21&lt;&gt;0,"0%",J21/K21)</f>
        <v>0%</v>
      </c>
      <c r="N21" s="1696"/>
      <c r="O21" s="1700"/>
      <c r="P21" s="1703"/>
      <c r="Q21" s="938" t="s">
        <v>165</v>
      </c>
      <c r="R21" s="140"/>
      <c r="S21" s="230" t="s">
        <v>474</v>
      </c>
    </row>
    <row r="22" spans="1:19" ht="36.6" customHeight="1" thickBot="1" x14ac:dyDescent="0.5">
      <c r="A22" s="1669"/>
      <c r="B22" s="1707"/>
      <c r="C22" s="1708"/>
      <c r="D22" s="891" t="s">
        <v>154</v>
      </c>
      <c r="E22" s="939">
        <f t="shared" si="4"/>
        <v>0.8928571428571429</v>
      </c>
      <c r="F22" s="940" t="s">
        <v>156</v>
      </c>
      <c r="G22" s="939">
        <f>E22/1</f>
        <v>0.8928571428571429</v>
      </c>
      <c r="H22" s="1223">
        <v>56</v>
      </c>
      <c r="I22" s="1224">
        <v>54</v>
      </c>
      <c r="J22" s="943">
        <f t="shared" si="3"/>
        <v>2</v>
      </c>
      <c r="K22" s="921">
        <f>(100-I22)*(6/10)</f>
        <v>27.599999999999998</v>
      </c>
      <c r="L22" s="944">
        <f t="shared" si="2"/>
        <v>81.599999999999994</v>
      </c>
      <c r="M22" s="874">
        <f>IF(K22&lt;&gt;0,J22/K22,"100%")</f>
        <v>7.2463768115942032E-2</v>
      </c>
      <c r="N22" s="1709"/>
      <c r="O22" s="1701"/>
      <c r="P22" s="1679"/>
      <c r="Q22" s="945" t="s">
        <v>95</v>
      </c>
      <c r="R22" s="139" t="s">
        <v>428</v>
      </c>
      <c r="S22" s="229"/>
    </row>
    <row r="23" spans="1:19" ht="20.45" customHeight="1" thickBot="1" x14ac:dyDescent="0.5">
      <c r="B23" s="1684" t="s">
        <v>13</v>
      </c>
      <c r="C23" s="1685"/>
      <c r="D23" s="1685"/>
      <c r="E23" s="1685"/>
      <c r="F23" s="1686"/>
      <c r="G23" s="923"/>
      <c r="H23" s="111"/>
      <c r="I23" s="112"/>
      <c r="J23" s="947"/>
      <c r="K23" s="947"/>
      <c r="L23" s="947"/>
      <c r="M23" s="925"/>
      <c r="N23" s="833">
        <f>N24</f>
        <v>0.72333267002167212</v>
      </c>
      <c r="O23" s="834">
        <f>O24</f>
        <v>2.5833305510301603</v>
      </c>
      <c r="P23" s="835">
        <f>O23/3.571428</f>
        <v>0.72333267002167212</v>
      </c>
      <c r="Q23" s="924"/>
      <c r="R23" s="255"/>
      <c r="S23" s="255"/>
    </row>
    <row r="24" spans="1:19" ht="36" customHeight="1" x14ac:dyDescent="0.45">
      <c r="A24" s="1669">
        <v>5</v>
      </c>
      <c r="B24" s="1687" t="s">
        <v>14</v>
      </c>
      <c r="C24" s="1691">
        <f>M5</f>
        <v>3.5714285714285716</v>
      </c>
      <c r="D24" s="926" t="s">
        <v>115</v>
      </c>
      <c r="E24" s="853">
        <f>$C$24/4</f>
        <v>0.8928571428571429</v>
      </c>
      <c r="F24" s="926" t="s">
        <v>280</v>
      </c>
      <c r="G24" s="853">
        <f>E24/1</f>
        <v>0.8928571428571429</v>
      </c>
      <c r="H24" s="1219">
        <v>86</v>
      </c>
      <c r="I24" s="1222">
        <v>67</v>
      </c>
      <c r="J24" s="908">
        <f t="shared" si="3"/>
        <v>19</v>
      </c>
      <c r="K24" s="909">
        <f>(0.3*I24)*6/10</f>
        <v>12.059999999999999</v>
      </c>
      <c r="L24" s="931">
        <f>K24+I24</f>
        <v>79.06</v>
      </c>
      <c r="M24" s="859">
        <f t="shared" ref="M24:M31" si="5">IF(K24&lt;&gt;0,J24/K24,"0%")</f>
        <v>1.5754560530679935</v>
      </c>
      <c r="N24" s="1695">
        <f>(((G24/C24)*M24)+((G25/C24)*M25)+ ((G26/C24)*M26)+((G27/C24)*M27)+((G28/C24)*M28)+((G29/C24)*M29)+((G30/C24)*M30)+((G31/C24)*M31))</f>
        <v>0.72333267002167212</v>
      </c>
      <c r="O24" s="1699">
        <f>IF((((G24/C24)*M24)+((G25/C24)*M25)+ ((G26/C24)*M26)+((G27/C24)*M27)+((G28/C24)*M28)+((G29/C24)*M29)+((G30/C24)*M30)+((G31/C24)*M31))&gt;=1,3.571428,IF((((G24/C24)*M24)+((G25/C24)*M25)+ ((G26/C24)*M26)+((G27/C24)*M27)+((G28/C24)*M28)+((G29/C24)*M29)+((G30/C24)*M30)+((G31/C24)*M31))&lt;=0,0,((((G24/C24)*M24)+((G25/C24)*M25)+ ((G26/C24)*M26)+((G27/C24)*M27)+((G28/C24)*M28)+((G29/C24)*M29)+((G30/C24)*M30)+((G31/C24)*M31))*3.571428)))</f>
        <v>2.5833305510301603</v>
      </c>
      <c r="P24" s="1678">
        <f>O24/3.571428</f>
        <v>0.72333267002167212</v>
      </c>
      <c r="Q24" s="950" t="s">
        <v>166</v>
      </c>
      <c r="R24" s="513" t="s">
        <v>429</v>
      </c>
      <c r="S24" s="194"/>
    </row>
    <row r="25" spans="1:19" ht="19.8" customHeight="1" x14ac:dyDescent="0.45">
      <c r="A25" s="1669"/>
      <c r="B25" s="1688"/>
      <c r="C25" s="1692"/>
      <c r="D25" s="1721" t="s">
        <v>158</v>
      </c>
      <c r="E25" s="1723">
        <v>0.9</v>
      </c>
      <c r="F25" s="933" t="s">
        <v>15</v>
      </c>
      <c r="G25" s="934">
        <f>$E$25/3</f>
        <v>0.3</v>
      </c>
      <c r="H25" s="514">
        <v>525</v>
      </c>
      <c r="I25" s="515">
        <v>614</v>
      </c>
      <c r="J25" s="936">
        <f t="shared" ref="J25:J30" si="6">I25-H25</f>
        <v>89</v>
      </c>
      <c r="K25" s="914">
        <f>(0.5*I25)*6/10</f>
        <v>184.2</v>
      </c>
      <c r="L25" s="937">
        <f t="shared" ref="L25:L30" si="7">I25-K25</f>
        <v>429.8</v>
      </c>
      <c r="M25" s="916">
        <f t="shared" si="5"/>
        <v>0.48317046688382198</v>
      </c>
      <c r="N25" s="1696"/>
      <c r="O25" s="1700"/>
      <c r="P25" s="1703"/>
      <c r="Q25" s="952" t="s">
        <v>167</v>
      </c>
      <c r="R25" s="169" t="s">
        <v>430</v>
      </c>
      <c r="S25" s="229"/>
    </row>
    <row r="26" spans="1:19" ht="19.8" customHeight="1" x14ac:dyDescent="0.45">
      <c r="A26" s="1669"/>
      <c r="B26" s="1688"/>
      <c r="C26" s="1692"/>
      <c r="D26" s="1722"/>
      <c r="E26" s="1693"/>
      <c r="F26" s="933" t="s">
        <v>16</v>
      </c>
      <c r="G26" s="934">
        <f t="shared" ref="G26:G27" si="8">$E$25/3</f>
        <v>0.3</v>
      </c>
      <c r="H26" s="514">
        <v>28</v>
      </c>
      <c r="I26" s="515">
        <v>29</v>
      </c>
      <c r="J26" s="936">
        <f t="shared" si="6"/>
        <v>1</v>
      </c>
      <c r="K26" s="914">
        <f>(0.8*I26)*6/10</f>
        <v>13.920000000000002</v>
      </c>
      <c r="L26" s="937">
        <f t="shared" si="7"/>
        <v>15.079999999999998</v>
      </c>
      <c r="M26" s="916">
        <f t="shared" si="5"/>
        <v>7.183908045977011E-2</v>
      </c>
      <c r="N26" s="1696"/>
      <c r="O26" s="1700"/>
      <c r="P26" s="1703"/>
      <c r="Q26" s="952" t="s">
        <v>168</v>
      </c>
      <c r="R26" s="182" t="s">
        <v>431</v>
      </c>
      <c r="S26" s="229"/>
    </row>
    <row r="27" spans="1:19" ht="19.8" customHeight="1" x14ac:dyDescent="0.45">
      <c r="A27" s="1669"/>
      <c r="B27" s="1688"/>
      <c r="C27" s="1692"/>
      <c r="D27" s="1722"/>
      <c r="E27" s="1693"/>
      <c r="F27" s="933" t="s">
        <v>17</v>
      </c>
      <c r="G27" s="934">
        <f t="shared" si="8"/>
        <v>0.3</v>
      </c>
      <c r="H27" s="514">
        <v>72</v>
      </c>
      <c r="I27" s="515">
        <v>75</v>
      </c>
      <c r="J27" s="936">
        <f t="shared" si="6"/>
        <v>3</v>
      </c>
      <c r="K27" s="914">
        <f>(0.5*I27)*(6/10)</f>
        <v>22.5</v>
      </c>
      <c r="L27" s="937">
        <f t="shared" si="7"/>
        <v>52.5</v>
      </c>
      <c r="M27" s="916">
        <f t="shared" si="5"/>
        <v>0.13333333333333333</v>
      </c>
      <c r="N27" s="1696"/>
      <c r="O27" s="1700"/>
      <c r="P27" s="1703"/>
      <c r="Q27" s="952" t="s">
        <v>169</v>
      </c>
      <c r="R27" s="182" t="s">
        <v>430</v>
      </c>
      <c r="S27" s="229"/>
    </row>
    <row r="28" spans="1:19" ht="30.6" customHeight="1" x14ac:dyDescent="0.45">
      <c r="A28" s="16"/>
      <c r="B28" s="1688"/>
      <c r="C28" s="1692"/>
      <c r="D28" s="1721" t="s">
        <v>116</v>
      </c>
      <c r="E28" s="1723">
        <f t="shared" ref="E28:E31" si="9">$C$24/4</f>
        <v>0.8928571428571429</v>
      </c>
      <c r="F28" s="933" t="s">
        <v>148</v>
      </c>
      <c r="G28" s="934">
        <f>$E$28/3</f>
        <v>0.29761904761904762</v>
      </c>
      <c r="H28" s="514">
        <v>2.85</v>
      </c>
      <c r="I28" s="515">
        <v>2.98</v>
      </c>
      <c r="J28" s="936">
        <f t="shared" si="6"/>
        <v>0.12999999999999989</v>
      </c>
      <c r="K28" s="914">
        <f>(0.5*I28)*(6/10)</f>
        <v>0.89400000000000002</v>
      </c>
      <c r="L28" s="937">
        <f t="shared" si="7"/>
        <v>2.0859999999999999</v>
      </c>
      <c r="M28" s="916">
        <f t="shared" si="5"/>
        <v>0.1454138702460849</v>
      </c>
      <c r="N28" s="1697"/>
      <c r="O28" s="1700"/>
      <c r="P28" s="1703"/>
      <c r="Q28" s="952" t="s">
        <v>170</v>
      </c>
      <c r="R28" s="169" t="s">
        <v>432</v>
      </c>
      <c r="S28" s="229"/>
    </row>
    <row r="29" spans="1:19" ht="20.45" customHeight="1" x14ac:dyDescent="0.45">
      <c r="A29" s="16"/>
      <c r="B29" s="1688"/>
      <c r="C29" s="1692"/>
      <c r="D29" s="1722"/>
      <c r="E29" s="1693"/>
      <c r="F29" s="933" t="s">
        <v>149</v>
      </c>
      <c r="G29" s="934">
        <f t="shared" ref="G29:G30" si="10">$E$28/3</f>
        <v>0.29761904761904762</v>
      </c>
      <c r="H29" s="514">
        <v>140</v>
      </c>
      <c r="I29" s="515">
        <v>242</v>
      </c>
      <c r="J29" s="936">
        <f t="shared" si="6"/>
        <v>102</v>
      </c>
      <c r="K29" s="914">
        <f>(0.5*I29)*(6/10)</f>
        <v>72.599999999999994</v>
      </c>
      <c r="L29" s="937">
        <f t="shared" si="7"/>
        <v>169.4</v>
      </c>
      <c r="M29" s="916">
        <f t="shared" si="5"/>
        <v>1.4049586776859506</v>
      </c>
      <c r="N29" s="1697"/>
      <c r="O29" s="1700"/>
      <c r="P29" s="1703"/>
      <c r="Q29" s="952" t="s">
        <v>171</v>
      </c>
      <c r="R29" s="169" t="s">
        <v>433</v>
      </c>
      <c r="S29" s="229"/>
    </row>
    <row r="30" spans="1:19" ht="20.45" customHeight="1" thickBot="1" x14ac:dyDescent="0.5">
      <c r="A30" s="16"/>
      <c r="B30" s="1689"/>
      <c r="C30" s="1693"/>
      <c r="D30" s="1722"/>
      <c r="E30" s="1693"/>
      <c r="F30" s="933" t="s">
        <v>150</v>
      </c>
      <c r="G30" s="934">
        <f t="shared" si="10"/>
        <v>0.29761904761904762</v>
      </c>
      <c r="H30" s="514">
        <v>19</v>
      </c>
      <c r="I30" s="515">
        <v>39</v>
      </c>
      <c r="J30" s="936">
        <f t="shared" si="6"/>
        <v>20</v>
      </c>
      <c r="K30" s="914">
        <f>(0.5*I30)*(6/10)</f>
        <v>11.7</v>
      </c>
      <c r="L30" s="937">
        <f t="shared" si="7"/>
        <v>27.3</v>
      </c>
      <c r="M30" s="916">
        <f t="shared" si="5"/>
        <v>1.7094017094017095</v>
      </c>
      <c r="N30" s="1697"/>
      <c r="O30" s="1700"/>
      <c r="P30" s="1703"/>
      <c r="Q30" s="952" t="s">
        <v>172</v>
      </c>
      <c r="R30" s="169" t="s">
        <v>434</v>
      </c>
      <c r="S30" s="229"/>
    </row>
    <row r="31" spans="1:19" ht="34.9" customHeight="1" thickBot="1" x14ac:dyDescent="0.5">
      <c r="A31" s="16"/>
      <c r="B31" s="1690"/>
      <c r="C31" s="1694"/>
      <c r="D31" s="953" t="s">
        <v>117</v>
      </c>
      <c r="E31" s="868">
        <f t="shared" si="9"/>
        <v>0.8928571428571429</v>
      </c>
      <c r="F31" s="954" t="s">
        <v>223</v>
      </c>
      <c r="G31" s="868">
        <f>E31/1</f>
        <v>0.8928571428571429</v>
      </c>
      <c r="H31" s="625"/>
      <c r="I31" s="626"/>
      <c r="J31" s="943">
        <f t="shared" ref="J31" si="11">H31-I31</f>
        <v>0</v>
      </c>
      <c r="K31" s="921">
        <f>(100-I31)*(6/10)</f>
        <v>60</v>
      </c>
      <c r="L31" s="944">
        <f>K31+I31</f>
        <v>60</v>
      </c>
      <c r="M31" s="898">
        <f t="shared" si="5"/>
        <v>0</v>
      </c>
      <c r="N31" s="1698"/>
      <c r="O31" s="1701"/>
      <c r="P31" s="1679"/>
      <c r="Q31" s="956" t="s">
        <v>95</v>
      </c>
      <c r="R31" s="183"/>
      <c r="S31" s="155" t="s">
        <v>463</v>
      </c>
    </row>
    <row r="32" spans="1:19" ht="20.45" customHeight="1" thickBot="1" x14ac:dyDescent="0.5">
      <c r="B32" s="1724" t="s">
        <v>18</v>
      </c>
      <c r="C32" s="1725"/>
      <c r="D32" s="1725"/>
      <c r="E32" s="1725"/>
      <c r="F32" s="1726"/>
      <c r="G32" s="923"/>
      <c r="H32" s="113"/>
      <c r="I32" s="114"/>
      <c r="J32" s="1225"/>
      <c r="K32" s="958"/>
      <c r="L32" s="959"/>
      <c r="M32" s="960"/>
      <c r="N32" s="833">
        <f>(N33+N34+N35+N36)/4</f>
        <v>0.61968929415737928</v>
      </c>
      <c r="O32" s="834">
        <f>(O33+O34+O35+O36)</f>
        <v>3.571428</v>
      </c>
      <c r="P32" s="835">
        <f>O32/14.285712</f>
        <v>0.25</v>
      </c>
      <c r="Q32" s="924"/>
      <c r="R32" s="250"/>
      <c r="S32" s="250"/>
    </row>
    <row r="33" spans="1:19" ht="33.6" customHeight="1" thickBot="1" x14ac:dyDescent="0.5">
      <c r="A33" s="16">
        <v>6</v>
      </c>
      <c r="B33" s="961" t="s">
        <v>19</v>
      </c>
      <c r="C33" s="962">
        <f>$M$5</f>
        <v>3.5714285714285716</v>
      </c>
      <c r="D33" s="963" t="s">
        <v>287</v>
      </c>
      <c r="E33" s="964">
        <f>C33/1</f>
        <v>3.5714285714285716</v>
      </c>
      <c r="F33" s="961" t="s">
        <v>288</v>
      </c>
      <c r="G33" s="964">
        <f>E33/1</f>
        <v>3.5714285714285716</v>
      </c>
      <c r="H33" s="516">
        <v>4.7</v>
      </c>
      <c r="I33" s="517">
        <v>2.8</v>
      </c>
      <c r="J33" s="1226">
        <f>IF(H33&lt;7,(H33-7),(H33-I33))</f>
        <v>-2.2999999999999998</v>
      </c>
      <c r="K33" s="966">
        <f>IF((7-H33&gt;=0),(7-H33),0)</f>
        <v>2.2999999999999998</v>
      </c>
      <c r="L33" s="967">
        <f>IF((I33&lt;7),7,I33)</f>
        <v>7</v>
      </c>
      <c r="M33" s="968">
        <f>IF(K33&lt;&gt;0,J33/7,(1+((H33-I33)/I33)))</f>
        <v>-0.32857142857142857</v>
      </c>
      <c r="N33" s="969">
        <f>((G33/C33)*M33)</f>
        <v>-0.32857142857142857</v>
      </c>
      <c r="O33" s="970">
        <f>IF(((G33/C33)*M33)&gt;=1,3.571428,IF(((G33/C33)*M33)&lt;=0,0,((G33/C33)*M33)*3.571428))</f>
        <v>0</v>
      </c>
      <c r="P33" s="835">
        <f>O33/3.571428</f>
        <v>0</v>
      </c>
      <c r="Q33" s="971" t="s">
        <v>97</v>
      </c>
      <c r="R33" s="518"/>
      <c r="S33" s="529" t="s">
        <v>435</v>
      </c>
    </row>
    <row r="34" spans="1:19" ht="51" customHeight="1" thickBot="1" x14ac:dyDescent="0.5">
      <c r="A34" s="16">
        <v>7</v>
      </c>
      <c r="B34" s="961" t="s">
        <v>20</v>
      </c>
      <c r="C34" s="962">
        <f t="shared" ref="C34:C36" si="12">$M$5</f>
        <v>3.5714285714285716</v>
      </c>
      <c r="D34" s="961" t="s">
        <v>118</v>
      </c>
      <c r="E34" s="964">
        <f t="shared" ref="E34:E36" si="13">C34/1</f>
        <v>3.5714285714285716</v>
      </c>
      <c r="F34" s="961" t="s">
        <v>21</v>
      </c>
      <c r="G34" s="964">
        <f>E34/1</f>
        <v>3.5714285714285716</v>
      </c>
      <c r="H34" s="1227">
        <v>1</v>
      </c>
      <c r="I34" s="1228">
        <v>-2.4</v>
      </c>
      <c r="J34" s="1229">
        <f>H34-I34</f>
        <v>3.4</v>
      </c>
      <c r="K34" s="976">
        <f>(0.5*I34)*(6/10)*-1</f>
        <v>0.72</v>
      </c>
      <c r="L34" s="977">
        <f>K34+I34</f>
        <v>-1.68</v>
      </c>
      <c r="M34" s="968">
        <f>IF(K34&lt;&gt;0,J34/K34,"0%")</f>
        <v>4.7222222222222223</v>
      </c>
      <c r="N34" s="969">
        <f>((G34/C34)*M34)</f>
        <v>4.7222222222222223</v>
      </c>
      <c r="O34" s="970">
        <f>IF(((G34/C34)*M34)&gt;=1,3.571428,IF(((G34/C34)*M34)&lt;=0,0,((G34/C34)*M34)*3.571428))</f>
        <v>3.571428</v>
      </c>
      <c r="P34" s="835">
        <f t="shared" ref="P34:P36" si="14">O34/3.571428</f>
        <v>1</v>
      </c>
      <c r="Q34" s="971" t="s">
        <v>173</v>
      </c>
      <c r="R34" s="187" t="s">
        <v>436</v>
      </c>
      <c r="S34" s="93" t="s">
        <v>435</v>
      </c>
    </row>
    <row r="35" spans="1:19" ht="40.799999999999997" customHeight="1" thickBot="1" x14ac:dyDescent="0.5">
      <c r="A35" s="16">
        <v>8</v>
      </c>
      <c r="B35" s="961" t="s">
        <v>22</v>
      </c>
      <c r="C35" s="962">
        <f t="shared" si="12"/>
        <v>3.5714285714285716</v>
      </c>
      <c r="D35" s="961" t="s">
        <v>119</v>
      </c>
      <c r="E35" s="964">
        <f t="shared" si="13"/>
        <v>3.5714285714285716</v>
      </c>
      <c r="F35" s="961" t="s">
        <v>23</v>
      </c>
      <c r="G35" s="964">
        <f>E35/1</f>
        <v>3.5714285714285716</v>
      </c>
      <c r="H35" s="519"/>
      <c r="I35" s="520"/>
      <c r="J35" s="1230">
        <f>H35-I35</f>
        <v>0</v>
      </c>
      <c r="K35" s="979">
        <f>IF((I35&gt;=1),0,((1-I35)*0.6))</f>
        <v>0.6</v>
      </c>
      <c r="L35" s="967">
        <f>I35+K35</f>
        <v>0.6</v>
      </c>
      <c r="M35" s="968">
        <f>IF(K35&lt;&gt;0,J35/K35,"0%")</f>
        <v>0</v>
      </c>
      <c r="N35" s="969">
        <f>((G35/C35)*M35)</f>
        <v>0</v>
      </c>
      <c r="O35" s="970">
        <f>IF(((G35/C35)*M35)&gt;=1,3.571428,IF(((G35/C35)*M35)&lt;=0,0,((G35/C35)*M35)*3.571428))</f>
        <v>0</v>
      </c>
      <c r="P35" s="835">
        <f t="shared" si="14"/>
        <v>0</v>
      </c>
      <c r="Q35" s="971" t="s">
        <v>174</v>
      </c>
      <c r="R35" s="187"/>
      <c r="S35" s="155" t="s">
        <v>463</v>
      </c>
    </row>
    <row r="36" spans="1:19" ht="32.450000000000003" customHeight="1" thickBot="1" x14ac:dyDescent="0.5">
      <c r="A36" s="16">
        <v>9</v>
      </c>
      <c r="B36" s="961" t="s">
        <v>24</v>
      </c>
      <c r="C36" s="962">
        <f t="shared" si="12"/>
        <v>3.5714285714285716</v>
      </c>
      <c r="D36" s="961" t="s">
        <v>275</v>
      </c>
      <c r="E36" s="964">
        <f t="shared" si="13"/>
        <v>3.5714285714285716</v>
      </c>
      <c r="F36" s="980" t="s">
        <v>25</v>
      </c>
      <c r="G36" s="964">
        <f>E36/1</f>
        <v>3.5714285714285716</v>
      </c>
      <c r="H36" s="521">
        <v>-0.7</v>
      </c>
      <c r="I36" s="522">
        <v>4.7</v>
      </c>
      <c r="J36" s="1231">
        <f>H36-I36</f>
        <v>-5.4</v>
      </c>
      <c r="K36" s="982">
        <f>(1*I36)*(6/10)</f>
        <v>2.82</v>
      </c>
      <c r="L36" s="983">
        <f>I36+K36</f>
        <v>7.52</v>
      </c>
      <c r="M36" s="968">
        <f>IF(K36&lt;&gt;0,J36/K36,"0%")</f>
        <v>-1.9148936170212769</v>
      </c>
      <c r="N36" s="969">
        <f>((G36/C36)*M36)</f>
        <v>-1.9148936170212769</v>
      </c>
      <c r="O36" s="970">
        <f>IF(((G36/C36)*M36)&gt;=1,3.571428,IF(((G36/C36)*M36)&lt;=0,0,((G36/C36)*M36)*3.571428))</f>
        <v>0</v>
      </c>
      <c r="P36" s="835">
        <f t="shared" si="14"/>
        <v>0</v>
      </c>
      <c r="Q36" s="984" t="s">
        <v>175</v>
      </c>
      <c r="R36" s="232"/>
      <c r="S36" s="93" t="s">
        <v>437</v>
      </c>
    </row>
    <row r="37" spans="1:19" ht="30.6" customHeight="1" thickBot="1" x14ac:dyDescent="0.5">
      <c r="B37" s="1718" t="s">
        <v>26</v>
      </c>
      <c r="C37" s="1719"/>
      <c r="D37" s="1719"/>
      <c r="E37" s="1719"/>
      <c r="F37" s="1720"/>
      <c r="G37" s="985"/>
      <c r="H37" s="116"/>
      <c r="I37" s="117"/>
      <c r="J37" s="987"/>
      <c r="K37" s="987"/>
      <c r="L37" s="987"/>
      <c r="M37" s="988"/>
      <c r="N37" s="833">
        <f>N38</f>
        <v>0</v>
      </c>
      <c r="O37" s="834">
        <f>O38</f>
        <v>0</v>
      </c>
      <c r="P37" s="835">
        <f>O37/3.571428</f>
        <v>0</v>
      </c>
      <c r="Q37" s="989"/>
      <c r="R37" s="249"/>
      <c r="S37" s="250"/>
    </row>
    <row r="38" spans="1:19" ht="25.8" customHeight="1" thickBot="1" x14ac:dyDescent="0.5">
      <c r="A38" s="1669">
        <v>10</v>
      </c>
      <c r="B38" s="1687" t="s">
        <v>27</v>
      </c>
      <c r="C38" s="1691">
        <f>M5</f>
        <v>3.5714285714285716</v>
      </c>
      <c r="D38" s="904" t="s">
        <v>120</v>
      </c>
      <c r="E38" s="853">
        <f>$C$38/2</f>
        <v>1.7857142857142858</v>
      </c>
      <c r="F38" s="990" t="s">
        <v>224</v>
      </c>
      <c r="G38" s="853">
        <f>E38/1</f>
        <v>1.7857142857142858</v>
      </c>
      <c r="H38" s="393"/>
      <c r="I38" s="399"/>
      <c r="J38" s="1232">
        <f>H38-I38</f>
        <v>0</v>
      </c>
      <c r="K38" s="992">
        <f>(1*I38)*(6/10)</f>
        <v>0</v>
      </c>
      <c r="L38" s="993">
        <f>I38+K38</f>
        <v>0</v>
      </c>
      <c r="M38" s="859" t="str">
        <f>IF(K38&lt;&gt;0,J38/K38,"0%")</f>
        <v>0%</v>
      </c>
      <c r="N38" s="1715">
        <f>(((G38/C38)*M38)+((G39/C38)*M39))</f>
        <v>0</v>
      </c>
      <c r="O38" s="1676">
        <f>IF((((G38/C38)*M38)+((G39/C38)*M39))&gt;=1,3.57148,IF((((G38/C38)*M38)+((G39/C38)*M39))&lt;=0,0, (((G38/C38)*M38)+((G39/C38)*M39))*3.571428))</f>
        <v>0</v>
      </c>
      <c r="P38" s="1678">
        <f>O38/3.571428</f>
        <v>0</v>
      </c>
      <c r="Q38" s="994" t="s">
        <v>176</v>
      </c>
      <c r="R38" s="262"/>
      <c r="S38" s="155" t="s">
        <v>463</v>
      </c>
    </row>
    <row r="39" spans="1:19" ht="35.25" thickBot="1" x14ac:dyDescent="0.5">
      <c r="A39" s="1669"/>
      <c r="B39" s="1688"/>
      <c r="C39" s="1692"/>
      <c r="D39" s="911" t="s">
        <v>157</v>
      </c>
      <c r="E39" s="868">
        <f>$C$38/2</f>
        <v>1.7857142857142858</v>
      </c>
      <c r="F39" s="995" t="s">
        <v>225</v>
      </c>
      <c r="G39" s="934">
        <f>E39/1</f>
        <v>1.7857142857142858</v>
      </c>
      <c r="H39" s="356"/>
      <c r="I39" s="381"/>
      <c r="J39" s="1233">
        <f>H39-I39</f>
        <v>0</v>
      </c>
      <c r="K39" s="997">
        <f>IF(AND(I39&gt;=10,H39&gt;=I39),0,((10-H39)*(6/10)))</f>
        <v>6</v>
      </c>
      <c r="L39" s="998">
        <f>I39+K39</f>
        <v>6</v>
      </c>
      <c r="M39" s="874">
        <f>IF(K39&lt;&gt;0,J39/K39,"0%")</f>
        <v>0</v>
      </c>
      <c r="N39" s="1716"/>
      <c r="O39" s="1677"/>
      <c r="P39" s="1679"/>
      <c r="Q39" s="999" t="s">
        <v>95</v>
      </c>
      <c r="R39" s="258"/>
      <c r="S39" s="155" t="s">
        <v>463</v>
      </c>
    </row>
    <row r="40" spans="1:19" ht="20.45" customHeight="1" thickBot="1" x14ac:dyDescent="0.5">
      <c r="B40" s="1730" t="s">
        <v>28</v>
      </c>
      <c r="C40" s="1731"/>
      <c r="D40" s="1731"/>
      <c r="E40" s="1732"/>
      <c r="F40" s="1733"/>
      <c r="G40" s="985"/>
      <c r="H40" s="118"/>
      <c r="I40" s="119"/>
      <c r="J40" s="1001"/>
      <c r="K40" s="1001"/>
      <c r="L40" s="1001"/>
      <c r="M40" s="1002"/>
      <c r="N40" s="833">
        <f>N41</f>
        <v>0</v>
      </c>
      <c r="O40" s="834">
        <f>O41</f>
        <v>0</v>
      </c>
      <c r="P40" s="835">
        <f>O40/3.571428</f>
        <v>0</v>
      </c>
      <c r="Q40" s="1003"/>
      <c r="R40" s="263"/>
      <c r="S40" s="255"/>
    </row>
    <row r="41" spans="1:19" ht="35.25" thickBot="1" x14ac:dyDescent="0.5">
      <c r="A41" s="1669">
        <v>11</v>
      </c>
      <c r="B41" s="1734" t="s">
        <v>29</v>
      </c>
      <c r="C41" s="1736">
        <f>M5</f>
        <v>3.5714285714285716</v>
      </c>
      <c r="D41" s="1004" t="s">
        <v>121</v>
      </c>
      <c r="E41" s="1005">
        <f>$C$41/2</f>
        <v>1.7857142857142858</v>
      </c>
      <c r="F41" s="880" t="s">
        <v>30</v>
      </c>
      <c r="G41" s="1234">
        <f>E41/1</f>
        <v>1.7857142857142858</v>
      </c>
      <c r="H41" s="523">
        <v>0</v>
      </c>
      <c r="I41" s="605">
        <v>0</v>
      </c>
      <c r="J41" s="1235">
        <f>H41-I41</f>
        <v>0</v>
      </c>
      <c r="K41" s="1008">
        <f>(0.5*I41)*(6/10)</f>
        <v>0</v>
      </c>
      <c r="L41" s="1009">
        <f>I41+K41</f>
        <v>0</v>
      </c>
      <c r="M41" s="859" t="str">
        <f>IF(K41&lt;&gt;0,J41/K41,"0%")</f>
        <v>0%</v>
      </c>
      <c r="N41" s="1738">
        <f>(((G41/C41)*M41)+(G42/C41)*M42)</f>
        <v>0</v>
      </c>
      <c r="O41" s="1676">
        <f>IF((((G41/C41)*M41)+((G42/C41)*M42))&gt;=1,3.57148,IF((((G41/C41)*M41)+((G42/C41)*M42))&lt;=0,0, (((G41/C41)*M41)+((G42/C41)*M42))*3.571428))</f>
        <v>0</v>
      </c>
      <c r="P41" s="1678">
        <f>O41/3.571428</f>
        <v>0</v>
      </c>
      <c r="Q41" s="1010" t="s">
        <v>177</v>
      </c>
      <c r="R41" s="487" t="s">
        <v>414</v>
      </c>
      <c r="S41" s="372" t="s">
        <v>438</v>
      </c>
    </row>
    <row r="42" spans="1:19" ht="23.65" thickBot="1" x14ac:dyDescent="0.5">
      <c r="A42" s="1669"/>
      <c r="B42" s="1735"/>
      <c r="C42" s="1737"/>
      <c r="D42" s="1011" t="s">
        <v>122</v>
      </c>
      <c r="E42" s="939">
        <f>$C$41/2</f>
        <v>1.7857142857142858</v>
      </c>
      <c r="F42" s="891" t="s">
        <v>31</v>
      </c>
      <c r="G42" s="1236">
        <f>E42/1</f>
        <v>1.7857142857142858</v>
      </c>
      <c r="H42" s="524">
        <v>0</v>
      </c>
      <c r="I42" s="627">
        <v>0</v>
      </c>
      <c r="J42" s="1237">
        <f>H42-I42</f>
        <v>0</v>
      </c>
      <c r="K42" s="896">
        <f>(0.5*I42)*(6/10)</f>
        <v>0</v>
      </c>
      <c r="L42" s="1014">
        <f>I42+K42</f>
        <v>0</v>
      </c>
      <c r="M42" s="874" t="str">
        <f>IF(K42&lt;&gt;0,J42/K42,"0%")</f>
        <v>0%</v>
      </c>
      <c r="N42" s="1738"/>
      <c r="O42" s="1677"/>
      <c r="P42" s="1679"/>
      <c r="Q42" s="1010" t="s">
        <v>95</v>
      </c>
      <c r="R42" s="488"/>
      <c r="S42" s="372" t="s">
        <v>438</v>
      </c>
    </row>
    <row r="43" spans="1:19" ht="30.6" customHeight="1" thickBot="1" x14ac:dyDescent="0.5">
      <c r="B43" s="1704" t="s">
        <v>32</v>
      </c>
      <c r="C43" s="1705"/>
      <c r="D43" s="1705"/>
      <c r="E43" s="1705"/>
      <c r="F43" s="1706"/>
      <c r="G43" s="923"/>
      <c r="H43" s="120"/>
      <c r="I43" s="121"/>
      <c r="J43" s="1016"/>
      <c r="K43" s="1016"/>
      <c r="L43" s="1016"/>
      <c r="M43" s="923"/>
      <c r="N43" s="833">
        <f>N44</f>
        <v>0</v>
      </c>
      <c r="O43" s="834">
        <f>O44</f>
        <v>0</v>
      </c>
      <c r="P43" s="835">
        <f>O43/3.571428</f>
        <v>0</v>
      </c>
      <c r="Q43" s="1017"/>
      <c r="R43" s="255"/>
      <c r="S43" s="255"/>
    </row>
    <row r="44" spans="1:19" ht="37.799999999999997" customHeight="1" thickBot="1" x14ac:dyDescent="0.5">
      <c r="A44" s="1669">
        <v>12</v>
      </c>
      <c r="B44" s="1727" t="s">
        <v>33</v>
      </c>
      <c r="C44" s="1691">
        <f>M5</f>
        <v>3.5714285714285716</v>
      </c>
      <c r="D44" s="926" t="s">
        <v>123</v>
      </c>
      <c r="E44" s="1018">
        <f>C44/2</f>
        <v>1.7857142857142858</v>
      </c>
      <c r="F44" s="926" t="s">
        <v>34</v>
      </c>
      <c r="G44" s="853">
        <f>$E$44/1</f>
        <v>1.7857142857142858</v>
      </c>
      <c r="H44" s="362"/>
      <c r="I44" s="375"/>
      <c r="J44" s="1019">
        <f>IF(I44=H44,(H44-30),H44-I44)</f>
        <v>-30</v>
      </c>
      <c r="K44" s="909">
        <f>IF(I44&gt;=30,0,((30-I44)*(6/10)))</f>
        <v>18</v>
      </c>
      <c r="L44" s="1020">
        <f>I44+K44</f>
        <v>18</v>
      </c>
      <c r="M44" s="916" t="str">
        <f>IF(K44&lt;&gt;0,"0%",J44/K44)</f>
        <v>0%</v>
      </c>
      <c r="N44" s="1715">
        <f>(((G44/C44)*M44)+((G45/C44)*M45))</f>
        <v>0</v>
      </c>
      <c r="O44" s="1676">
        <f>IF((((G44/C44)*M44)+((G45/C44)*M45))&gt;=1,3.57148,IF((((G44/C44)*M44)+((G45/C44)*M45))&lt;=0,0, (((G44/C44)*M44)+((G45/C44)*M45))*3.571428))</f>
        <v>0</v>
      </c>
      <c r="P44" s="1678">
        <f>O44/3.571428</f>
        <v>0</v>
      </c>
      <c r="Q44" s="910" t="s">
        <v>178</v>
      </c>
      <c r="R44" s="266"/>
      <c r="S44" s="155" t="s">
        <v>463</v>
      </c>
    </row>
    <row r="45" spans="1:19" ht="35.25" thickBot="1" x14ac:dyDescent="0.5">
      <c r="A45" s="1669"/>
      <c r="B45" s="1728"/>
      <c r="C45" s="1729"/>
      <c r="D45" s="953" t="s">
        <v>124</v>
      </c>
      <c r="E45" s="1021">
        <f>(C44/2)</f>
        <v>1.7857142857142858</v>
      </c>
      <c r="F45" s="953" t="s">
        <v>35</v>
      </c>
      <c r="G45" s="868">
        <f>$E$45/1</f>
        <v>1.7857142857142858</v>
      </c>
      <c r="H45" s="360"/>
      <c r="I45" s="376"/>
      <c r="J45" s="1022">
        <f>IF(I45=H45,(H45-17),H45-I45)</f>
        <v>-17</v>
      </c>
      <c r="K45" s="1023">
        <f>IF(I45&gt;=17,0,((17-I45)*(6/10)))</f>
        <v>10.199999999999999</v>
      </c>
      <c r="L45" s="1024">
        <f>I45+K45</f>
        <v>10.199999999999999</v>
      </c>
      <c r="M45" s="1238" t="str">
        <f>IF(K45&lt;&gt;0,"0%",J45/K45)</f>
        <v>0%</v>
      </c>
      <c r="N45" s="1717"/>
      <c r="O45" s="1677"/>
      <c r="P45" s="1679"/>
      <c r="Q45" s="922" t="s">
        <v>179</v>
      </c>
      <c r="R45" s="267"/>
      <c r="S45" s="155" t="s">
        <v>463</v>
      </c>
    </row>
    <row r="46" spans="1:19" ht="30.6" customHeight="1" thickBot="1" x14ac:dyDescent="0.5">
      <c r="B46" s="1743" t="s">
        <v>36</v>
      </c>
      <c r="C46" s="1744"/>
      <c r="D46" s="1744"/>
      <c r="E46" s="1744"/>
      <c r="F46" s="1745"/>
      <c r="G46" s="1025"/>
      <c r="H46" s="122"/>
      <c r="I46" s="123"/>
      <c r="J46" s="1027"/>
      <c r="K46" s="1027"/>
      <c r="L46" s="1027"/>
      <c r="M46" s="1028"/>
      <c r="N46" s="833">
        <f>(N47+N50+N52)/3</f>
        <v>-0.19446241204962114</v>
      </c>
      <c r="O46" s="834">
        <f>(O47+O50+O52)</f>
        <v>3.571428</v>
      </c>
      <c r="P46" s="835">
        <f>O46/10.714284</f>
        <v>0.33333333333333337</v>
      </c>
      <c r="Q46" s="1029"/>
      <c r="R46" s="268"/>
      <c r="S46" s="268"/>
    </row>
    <row r="47" spans="1:19" ht="20.45" customHeight="1" thickBot="1" x14ac:dyDescent="0.5">
      <c r="B47" s="1684" t="s">
        <v>37</v>
      </c>
      <c r="C47" s="1685"/>
      <c r="D47" s="1685"/>
      <c r="E47" s="1685"/>
      <c r="F47" s="1686"/>
      <c r="G47" s="1030"/>
      <c r="H47" s="118"/>
      <c r="I47" s="119"/>
      <c r="J47" s="1032"/>
      <c r="K47" s="1032"/>
      <c r="L47" s="1032"/>
      <c r="M47" s="923"/>
      <c r="N47" s="833">
        <f>N48</f>
        <v>0</v>
      </c>
      <c r="O47" s="834">
        <f>O48</f>
        <v>0</v>
      </c>
      <c r="P47" s="835">
        <f>O47/3.571428</f>
        <v>0</v>
      </c>
      <c r="Q47" s="1017"/>
      <c r="R47" s="255"/>
      <c r="S47" s="255"/>
    </row>
    <row r="48" spans="1:19" ht="37.799999999999997" customHeight="1" thickBot="1" x14ac:dyDescent="0.5">
      <c r="A48" s="1669">
        <v>13</v>
      </c>
      <c r="B48" s="1727" t="s">
        <v>38</v>
      </c>
      <c r="C48" s="1691">
        <f>M5</f>
        <v>3.5714285714285716</v>
      </c>
      <c r="D48" s="926" t="s">
        <v>125</v>
      </c>
      <c r="E48" s="853">
        <f>$C$48/2</f>
        <v>1.7857142857142858</v>
      </c>
      <c r="F48" s="1033" t="s">
        <v>289</v>
      </c>
      <c r="G48" s="853">
        <f>E48/1</f>
        <v>1.7857142857142858</v>
      </c>
      <c r="H48" s="362"/>
      <c r="I48" s="375"/>
      <c r="J48" s="930">
        <f>H48-I48</f>
        <v>0</v>
      </c>
      <c r="K48" s="1035">
        <f>(0.5*I48)* (6/10)</f>
        <v>0</v>
      </c>
      <c r="L48" s="1036">
        <f>I48-K48</f>
        <v>0</v>
      </c>
      <c r="M48" s="887" t="str">
        <f>IF(K48&lt;&gt;0,J48/K48,"0%")</f>
        <v>0%</v>
      </c>
      <c r="N48" s="1746">
        <f>(((G48/C48)*M48)+((G49/C48)*M49))</f>
        <v>0</v>
      </c>
      <c r="O48" s="1676">
        <f>IF((((G48/C48)*M48)+((G49/C48)*M49))&gt;=1,3.57148,IF((((G48/C48)*M48)+((G49/C48)*M49))&lt;=0,0, (((G48/C48)*M48)+((G49/C48)*M49))*3.571428))</f>
        <v>0</v>
      </c>
      <c r="P48" s="1678">
        <f>O48/3.571428</f>
        <v>0</v>
      </c>
      <c r="Q48" s="950" t="s">
        <v>95</v>
      </c>
      <c r="R48" s="262"/>
      <c r="S48" s="155" t="s">
        <v>463</v>
      </c>
    </row>
    <row r="49" spans="1:19" ht="30.6" customHeight="1" thickBot="1" x14ac:dyDescent="0.5">
      <c r="A49" s="1669"/>
      <c r="B49" s="1728"/>
      <c r="C49" s="1729"/>
      <c r="D49" s="953" t="s">
        <v>126</v>
      </c>
      <c r="E49" s="868">
        <f>$C$48/2</f>
        <v>1.7857142857142858</v>
      </c>
      <c r="F49" s="953" t="s">
        <v>290</v>
      </c>
      <c r="G49" s="868">
        <f>E49/1</f>
        <v>1.7857142857142858</v>
      </c>
      <c r="H49" s="383"/>
      <c r="I49" s="401"/>
      <c r="J49" s="943">
        <f>H49-I49</f>
        <v>0</v>
      </c>
      <c r="K49" s="1037">
        <f>(2*I49)*(6/10)</f>
        <v>0</v>
      </c>
      <c r="L49" s="1038">
        <f>I49+K49</f>
        <v>0</v>
      </c>
      <c r="M49" s="874" t="str">
        <f>IF(K49&lt;&gt;0,J49/K49,"0%")</f>
        <v>0%</v>
      </c>
      <c r="N49" s="1747"/>
      <c r="O49" s="1677"/>
      <c r="P49" s="1679"/>
      <c r="Q49" s="956" t="s">
        <v>95</v>
      </c>
      <c r="R49" s="264" t="s">
        <v>322</v>
      </c>
      <c r="S49" s="155" t="s">
        <v>463</v>
      </c>
    </row>
    <row r="50" spans="1:19" ht="15" customHeight="1" thickBot="1" x14ac:dyDescent="0.5">
      <c r="B50" s="1704" t="s">
        <v>39</v>
      </c>
      <c r="C50" s="1705"/>
      <c r="D50" s="1705"/>
      <c r="E50" s="1705"/>
      <c r="F50" s="1706"/>
      <c r="G50" s="1039"/>
      <c r="H50" s="124"/>
      <c r="I50" s="125"/>
      <c r="J50" s="1040"/>
      <c r="K50" s="1040"/>
      <c r="L50" s="1040"/>
      <c r="M50" s="1041"/>
      <c r="N50" s="833">
        <f>N51</f>
        <v>1.6666666666666667</v>
      </c>
      <c r="O50" s="834">
        <f>O51</f>
        <v>3.571428</v>
      </c>
      <c r="P50" s="835">
        <f>O50/3.571428</f>
        <v>1</v>
      </c>
      <c r="Q50" s="1042"/>
      <c r="R50" s="269"/>
      <c r="S50" s="269"/>
    </row>
    <row r="51" spans="1:19" ht="30.6" customHeight="1" thickBot="1" x14ac:dyDescent="0.5">
      <c r="A51" s="15">
        <v>14</v>
      </c>
      <c r="B51" s="1043" t="s">
        <v>226</v>
      </c>
      <c r="C51" s="1044">
        <f>M5</f>
        <v>3.5714285714285716</v>
      </c>
      <c r="D51" s="1045" t="s">
        <v>272</v>
      </c>
      <c r="E51" s="1046">
        <f>C51</f>
        <v>3.5714285714285716</v>
      </c>
      <c r="F51" s="1047" t="s">
        <v>266</v>
      </c>
      <c r="G51" s="1239">
        <f>E51/1</f>
        <v>3.5714285714285716</v>
      </c>
      <c r="H51" s="477">
        <v>100</v>
      </c>
      <c r="I51" s="478">
        <v>0</v>
      </c>
      <c r="J51" s="1240">
        <f>H51-I51</f>
        <v>100</v>
      </c>
      <c r="K51" s="1050">
        <f>(100-I51)*(6/10)</f>
        <v>60</v>
      </c>
      <c r="L51" s="1051">
        <f>I51+K51</f>
        <v>60</v>
      </c>
      <c r="M51" s="898">
        <f>IF(K51&lt;&gt;0,J51/K51,"100%")</f>
        <v>1.6666666666666667</v>
      </c>
      <c r="N51" s="969">
        <f>((G51/C51)*M51)</f>
        <v>1.6666666666666667</v>
      </c>
      <c r="O51" s="970">
        <f>IF(((G51/C51)*M51)&gt;=1,3.571428,IF(((G51/C51)*M51)&lt;=0,0,((G51/C51)*M51)*3.571428))</f>
        <v>3.571428</v>
      </c>
      <c r="P51" s="835">
        <f>O51/3.571428</f>
        <v>1</v>
      </c>
      <c r="Q51" s="1052" t="s">
        <v>95</v>
      </c>
      <c r="R51" s="270"/>
      <c r="S51" s="350" t="s">
        <v>439</v>
      </c>
    </row>
    <row r="52" spans="1:19" ht="20.45" customHeight="1" thickBot="1" x14ac:dyDescent="0.5">
      <c r="B52" s="1704" t="s">
        <v>40</v>
      </c>
      <c r="C52" s="1705"/>
      <c r="D52" s="1705"/>
      <c r="E52" s="1705"/>
      <c r="F52" s="1706"/>
      <c r="G52" s="1030"/>
      <c r="H52" s="118"/>
      <c r="I52" s="119"/>
      <c r="J52" s="1032"/>
      <c r="K52" s="1032"/>
      <c r="L52" s="1032"/>
      <c r="M52" s="948"/>
      <c r="N52" s="833">
        <f>N53</f>
        <v>-2.2500539028155302</v>
      </c>
      <c r="O52" s="834">
        <f>O53</f>
        <v>0</v>
      </c>
      <c r="P52" s="835">
        <f>O52/3.571428</f>
        <v>0</v>
      </c>
      <c r="Q52" s="1053"/>
      <c r="R52" s="269"/>
      <c r="S52" s="269"/>
    </row>
    <row r="53" spans="1:19" ht="43.8" customHeight="1" thickBot="1" x14ac:dyDescent="0.5">
      <c r="A53" s="1669">
        <v>15</v>
      </c>
      <c r="B53" s="1687" t="s">
        <v>108</v>
      </c>
      <c r="C53" s="1691">
        <f>M5</f>
        <v>3.5714285714285716</v>
      </c>
      <c r="D53" s="1054" t="s">
        <v>127</v>
      </c>
      <c r="E53" s="1055">
        <f>$C$53/5</f>
        <v>0.7142857142857143</v>
      </c>
      <c r="F53" s="1056" t="s">
        <v>41</v>
      </c>
      <c r="G53" s="853">
        <f>E53/1</f>
        <v>0.7142857142857143</v>
      </c>
      <c r="H53" s="405"/>
      <c r="I53" s="406"/>
      <c r="J53" s="930">
        <f>H53-I53</f>
        <v>0</v>
      </c>
      <c r="K53" s="1035">
        <f>(100-I53)*(6/10)</f>
        <v>60</v>
      </c>
      <c r="L53" s="993">
        <f t="shared" ref="L53:L58" si="15">I53+K53</f>
        <v>60</v>
      </c>
      <c r="M53" s="859">
        <f t="shared" ref="M53:M55" si="16">IF(K53&lt;&gt;0,J53/K53,"0%")</f>
        <v>0</v>
      </c>
      <c r="N53" s="1740">
        <f>(((G53/C53)*M53)+((G54/C53)*M54)+((G55/C53)*M55)+((G56/C53)*M56)+((G57/C53)*M57)+((G58/C53)*M58))</f>
        <v>-2.2500539028155302</v>
      </c>
      <c r="O53" s="1751">
        <f>IF((((G53/C53)*M53)+((G54/C53)*M54)+((G55/C53)*M55)+((G56/C53)*M56)+((G57/C53)*M57)+((G58/C53)*M58))&gt;=1,3.571428,IF((((G53/C53)*M53)+((G54/C53)*M54)+((G55/C53)*M55)+((G56/C53)*M56)+((G57/C53)*M57)+((G58/C53)*M58))&lt;=0,0,((((G53/C53)*M53)+((G54/C53)*M54)+((G55/C53)*M55)+((G56/C53)*M56)+((G57/C53)*M57)+((G58/C53)*M58))*3.571428)))</f>
        <v>0</v>
      </c>
      <c r="P53" s="1678">
        <f>O53/3.571428</f>
        <v>0</v>
      </c>
      <c r="Q53" s="1057" t="s">
        <v>95</v>
      </c>
      <c r="R53" s="490"/>
      <c r="S53" s="155" t="s">
        <v>463</v>
      </c>
    </row>
    <row r="54" spans="1:19" ht="35.450000000000003" customHeight="1" thickBot="1" x14ac:dyDescent="0.5">
      <c r="A54" s="1669"/>
      <c r="B54" s="1688"/>
      <c r="C54" s="1692"/>
      <c r="D54" s="1058" t="s">
        <v>128</v>
      </c>
      <c r="E54" s="1059">
        <f t="shared" ref="E54:E57" si="17">$C$53/5</f>
        <v>0.7142857142857143</v>
      </c>
      <c r="F54" s="1060" t="s">
        <v>42</v>
      </c>
      <c r="G54" s="934">
        <f>E54/1</f>
        <v>0.7142857142857143</v>
      </c>
      <c r="H54" s="356"/>
      <c r="I54" s="381"/>
      <c r="J54" s="936">
        <f>H54-I54</f>
        <v>0</v>
      </c>
      <c r="K54" s="997">
        <f>(100-I54)*(6/6)</f>
        <v>100</v>
      </c>
      <c r="L54" s="998">
        <f>I54+K54</f>
        <v>100</v>
      </c>
      <c r="M54" s="916">
        <f t="shared" si="16"/>
        <v>0</v>
      </c>
      <c r="N54" s="1741"/>
      <c r="O54" s="1700"/>
      <c r="P54" s="1703"/>
      <c r="Q54" s="1061" t="s">
        <v>95</v>
      </c>
      <c r="R54" s="485"/>
      <c r="S54" s="155" t="s">
        <v>463</v>
      </c>
    </row>
    <row r="55" spans="1:19" ht="34.25" customHeight="1" thickBot="1" x14ac:dyDescent="0.5">
      <c r="A55" s="1669"/>
      <c r="B55" s="1688"/>
      <c r="C55" s="1692"/>
      <c r="D55" s="1058" t="s">
        <v>129</v>
      </c>
      <c r="E55" s="1059">
        <f t="shared" si="17"/>
        <v>0.7142857142857143</v>
      </c>
      <c r="F55" s="1060" t="s">
        <v>43</v>
      </c>
      <c r="G55" s="934">
        <f>E55/1</f>
        <v>0.7142857142857143</v>
      </c>
      <c r="H55" s="356"/>
      <c r="I55" s="381"/>
      <c r="J55" s="936">
        <f>H55-I55</f>
        <v>0</v>
      </c>
      <c r="K55" s="997">
        <f>(100-I55)*(6/10)</f>
        <v>60</v>
      </c>
      <c r="L55" s="998">
        <f t="shared" si="15"/>
        <v>60</v>
      </c>
      <c r="M55" s="916">
        <f t="shared" si="16"/>
        <v>0</v>
      </c>
      <c r="N55" s="1741"/>
      <c r="O55" s="1700"/>
      <c r="P55" s="1703"/>
      <c r="Q55" s="1061" t="s">
        <v>95</v>
      </c>
      <c r="R55" s="485"/>
      <c r="S55" s="155" t="s">
        <v>463</v>
      </c>
    </row>
    <row r="56" spans="1:19" ht="37.25" customHeight="1" x14ac:dyDescent="0.45">
      <c r="A56" s="1669"/>
      <c r="B56" s="1688"/>
      <c r="C56" s="1692"/>
      <c r="D56" s="1058" t="s">
        <v>130</v>
      </c>
      <c r="E56" s="1059">
        <f t="shared" si="17"/>
        <v>0.7142857142857143</v>
      </c>
      <c r="F56" s="1060" t="s">
        <v>44</v>
      </c>
      <c r="G56" s="934">
        <f>E56/1</f>
        <v>0.7142857142857143</v>
      </c>
      <c r="H56" s="96">
        <v>-1297</v>
      </c>
      <c r="I56" s="90">
        <v>352</v>
      </c>
      <c r="J56" s="936">
        <f>H56-I56</f>
        <v>-1649</v>
      </c>
      <c r="K56" s="1062">
        <f>(0.5*I56)*(6/7)</f>
        <v>150.85714285714286</v>
      </c>
      <c r="L56" s="998">
        <f t="shared" si="15"/>
        <v>502.85714285714289</v>
      </c>
      <c r="M56" s="916">
        <f>IF(K56&lt;&gt;0,J56/K56,"0%")</f>
        <v>-10.930871212121211</v>
      </c>
      <c r="N56" s="1741"/>
      <c r="O56" s="1700"/>
      <c r="P56" s="1703"/>
      <c r="Q56" s="1061" t="s">
        <v>101</v>
      </c>
      <c r="R56" s="354" t="s">
        <v>436</v>
      </c>
      <c r="S56" s="354" t="s">
        <v>440</v>
      </c>
    </row>
    <row r="57" spans="1:19" ht="22.8" customHeight="1" x14ac:dyDescent="0.45">
      <c r="A57" s="1669"/>
      <c r="B57" s="1688"/>
      <c r="C57" s="1692"/>
      <c r="D57" s="1753" t="s">
        <v>131</v>
      </c>
      <c r="E57" s="1755">
        <f t="shared" si="17"/>
        <v>0.7142857142857143</v>
      </c>
      <c r="F57" s="1060" t="s">
        <v>45</v>
      </c>
      <c r="G57" s="934">
        <f>$E$57/2</f>
        <v>0.35714285714285715</v>
      </c>
      <c r="H57" s="1063">
        <v>93.1</v>
      </c>
      <c r="I57" s="90">
        <v>90.3</v>
      </c>
      <c r="J57" s="936">
        <f t="shared" ref="J57:J58" si="18">H57-I57</f>
        <v>2.7999999999999972</v>
      </c>
      <c r="K57" s="1064">
        <f>(1*I57)*(6/10)</f>
        <v>54.18</v>
      </c>
      <c r="L57" s="998">
        <f t="shared" si="15"/>
        <v>144.47999999999999</v>
      </c>
      <c r="M57" s="916">
        <f>IF(K57&lt;&gt;0,J57/K57,"0%")</f>
        <v>5.1679586563307442E-2</v>
      </c>
      <c r="N57" s="1741"/>
      <c r="O57" s="1700"/>
      <c r="P57" s="1703"/>
      <c r="Q57" s="1061" t="s">
        <v>180</v>
      </c>
      <c r="R57" s="354"/>
      <c r="S57" s="354"/>
    </row>
    <row r="58" spans="1:19" ht="15" customHeight="1" thickBot="1" x14ac:dyDescent="0.5">
      <c r="A58" s="1669"/>
      <c r="B58" s="1739"/>
      <c r="C58" s="1729"/>
      <c r="D58" s="1754"/>
      <c r="E58" s="1756"/>
      <c r="F58" s="867" t="s">
        <v>46</v>
      </c>
      <c r="G58" s="868">
        <f>$E$57/2</f>
        <v>0.35714285714285715</v>
      </c>
      <c r="H58" s="942">
        <v>4.0999999999999996</v>
      </c>
      <c r="I58" s="97">
        <v>7</v>
      </c>
      <c r="J58" s="943">
        <f t="shared" si="18"/>
        <v>-2.9000000000000004</v>
      </c>
      <c r="K58" s="1037">
        <f>(1*I58)*(6/10)</f>
        <v>4.2</v>
      </c>
      <c r="L58" s="1065">
        <f t="shared" si="15"/>
        <v>11.2</v>
      </c>
      <c r="M58" s="874">
        <f>IF(K58&lt;&gt;0,J58/K58,"0%")</f>
        <v>-0.69047619047619058</v>
      </c>
      <c r="N58" s="1742"/>
      <c r="O58" s="1701"/>
      <c r="P58" s="1679"/>
      <c r="Q58" s="1066" t="s">
        <v>95</v>
      </c>
      <c r="R58" s="355" t="s">
        <v>436</v>
      </c>
      <c r="S58" s="355" t="s">
        <v>441</v>
      </c>
    </row>
    <row r="59" spans="1:19" ht="23.45" customHeight="1" thickBot="1" x14ac:dyDescent="0.5">
      <c r="B59" s="1743" t="s">
        <v>47</v>
      </c>
      <c r="C59" s="1744"/>
      <c r="D59" s="1744"/>
      <c r="E59" s="1744"/>
      <c r="F59" s="1745"/>
      <c r="G59" s="1067"/>
      <c r="H59" s="126"/>
      <c r="I59" s="127"/>
      <c r="J59" s="1068"/>
      <c r="K59" s="1068"/>
      <c r="L59" s="1068"/>
      <c r="M59" s="1028"/>
      <c r="N59" s="833">
        <f>(N60+N67)/2</f>
        <v>4.1666666666666664E-2</v>
      </c>
      <c r="O59" s="834">
        <f>(O60+O67)</f>
        <v>0.29761899999999997</v>
      </c>
      <c r="P59" s="835">
        <f>O59/7.142856</f>
        <v>4.1666666666666664E-2</v>
      </c>
      <c r="Q59" s="1069"/>
      <c r="R59" s="272"/>
      <c r="S59" s="273"/>
    </row>
    <row r="60" spans="1:19" ht="22.25" customHeight="1" thickBot="1" x14ac:dyDescent="0.5">
      <c r="B60" s="1704" t="s">
        <v>48</v>
      </c>
      <c r="C60" s="1705"/>
      <c r="D60" s="1705"/>
      <c r="E60" s="1705"/>
      <c r="F60" s="1706"/>
      <c r="G60" s="923"/>
      <c r="H60" s="132"/>
      <c r="I60" s="133"/>
      <c r="J60" s="947"/>
      <c r="K60" s="947"/>
      <c r="L60" s="947"/>
      <c r="M60" s="923"/>
      <c r="N60" s="833">
        <f>N61</f>
        <v>8.3333333333333329E-2</v>
      </c>
      <c r="O60" s="834">
        <f>O61</f>
        <v>0.29761899999999997</v>
      </c>
      <c r="P60" s="835">
        <f>O60/3.571428</f>
        <v>8.3333333333333329E-2</v>
      </c>
      <c r="Q60" s="924"/>
      <c r="R60" s="255"/>
      <c r="S60" s="255"/>
    </row>
    <row r="61" spans="1:19" ht="39" customHeight="1" thickBot="1" x14ac:dyDescent="0.5">
      <c r="A61" s="1669">
        <v>16</v>
      </c>
      <c r="B61" s="1687" t="s">
        <v>49</v>
      </c>
      <c r="C61" s="1691">
        <f>M5</f>
        <v>3.5714285714285716</v>
      </c>
      <c r="D61" s="926" t="s">
        <v>133</v>
      </c>
      <c r="E61" s="853">
        <f>$C$61/4</f>
        <v>0.8928571428571429</v>
      </c>
      <c r="F61" s="926" t="s">
        <v>50</v>
      </c>
      <c r="G61" s="853">
        <f>E61/1</f>
        <v>0.8928571428571429</v>
      </c>
      <c r="H61" s="491"/>
      <c r="I61" s="479"/>
      <c r="J61" s="1019">
        <f>IF(I61=H61,(H61-70),H61-I61)</f>
        <v>-70</v>
      </c>
      <c r="K61" s="909">
        <f>IF(I61&gt;=70,0,((70-I61)*(6/10)))</f>
        <v>42</v>
      </c>
      <c r="L61" s="1070">
        <f t="shared" ref="L61:L66" si="19">I61+K61</f>
        <v>42</v>
      </c>
      <c r="M61" s="916" t="str">
        <f>IF(K61&lt;&gt;0,"0%",J61/K61)</f>
        <v>0%</v>
      </c>
      <c r="N61" s="1748">
        <f>(((G61/C61)*M61)+((G62/C61)*M62)+((G63/C61)*M63)+((G64/C61)*M64)+((G65/C61)*M65)+((G66/C61)*M66))</f>
        <v>8.3333333333333329E-2</v>
      </c>
      <c r="O61" s="1751">
        <f>IF((((G61/C61)*M61)+((G62/C61)*M62)+((G63/C61)*M63)+((G64/C61)*M64)+((G65/C61)*M65)+((G66/C61)*M66))&gt;=1,3.571428,IF((((G61/C61)*M61)+((G62/C61)*M62)+((G63/C61)*M63)+((G64/C61)*M64)+((G65/C61)*M65)+((G66/C61)*M66))&lt;=0,0,((((G61/C61)*M61)+((G62/C61)*M62)+((G63/C61)*M63)+((G64/C61)*M64)+((G65/C61)*M65)+((G66/C61)*M66))*3.571428)))</f>
        <v>0.29761899999999997</v>
      </c>
      <c r="P61" s="1678">
        <f>O61/3.571428</f>
        <v>8.3333333333333329E-2</v>
      </c>
      <c r="Q61" s="994" t="s">
        <v>181</v>
      </c>
      <c r="R61" s="493"/>
      <c r="S61" s="155" t="s">
        <v>463</v>
      </c>
    </row>
    <row r="62" spans="1:19" ht="58.25" customHeight="1" thickBot="1" x14ac:dyDescent="0.5">
      <c r="A62" s="1669"/>
      <c r="B62" s="1688"/>
      <c r="C62" s="1692"/>
      <c r="D62" s="933" t="s">
        <v>134</v>
      </c>
      <c r="E62" s="934">
        <f t="shared" ref="E62:E63" si="20">$C$61/4</f>
        <v>0.8928571428571429</v>
      </c>
      <c r="F62" s="1058" t="s">
        <v>276</v>
      </c>
      <c r="G62" s="934">
        <f>$E$62/1</f>
        <v>0.8928571428571429</v>
      </c>
      <c r="H62" s="557"/>
      <c r="I62" s="558"/>
      <c r="J62" s="1071">
        <f>IF(I62=H62,(H62-70),H62-I62)</f>
        <v>-70</v>
      </c>
      <c r="K62" s="914">
        <f t="shared" ref="K62:K63" si="21">IF(I62&gt;=70,0,((70-I62)*(6/10)))</f>
        <v>42</v>
      </c>
      <c r="L62" s="1072">
        <f t="shared" si="19"/>
        <v>42</v>
      </c>
      <c r="M62" s="916" t="str">
        <f>IF(K62&lt;&gt;0,"0%",J62/K62)</f>
        <v>0%</v>
      </c>
      <c r="N62" s="1749"/>
      <c r="O62" s="1700"/>
      <c r="P62" s="1703"/>
      <c r="Q62" s="999" t="s">
        <v>182</v>
      </c>
      <c r="R62" s="494" t="s">
        <v>415</v>
      </c>
      <c r="S62" s="155" t="s">
        <v>463</v>
      </c>
    </row>
    <row r="63" spans="1:19" ht="26.45" customHeight="1" thickBot="1" x14ac:dyDescent="0.5">
      <c r="A63" s="1669"/>
      <c r="B63" s="1688"/>
      <c r="C63" s="1692"/>
      <c r="D63" s="933" t="s">
        <v>135</v>
      </c>
      <c r="E63" s="934">
        <f t="shared" si="20"/>
        <v>0.8928571428571429</v>
      </c>
      <c r="F63" s="933" t="s">
        <v>51</v>
      </c>
      <c r="G63" s="934">
        <f>E63/1</f>
        <v>0.8928571428571429</v>
      </c>
      <c r="H63" s="557"/>
      <c r="I63" s="558"/>
      <c r="J63" s="1071">
        <f>IF(I63=H63,(H63-70),H63-I63)</f>
        <v>-70</v>
      </c>
      <c r="K63" s="914">
        <f t="shared" si="21"/>
        <v>42</v>
      </c>
      <c r="L63" s="1072">
        <f t="shared" si="19"/>
        <v>42</v>
      </c>
      <c r="M63" s="916" t="str">
        <f>IF(K63&lt;&gt;0,"0%",J63/K63)</f>
        <v>0%</v>
      </c>
      <c r="N63" s="1749"/>
      <c r="O63" s="1700"/>
      <c r="P63" s="1703"/>
      <c r="Q63" s="999" t="s">
        <v>95</v>
      </c>
      <c r="R63" s="495"/>
      <c r="S63" s="155" t="s">
        <v>463</v>
      </c>
    </row>
    <row r="64" spans="1:19" ht="15" customHeight="1" thickBot="1" x14ac:dyDescent="0.5">
      <c r="A64" s="1669"/>
      <c r="B64" s="1688"/>
      <c r="C64" s="1692"/>
      <c r="D64" s="1721" t="s">
        <v>136</v>
      </c>
      <c r="E64" s="1723">
        <f>$C$61/4</f>
        <v>0.8928571428571429</v>
      </c>
      <c r="F64" s="1073" t="s">
        <v>52</v>
      </c>
      <c r="G64" s="890">
        <f>$E$64/3</f>
        <v>0.29761904761904762</v>
      </c>
      <c r="H64" s="559">
        <v>100</v>
      </c>
      <c r="I64" s="560">
        <v>100</v>
      </c>
      <c r="J64" s="1075">
        <f t="shared" ref="J64:J66" si="22">H64-I64</f>
        <v>0</v>
      </c>
      <c r="K64" s="1076">
        <f>(100-I64)*(6/10)</f>
        <v>0</v>
      </c>
      <c r="L64" s="1072">
        <f t="shared" si="19"/>
        <v>100</v>
      </c>
      <c r="M64" s="916" t="str">
        <f t="shared" ref="M64:M66" si="23">IF(K64&lt;&gt;0,J64/K64,"100%")</f>
        <v>100%</v>
      </c>
      <c r="N64" s="1749"/>
      <c r="O64" s="1700"/>
      <c r="P64" s="1703"/>
      <c r="Q64" s="999" t="s">
        <v>95</v>
      </c>
      <c r="R64" s="496"/>
      <c r="S64" s="489" t="s">
        <v>416</v>
      </c>
    </row>
    <row r="65" spans="1:19" ht="14.65" thickBot="1" x14ac:dyDescent="0.5">
      <c r="A65" s="1669"/>
      <c r="B65" s="1688"/>
      <c r="C65" s="1692"/>
      <c r="D65" s="1721"/>
      <c r="E65" s="1723"/>
      <c r="F65" s="1073" t="s">
        <v>53</v>
      </c>
      <c r="G65" s="890">
        <f t="shared" ref="G65:G66" si="24">$E$64/3</f>
        <v>0.29761904761904762</v>
      </c>
      <c r="H65" s="559">
        <v>0</v>
      </c>
      <c r="I65" s="560">
        <v>0</v>
      </c>
      <c r="J65" s="1075">
        <f t="shared" si="22"/>
        <v>0</v>
      </c>
      <c r="K65" s="1076">
        <f>(100-I65)*(6/10)</f>
        <v>60</v>
      </c>
      <c r="L65" s="1072">
        <f t="shared" si="19"/>
        <v>60</v>
      </c>
      <c r="M65" s="916">
        <f t="shared" si="23"/>
        <v>0</v>
      </c>
      <c r="N65" s="1749"/>
      <c r="O65" s="1700"/>
      <c r="P65" s="1703"/>
      <c r="Q65" s="999" t="s">
        <v>95</v>
      </c>
      <c r="R65" s="495"/>
      <c r="S65" s="489" t="s">
        <v>416</v>
      </c>
    </row>
    <row r="66" spans="1:19" ht="27.6" customHeight="1" thickBot="1" x14ac:dyDescent="0.5">
      <c r="A66" s="1669"/>
      <c r="B66" s="1739"/>
      <c r="C66" s="1729"/>
      <c r="D66" s="1728"/>
      <c r="E66" s="1752"/>
      <c r="F66" s="1077" t="s">
        <v>54</v>
      </c>
      <c r="G66" s="1241">
        <f t="shared" si="24"/>
        <v>0.29761904761904762</v>
      </c>
      <c r="H66" s="387"/>
      <c r="I66" s="388"/>
      <c r="J66" s="1079">
        <f t="shared" si="22"/>
        <v>0</v>
      </c>
      <c r="K66" s="1080">
        <f>(100-I66)*(6/10)</f>
        <v>60</v>
      </c>
      <c r="L66" s="1081">
        <f t="shared" si="19"/>
        <v>60</v>
      </c>
      <c r="M66" s="874">
        <f t="shared" si="23"/>
        <v>0</v>
      </c>
      <c r="N66" s="1750"/>
      <c r="O66" s="1701"/>
      <c r="P66" s="1679"/>
      <c r="Q66" s="1082" t="s">
        <v>95</v>
      </c>
      <c r="R66" s="488"/>
      <c r="S66" s="155" t="s">
        <v>463</v>
      </c>
    </row>
    <row r="67" spans="1:19" ht="27" customHeight="1" thickBot="1" x14ac:dyDescent="0.5">
      <c r="B67" s="1684" t="s">
        <v>55</v>
      </c>
      <c r="C67" s="1685"/>
      <c r="D67" s="1685"/>
      <c r="E67" s="1685"/>
      <c r="F67" s="1686"/>
      <c r="G67" s="923"/>
      <c r="H67" s="134"/>
      <c r="I67" s="135"/>
      <c r="J67" s="1016"/>
      <c r="K67" s="1016"/>
      <c r="L67" s="1016"/>
      <c r="M67" s="923"/>
      <c r="N67" s="833">
        <f>N68</f>
        <v>0</v>
      </c>
      <c r="O67" s="834">
        <f>O68</f>
        <v>0</v>
      </c>
      <c r="P67" s="835">
        <f>O67/3.571428</f>
        <v>0</v>
      </c>
      <c r="Q67" s="1083"/>
      <c r="R67" s="274"/>
      <c r="S67" s="269"/>
    </row>
    <row r="68" spans="1:19" ht="58.5" thickBot="1" x14ac:dyDescent="0.5">
      <c r="A68" s="16">
        <v>17</v>
      </c>
      <c r="B68" s="1084" t="s">
        <v>56</v>
      </c>
      <c r="C68" s="1085">
        <f>M5</f>
        <v>3.5714285714285716</v>
      </c>
      <c r="D68" s="1084" t="s">
        <v>137</v>
      </c>
      <c r="E68" s="1085">
        <f>C68</f>
        <v>3.5714285714285716</v>
      </c>
      <c r="F68" s="1084" t="s">
        <v>57</v>
      </c>
      <c r="G68" s="1086">
        <f>E68/1</f>
        <v>3.5714285714285716</v>
      </c>
      <c r="H68" s="359"/>
      <c r="I68" s="395"/>
      <c r="J68" s="1242">
        <f>IF(I68=H68,(H68-70),I68-H68)</f>
        <v>-70</v>
      </c>
      <c r="K68" s="982">
        <f t="shared" ref="K68" si="25">IF(I68&gt;=70,0,((70-I68)*(6/10)))</f>
        <v>42</v>
      </c>
      <c r="L68" s="1090">
        <f>I68-K68</f>
        <v>-42</v>
      </c>
      <c r="M68" s="916" t="str">
        <f>IF(K68&lt;&gt;0,"0%",J68/K68)</f>
        <v>0%</v>
      </c>
      <c r="N68" s="1091">
        <f>((G68/C68)*M68)</f>
        <v>0</v>
      </c>
      <c r="O68" s="970">
        <f>IF(((G68/C68)*M68)&gt;=1,3.571428,IF(((G68/C68)*M68)&lt;=0,0,((G68/C68)*M68)*3.571428))</f>
        <v>0</v>
      </c>
      <c r="P68" s="835">
        <f>O68/3.571428</f>
        <v>0</v>
      </c>
      <c r="Q68" s="1092" t="s">
        <v>132</v>
      </c>
      <c r="R68" s="275"/>
      <c r="S68" s="155" t="s">
        <v>463</v>
      </c>
    </row>
    <row r="69" spans="1:19" ht="22.25" customHeight="1" thickBot="1" x14ac:dyDescent="0.5">
      <c r="B69" s="1575" t="s">
        <v>58</v>
      </c>
      <c r="C69" s="1576"/>
      <c r="D69" s="1576"/>
      <c r="E69" s="1576"/>
      <c r="F69" s="1577"/>
      <c r="G69" s="173"/>
      <c r="H69" s="128"/>
      <c r="I69" s="129"/>
      <c r="J69" s="79"/>
      <c r="K69" s="79"/>
      <c r="L69" s="79"/>
      <c r="M69" s="1093"/>
      <c r="N69" s="833">
        <f>(N70+N72+N74)/3</f>
        <v>1</v>
      </c>
      <c r="O69" s="834">
        <f>(O70+O72+O74)</f>
        <v>10.714283999999999</v>
      </c>
      <c r="P69" s="835">
        <f>O69/10.714284</f>
        <v>1</v>
      </c>
      <c r="Q69" s="808"/>
      <c r="R69" s="193"/>
      <c r="S69" s="276"/>
    </row>
    <row r="70" spans="1:19" ht="20.45" customHeight="1" thickBot="1" x14ac:dyDescent="0.5">
      <c r="B70" s="1704" t="s">
        <v>59</v>
      </c>
      <c r="C70" s="1705"/>
      <c r="D70" s="1705"/>
      <c r="E70" s="1705"/>
      <c r="F70" s="1706"/>
      <c r="G70" s="923"/>
      <c r="H70" s="120"/>
      <c r="I70" s="121"/>
      <c r="J70" s="924"/>
      <c r="K70" s="924"/>
      <c r="L70" s="924"/>
      <c r="M70" s="1094"/>
      <c r="N70" s="833">
        <f>N71</f>
        <v>1</v>
      </c>
      <c r="O70" s="834">
        <f>O71</f>
        <v>3.571428</v>
      </c>
      <c r="P70" s="835">
        <f t="shared" ref="P70:P78" si="26">O70/3.571428</f>
        <v>1</v>
      </c>
      <c r="Q70" s="1053"/>
      <c r="R70" s="269"/>
      <c r="S70" s="269"/>
    </row>
    <row r="71" spans="1:19" ht="52.25" customHeight="1" thickBot="1" x14ac:dyDescent="0.5">
      <c r="A71" s="16">
        <v>18</v>
      </c>
      <c r="B71" s="1095" t="s">
        <v>60</v>
      </c>
      <c r="C71" s="1096">
        <f>M5</f>
        <v>3.5714285714285716</v>
      </c>
      <c r="D71" s="1097" t="s">
        <v>138</v>
      </c>
      <c r="E71" s="1098">
        <f>C71</f>
        <v>3.5714285714285716</v>
      </c>
      <c r="F71" s="1099" t="s">
        <v>61</v>
      </c>
      <c r="G71" s="1100">
        <f>E71/1</f>
        <v>3.5714285714285716</v>
      </c>
      <c r="H71" s="82">
        <v>0</v>
      </c>
      <c r="I71" s="87">
        <v>0</v>
      </c>
      <c r="J71" s="1243">
        <f>I71-H71</f>
        <v>0</v>
      </c>
      <c r="K71" s="979">
        <f>(0.5*I71)*0.6</f>
        <v>0</v>
      </c>
      <c r="L71" s="1090">
        <f>I71-K71</f>
        <v>0</v>
      </c>
      <c r="M71" s="916" t="str">
        <f t="shared" ref="M71" si="27">IF(K71&lt;&gt;0,J71/K71,"100%")</f>
        <v>100%</v>
      </c>
      <c r="N71" s="1091">
        <f>((G71/C71)*M71)</f>
        <v>1</v>
      </c>
      <c r="O71" s="970">
        <f>IF(((G71/C71)*M71)&gt;=1,3.571428,IF(((G71/C71)*M71)&lt;=0,0,((G71/C71)*M71)*3.571428))</f>
        <v>3.571428</v>
      </c>
      <c r="P71" s="835">
        <f t="shared" si="26"/>
        <v>1</v>
      </c>
      <c r="Q71" s="1102" t="s">
        <v>183</v>
      </c>
      <c r="R71" s="275"/>
      <c r="S71" s="553"/>
    </row>
    <row r="72" spans="1:19" ht="20.45" customHeight="1" thickBot="1" x14ac:dyDescent="0.5">
      <c r="B72" s="1730" t="s">
        <v>277</v>
      </c>
      <c r="C72" s="1731"/>
      <c r="D72" s="1731"/>
      <c r="E72" s="1731"/>
      <c r="F72" s="1733"/>
      <c r="G72" s="985"/>
      <c r="H72" s="118"/>
      <c r="I72" s="119"/>
      <c r="J72" s="987"/>
      <c r="K72" s="987"/>
      <c r="L72" s="987"/>
      <c r="M72" s="988"/>
      <c r="N72" s="833">
        <f>N73</f>
        <v>1</v>
      </c>
      <c r="O72" s="834">
        <f>O73</f>
        <v>3.571428</v>
      </c>
      <c r="P72" s="835">
        <f t="shared" si="26"/>
        <v>1</v>
      </c>
      <c r="Q72" s="1103"/>
      <c r="R72" s="269"/>
      <c r="S72" s="269"/>
    </row>
    <row r="73" spans="1:19" ht="45" customHeight="1" thickBot="1" x14ac:dyDescent="0.5">
      <c r="A73" s="16">
        <v>19</v>
      </c>
      <c r="B73" s="1104" t="s">
        <v>62</v>
      </c>
      <c r="C73" s="1105">
        <f>M5</f>
        <v>3.5714285714285716</v>
      </c>
      <c r="D73" s="1106" t="s">
        <v>139</v>
      </c>
      <c r="E73" s="1105">
        <f>C73</f>
        <v>3.5714285714285716</v>
      </c>
      <c r="F73" s="1107" t="s">
        <v>63</v>
      </c>
      <c r="G73" s="1100">
        <f>E73/1</f>
        <v>3.5714285714285716</v>
      </c>
      <c r="H73" s="82">
        <v>0</v>
      </c>
      <c r="I73" s="87">
        <v>0</v>
      </c>
      <c r="J73" s="1244">
        <f>I73-H73</f>
        <v>0</v>
      </c>
      <c r="K73" s="1110">
        <f>IF(H73&gt;0,(H73),I73)</f>
        <v>0</v>
      </c>
      <c r="L73" s="1111">
        <f>I73-K73</f>
        <v>0</v>
      </c>
      <c r="M73" s="916" t="str">
        <f t="shared" ref="M73" si="28">IF(K73&lt;&gt;0,J73/K73,"100%")</f>
        <v>100%</v>
      </c>
      <c r="N73" s="1091">
        <f>((G73/C73)*M73)</f>
        <v>1</v>
      </c>
      <c r="O73" s="970">
        <f>IF(((G73/C73)*M73)&gt;=1,3.571428,IF(((G73/C73)*M73)&lt;=0,0,((G73/C73)*M73)*3.571428))</f>
        <v>3.571428</v>
      </c>
      <c r="P73" s="835">
        <f t="shared" si="26"/>
        <v>1</v>
      </c>
      <c r="Q73" s="1112" t="s">
        <v>95</v>
      </c>
      <c r="R73" s="275"/>
      <c r="S73" s="553"/>
    </row>
    <row r="74" spans="1:19" ht="30.6" customHeight="1" thickBot="1" x14ac:dyDescent="0.5">
      <c r="B74" s="1704" t="s">
        <v>64</v>
      </c>
      <c r="C74" s="1705"/>
      <c r="D74" s="1705"/>
      <c r="E74" s="1705"/>
      <c r="F74" s="1706"/>
      <c r="G74" s="925"/>
      <c r="H74" s="120"/>
      <c r="I74" s="121"/>
      <c r="J74" s="924"/>
      <c r="K74" s="924"/>
      <c r="L74" s="924"/>
      <c r="M74" s="923"/>
      <c r="N74" s="833">
        <f>N75</f>
        <v>1</v>
      </c>
      <c r="O74" s="834">
        <f>O75</f>
        <v>3.571428</v>
      </c>
      <c r="P74" s="835">
        <f t="shared" si="26"/>
        <v>1</v>
      </c>
      <c r="Q74" s="1053"/>
      <c r="R74" s="269"/>
      <c r="S74" s="269"/>
    </row>
    <row r="75" spans="1:19" ht="29.45" customHeight="1" thickBot="1" x14ac:dyDescent="0.5">
      <c r="A75" s="16">
        <v>20</v>
      </c>
      <c r="B75" s="1104" t="s">
        <v>65</v>
      </c>
      <c r="C75" s="964">
        <f>M5</f>
        <v>3.5714285714285716</v>
      </c>
      <c r="D75" s="1097" t="s">
        <v>140</v>
      </c>
      <c r="E75" s="1113">
        <f>C75</f>
        <v>3.5714285714285716</v>
      </c>
      <c r="F75" s="1106" t="s">
        <v>66</v>
      </c>
      <c r="G75" s="1100">
        <f>E75/1</f>
        <v>3.5714285714285716</v>
      </c>
      <c r="H75" s="1114">
        <v>1</v>
      </c>
      <c r="I75" s="1088">
        <v>1</v>
      </c>
      <c r="J75" s="1240">
        <f>H75-I75</f>
        <v>0</v>
      </c>
      <c r="K75" s="1050">
        <f>IF(AND(H75=0,I75=1)," 1",(H75-I75))</f>
        <v>0</v>
      </c>
      <c r="L75" s="1115">
        <f>I75+K75</f>
        <v>1</v>
      </c>
      <c r="M75" s="1116">
        <f>(IF(I75=1,1,(J75/K75)))</f>
        <v>1</v>
      </c>
      <c r="N75" s="1091">
        <f>((G75/C75)*M75)</f>
        <v>1</v>
      </c>
      <c r="O75" s="970">
        <f>IF(((G75/C75)*M75)&gt;=1,3.571428,IF(((G75/C75)*M75)&lt;=0,0,((G75/C75)*M75)*3.571428))</f>
        <v>3.571428</v>
      </c>
      <c r="P75" s="835">
        <f t="shared" si="26"/>
        <v>1</v>
      </c>
      <c r="Q75" s="1117" t="s">
        <v>95</v>
      </c>
      <c r="R75" s="277"/>
      <c r="S75" s="93" t="s">
        <v>442</v>
      </c>
    </row>
    <row r="76" spans="1:19" ht="20.45" customHeight="1" thickBot="1" x14ac:dyDescent="0.5">
      <c r="B76" s="1763" t="s">
        <v>67</v>
      </c>
      <c r="C76" s="1764"/>
      <c r="D76" s="1764"/>
      <c r="E76" s="1764"/>
      <c r="F76" s="1765"/>
      <c r="G76" s="1118"/>
      <c r="H76" s="130"/>
      <c r="I76" s="131"/>
      <c r="J76" s="807"/>
      <c r="K76" s="807"/>
      <c r="L76" s="807"/>
      <c r="M76" s="1118"/>
      <c r="N76" s="833">
        <f t="shared" ref="N76:O77" si="29">N77</f>
        <v>0</v>
      </c>
      <c r="O76" s="834">
        <f t="shared" si="29"/>
        <v>0</v>
      </c>
      <c r="P76" s="835">
        <f t="shared" si="26"/>
        <v>0</v>
      </c>
      <c r="Q76" s="1120"/>
      <c r="R76" s="278"/>
      <c r="S76" s="278"/>
    </row>
    <row r="77" spans="1:19" ht="20.45" customHeight="1" thickBot="1" x14ac:dyDescent="0.5">
      <c r="B77" s="1704" t="s">
        <v>68</v>
      </c>
      <c r="C77" s="1705"/>
      <c r="D77" s="1705"/>
      <c r="E77" s="1705"/>
      <c r="F77" s="1706"/>
      <c r="G77" s="923"/>
      <c r="H77" s="120"/>
      <c r="I77" s="121"/>
      <c r="J77" s="947"/>
      <c r="K77" s="947"/>
      <c r="L77" s="947"/>
      <c r="M77" s="925"/>
      <c r="N77" s="833">
        <f t="shared" si="29"/>
        <v>0</v>
      </c>
      <c r="O77" s="834">
        <f t="shared" si="29"/>
        <v>0</v>
      </c>
      <c r="P77" s="835">
        <f t="shared" si="26"/>
        <v>0</v>
      </c>
      <c r="Q77" s="1053"/>
      <c r="R77" s="269"/>
      <c r="S77" s="269"/>
    </row>
    <row r="78" spans="1:19" ht="35.25" thickBot="1" x14ac:dyDescent="0.5">
      <c r="A78" s="16">
        <v>21</v>
      </c>
      <c r="B78" s="1104" t="s">
        <v>69</v>
      </c>
      <c r="C78" s="1113">
        <f>M5</f>
        <v>3.5714285714285716</v>
      </c>
      <c r="D78" s="1121" t="s">
        <v>141</v>
      </c>
      <c r="E78" s="1113">
        <f>C78</f>
        <v>3.5714285714285716</v>
      </c>
      <c r="F78" s="1121" t="s">
        <v>70</v>
      </c>
      <c r="G78" s="1085">
        <f>E78/1</f>
        <v>3.5714285714285716</v>
      </c>
      <c r="H78" s="358"/>
      <c r="I78" s="395"/>
      <c r="J78" s="1242">
        <f>IF(I78=H78,(H78-60),H78-I78)</f>
        <v>-60</v>
      </c>
      <c r="K78" s="982">
        <f>IF(I78&gt;=60,0,((60-I78)*(6/10)))</f>
        <v>36</v>
      </c>
      <c r="L78" s="1090">
        <f t="shared" ref="L78" si="30">K78+I78</f>
        <v>36</v>
      </c>
      <c r="M78" s="968">
        <f>IF(I78&gt;=60,(1+(H78-60)/60),(H78/L78))</f>
        <v>0</v>
      </c>
      <c r="N78" s="1091">
        <f>((G78/C78)*M78)</f>
        <v>0</v>
      </c>
      <c r="O78" s="970">
        <f>IF(((G78/C78)*M78)&gt;=1,3.571428,IF(((G78/C78)*M78)&lt;=0,0,((G78/C78)*M78)*3.571428))</f>
        <v>0</v>
      </c>
      <c r="P78" s="835">
        <f t="shared" si="26"/>
        <v>0</v>
      </c>
      <c r="Q78" s="1122" t="s">
        <v>95</v>
      </c>
      <c r="R78" s="275"/>
      <c r="S78" s="155" t="s">
        <v>463</v>
      </c>
    </row>
    <row r="79" spans="1:19" ht="21.6" customHeight="1" thickBot="1" x14ac:dyDescent="0.5">
      <c r="B79" s="1757" t="s">
        <v>71</v>
      </c>
      <c r="C79" s="1758"/>
      <c r="D79" s="1758"/>
      <c r="E79" s="1758"/>
      <c r="F79" s="1759"/>
      <c r="G79" s="1118"/>
      <c r="H79" s="130"/>
      <c r="I79" s="131"/>
      <c r="J79" s="1124"/>
      <c r="K79" s="1124"/>
      <c r="L79" s="1124"/>
      <c r="M79" s="1118"/>
      <c r="N79" s="833">
        <f>(N80+N86)/2</f>
        <v>0.82400550471995027</v>
      </c>
      <c r="O79" s="834">
        <f>(O80+O86)</f>
        <v>6.8395806270802559</v>
      </c>
      <c r="P79" s="835">
        <f>O79/10.714284</f>
        <v>0.63836096066524428</v>
      </c>
      <c r="Q79" s="1120"/>
      <c r="R79" s="278"/>
      <c r="S79" s="278"/>
    </row>
    <row r="80" spans="1:19" ht="20.45" customHeight="1" thickBot="1" x14ac:dyDescent="0.5">
      <c r="B80" s="1684" t="s">
        <v>72</v>
      </c>
      <c r="C80" s="1685"/>
      <c r="D80" s="1685"/>
      <c r="E80" s="1685"/>
      <c r="F80" s="1686"/>
      <c r="G80" s="948"/>
      <c r="H80" s="132"/>
      <c r="I80" s="133"/>
      <c r="J80" s="924"/>
      <c r="K80" s="924"/>
      <c r="L80" s="924"/>
      <c r="M80" s="948"/>
      <c r="N80" s="833">
        <f>(N81+N83)/2</f>
        <v>0.45754144099786642</v>
      </c>
      <c r="O80" s="834">
        <f>(O81+O83)</f>
        <v>3.2681526270802563</v>
      </c>
      <c r="P80" s="835">
        <f>O80/7.142856</f>
        <v>0.45754144099786642</v>
      </c>
      <c r="Q80" s="1125"/>
      <c r="R80" s="255"/>
      <c r="S80" s="255"/>
    </row>
    <row r="81" spans="1:19" ht="46.9" thickBot="1" x14ac:dyDescent="0.5">
      <c r="A81" s="16"/>
      <c r="B81" s="1760" t="s">
        <v>73</v>
      </c>
      <c r="C81" s="1691">
        <f>M5</f>
        <v>3.5714285714285716</v>
      </c>
      <c r="D81" s="926" t="s">
        <v>267</v>
      </c>
      <c r="E81" s="853">
        <f>$C$81/2</f>
        <v>1.7857142857142858</v>
      </c>
      <c r="F81" s="1054" t="s">
        <v>278</v>
      </c>
      <c r="G81" s="853">
        <f>E81/1</f>
        <v>1.7857142857142858</v>
      </c>
      <c r="H81" s="362"/>
      <c r="I81" s="375"/>
      <c r="J81" s="1019">
        <f>IF(I81=H81,(H81-50),H81-I81)</f>
        <v>-50</v>
      </c>
      <c r="K81" s="909">
        <f>IF(I81&gt;=50,0,((50-I81)*(6/10)))</f>
        <v>30</v>
      </c>
      <c r="L81" s="1126">
        <f>I81+K81</f>
        <v>30</v>
      </c>
      <c r="M81" s="916" t="str">
        <f>IF(K81&lt;&gt;0,"0%",J81/K81)</f>
        <v>0%</v>
      </c>
      <c r="N81" s="1748">
        <f>(((G81/C81)*M81)+((G82/C81)*M82))</f>
        <v>0.53333333333333333</v>
      </c>
      <c r="O81" s="1676">
        <f>IF((((G81/C81)*M81)+((G82/C81)*M82))&gt;=1,3.57148,IF((((G81/C81)*M81)+((G82/C81)*M82))&lt;=0,0, (((G81/C81)*M81)+((G82/C81)*M82))*3.571428))</f>
        <v>1.9047616000000001</v>
      </c>
      <c r="P81" s="1678">
        <f>O81/3.571428</f>
        <v>0.53333333333333333</v>
      </c>
      <c r="Q81" s="1127" t="s">
        <v>279</v>
      </c>
      <c r="R81" s="497"/>
      <c r="S81" s="155" t="s">
        <v>463</v>
      </c>
    </row>
    <row r="82" spans="1:19" ht="39.6" customHeight="1" thickBot="1" x14ac:dyDescent="0.5">
      <c r="A82" s="16"/>
      <c r="B82" s="1761"/>
      <c r="C82" s="1762"/>
      <c r="D82" s="953" t="s">
        <v>268</v>
      </c>
      <c r="E82" s="868">
        <f>$C$81/2</f>
        <v>1.7857142857142858</v>
      </c>
      <c r="F82" s="954" t="s">
        <v>74</v>
      </c>
      <c r="G82" s="868">
        <f>E82/1</f>
        <v>1.7857142857142858</v>
      </c>
      <c r="H82" s="98">
        <v>32</v>
      </c>
      <c r="I82" s="97">
        <v>33</v>
      </c>
      <c r="J82" s="1128">
        <f>IF(I82=H82,(H82-30),H82-I82)</f>
        <v>-1</v>
      </c>
      <c r="K82" s="921">
        <f>IF(I82&gt;=30,0,((30-I82)*(6/10)))</f>
        <v>0</v>
      </c>
      <c r="L82" s="1129">
        <f t="shared" ref="L82" si="31">K82+I82</f>
        <v>33</v>
      </c>
      <c r="M82" s="874">
        <f>IF(I82&gt;=30,(1+(H82-30)/30),(H82/L82))</f>
        <v>1.0666666666666667</v>
      </c>
      <c r="N82" s="1750"/>
      <c r="O82" s="1677"/>
      <c r="P82" s="1679"/>
      <c r="Q82" s="1130" t="s">
        <v>282</v>
      </c>
      <c r="R82" s="526"/>
      <c r="S82" s="502"/>
    </row>
    <row r="83" spans="1:19" ht="60" customHeight="1" thickBot="1" x14ac:dyDescent="0.5">
      <c r="A83" s="16"/>
      <c r="B83" s="1774" t="s">
        <v>142</v>
      </c>
      <c r="C83" s="1776">
        <f>M5</f>
        <v>3.5714285714285716</v>
      </c>
      <c r="D83" s="1131" t="s">
        <v>145</v>
      </c>
      <c r="E83" s="853">
        <f>$C$81/3</f>
        <v>1.1904761904761905</v>
      </c>
      <c r="F83" s="926" t="s">
        <v>143</v>
      </c>
      <c r="G83" s="853">
        <f>E83/1</f>
        <v>1.1904761904761905</v>
      </c>
      <c r="H83" s="362"/>
      <c r="I83" s="929">
        <v>45</v>
      </c>
      <c r="J83" s="1132">
        <f>I83-H83</f>
        <v>45</v>
      </c>
      <c r="K83" s="1008">
        <f>(0.2*I83)*(6/10)</f>
        <v>5.3999999999999995</v>
      </c>
      <c r="L83" s="1133">
        <f>I83-K83</f>
        <v>39.6</v>
      </c>
      <c r="M83" s="916" t="str">
        <f>IF(K83&lt;&gt;0,"0%",J83/K83)</f>
        <v>0%</v>
      </c>
      <c r="N83" s="1779">
        <f>(((G83/C83)*M83)+((G84/C83)*M84)+((G85/C83)*M85))</f>
        <v>0.38174954866239952</v>
      </c>
      <c r="O83" s="1702">
        <f>IF((((G83/C83)*M83)+((G84/C83)*M84)+((G85/C83)*M85))&gt;=1,3.571428,IF((((G83/C83)*M83)+((G84/C83)*M84)+((G85/C83)*M85))&lt;=0,0,(((G83/C83)*M83)+((G84/C83)*M84)+((G85/C83)*M85))*3.571428))</f>
        <v>1.3633910270802563</v>
      </c>
      <c r="P83" s="1678">
        <f>O83/3.571428</f>
        <v>0.38174954866239952</v>
      </c>
      <c r="Q83" s="1134" t="s">
        <v>184</v>
      </c>
      <c r="R83" s="498"/>
      <c r="S83" s="230" t="s">
        <v>473</v>
      </c>
    </row>
    <row r="84" spans="1:19" ht="45" customHeight="1" x14ac:dyDescent="0.45">
      <c r="A84" s="16"/>
      <c r="B84" s="1774"/>
      <c r="C84" s="1777"/>
      <c r="D84" s="1135" t="s">
        <v>146</v>
      </c>
      <c r="E84" s="934">
        <f t="shared" ref="E84:E85" si="32">$C$81/3</f>
        <v>1.1904761904761905</v>
      </c>
      <c r="F84" s="1058" t="s">
        <v>283</v>
      </c>
      <c r="G84" s="934">
        <f>E84/1</f>
        <v>1.1904761904761905</v>
      </c>
      <c r="H84" s="102">
        <v>0</v>
      </c>
      <c r="I84" s="103">
        <v>0</v>
      </c>
      <c r="J84" s="1136">
        <f>I84-H84</f>
        <v>0</v>
      </c>
      <c r="K84" s="1008">
        <f>(0.5*I84)*(6/10)</f>
        <v>0</v>
      </c>
      <c r="L84" s="1137">
        <f>I84-K84</f>
        <v>0</v>
      </c>
      <c r="M84" s="898">
        <f>IF(H84&lt;=0,100%, IF(K84&lt;&gt;0,J84/K84,"0%"))</f>
        <v>1</v>
      </c>
      <c r="N84" s="1780"/>
      <c r="O84" s="1700"/>
      <c r="P84" s="1703"/>
      <c r="Q84" s="1138" t="s">
        <v>185</v>
      </c>
      <c r="R84" s="499"/>
      <c r="S84" s="628" t="s">
        <v>486</v>
      </c>
    </row>
    <row r="85" spans="1:19" ht="38.450000000000003" customHeight="1" thickBot="1" x14ac:dyDescent="0.5">
      <c r="A85" s="16"/>
      <c r="B85" s="1775"/>
      <c r="C85" s="1778"/>
      <c r="D85" s="1139" t="s">
        <v>147</v>
      </c>
      <c r="E85" s="868">
        <f t="shared" si="32"/>
        <v>1.1904761904761905</v>
      </c>
      <c r="F85" s="954" t="s">
        <v>144</v>
      </c>
      <c r="G85" s="868">
        <f>E85/1</f>
        <v>1.1904761904761905</v>
      </c>
      <c r="H85" s="98">
        <v>38.200000000000003</v>
      </c>
      <c r="I85" s="97">
        <v>32.299999999999997</v>
      </c>
      <c r="J85" s="1140">
        <f>H85-I85</f>
        <v>5.9000000000000057</v>
      </c>
      <c r="K85" s="1141">
        <f>(100-I85)*(6/10)</f>
        <v>40.619999999999997</v>
      </c>
      <c r="L85" s="1142">
        <f>I85+K85</f>
        <v>72.919999999999987</v>
      </c>
      <c r="M85" s="898">
        <f>IF(H85&gt;=100,167%, IF(K85&lt;&gt;0,J85/K85,"0%"))</f>
        <v>0.14524864598719858</v>
      </c>
      <c r="N85" s="1781"/>
      <c r="O85" s="1701"/>
      <c r="P85" s="1679"/>
      <c r="Q85" s="1143" t="s">
        <v>284</v>
      </c>
      <c r="R85" s="501"/>
      <c r="S85" s="502"/>
    </row>
    <row r="86" spans="1:19" ht="20.45" customHeight="1" thickBot="1" x14ac:dyDescent="0.5">
      <c r="B86" s="1766" t="s">
        <v>75</v>
      </c>
      <c r="C86" s="1767"/>
      <c r="D86" s="1767"/>
      <c r="E86" s="1767"/>
      <c r="F86" s="1768"/>
      <c r="G86" s="1094"/>
      <c r="H86" s="134"/>
      <c r="I86" s="135"/>
      <c r="J86" s="1145"/>
      <c r="K86" s="1145"/>
      <c r="L86" s="1145"/>
      <c r="M86" s="948"/>
      <c r="N86" s="833">
        <f>N87</f>
        <v>1.1904695684420341</v>
      </c>
      <c r="O86" s="834">
        <f>O87</f>
        <v>3.571428</v>
      </c>
      <c r="P86" s="835">
        <f>O86/3.571428</f>
        <v>1</v>
      </c>
      <c r="Q86" s="1016"/>
      <c r="R86" s="269"/>
      <c r="S86" s="269"/>
    </row>
    <row r="87" spans="1:19" ht="27.6" customHeight="1" x14ac:dyDescent="0.45">
      <c r="A87" s="1710">
        <v>24</v>
      </c>
      <c r="B87" s="1769" t="s">
        <v>76</v>
      </c>
      <c r="C87" s="1771">
        <f>M5</f>
        <v>3.5714285714285716</v>
      </c>
      <c r="D87" s="1004" t="s">
        <v>159</v>
      </c>
      <c r="E87" s="1005">
        <f>($C$87/3)</f>
        <v>1.1904761904761905</v>
      </c>
      <c r="F87" s="1146" t="s">
        <v>285</v>
      </c>
      <c r="G87" s="1005">
        <f>E87/1</f>
        <v>1.1904761904761905</v>
      </c>
      <c r="H87" s="1148">
        <v>10.5</v>
      </c>
      <c r="I87" s="1149">
        <v>15.3</v>
      </c>
      <c r="J87" s="1132">
        <f>I87-H87</f>
        <v>4.8000000000000007</v>
      </c>
      <c r="K87" s="1151">
        <f>(0.25*I87)*(6/10)</f>
        <v>2.2949999999999999</v>
      </c>
      <c r="L87" s="1152">
        <f>I87-K87</f>
        <v>13.005000000000001</v>
      </c>
      <c r="M87" s="859">
        <f>IF(K87&lt;&gt;0,J87/K87,"0%")</f>
        <v>2.0915032679738568</v>
      </c>
      <c r="N87" s="1716">
        <f>(((G87/C87)*M87)+((G88/C87)*M88)+((G89/C87)*M89)+((G90/C87)*M90)+((G91/C87)*M91))</f>
        <v>1.1904695684420341</v>
      </c>
      <c r="O87" s="1702">
        <f>IF((((G87/C87)*M87)+((G88/C87)*M88)+((G89/C87)*M89)+((G90/C87)*M90)+((G91/C87)*M91))&gt;=1,3.571428,IF((((G87/C87)*M87)+((G88/C87)*M88)+((G89/C87)*M89)+((G90/C87)*M90)+((G91/C87)*M91))&lt;=0,0,((((G87/C87)*M87)+((G88/C87)*M88)+((G89/C87)*M89)+((G90/C87)*M90)+((G91/C87)*M91))*3.571428)))</f>
        <v>3.571428</v>
      </c>
      <c r="P87" s="1678">
        <f>O87/3.571428</f>
        <v>1</v>
      </c>
      <c r="Q87" s="1153" t="s">
        <v>186</v>
      </c>
      <c r="R87" s="142"/>
      <c r="S87" s="231"/>
    </row>
    <row r="88" spans="1:19" ht="25.8" customHeight="1" x14ac:dyDescent="0.45">
      <c r="A88" s="1710"/>
      <c r="B88" s="1769"/>
      <c r="C88" s="1772"/>
      <c r="D88" s="1782" t="s">
        <v>160</v>
      </c>
      <c r="E88" s="1783">
        <f>C87/3</f>
        <v>1.1904761904761905</v>
      </c>
      <c r="F88" s="935" t="s">
        <v>77</v>
      </c>
      <c r="G88" s="934">
        <f>$E$88/3</f>
        <v>0.3968253968253968</v>
      </c>
      <c r="H88" s="101">
        <v>9.1</v>
      </c>
      <c r="I88" s="104">
        <v>4.7</v>
      </c>
      <c r="J88" s="1136">
        <f>I88-H88</f>
        <v>-4.3999999999999995</v>
      </c>
      <c r="K88" s="1156">
        <f>I88*(6/10)</f>
        <v>2.82</v>
      </c>
      <c r="L88" s="1157">
        <f>I88-K88</f>
        <v>1.8800000000000003</v>
      </c>
      <c r="M88" s="916">
        <f>IF(K88&lt;&gt;0,J88/K88,"0%")</f>
        <v>-1.5602836879432622</v>
      </c>
      <c r="N88" s="1697"/>
      <c r="O88" s="1700"/>
      <c r="P88" s="1703"/>
      <c r="Q88" s="1158" t="s">
        <v>187</v>
      </c>
      <c r="R88" s="143"/>
      <c r="S88" s="229"/>
    </row>
    <row r="89" spans="1:19" ht="59.65" customHeight="1" thickBot="1" x14ac:dyDescent="0.5">
      <c r="A89" s="1710"/>
      <c r="B89" s="1769"/>
      <c r="C89" s="1772"/>
      <c r="D89" s="1782"/>
      <c r="E89" s="1783"/>
      <c r="F89" s="935" t="s">
        <v>78</v>
      </c>
      <c r="G89" s="934">
        <f>$E$88/3</f>
        <v>0.3968253968253968</v>
      </c>
      <c r="H89" s="365"/>
      <c r="I89" s="104">
        <v>2.7</v>
      </c>
      <c r="J89" s="1136">
        <f>I89-H89</f>
        <v>2.7</v>
      </c>
      <c r="K89" s="1156">
        <f>I89*(6/10)</f>
        <v>1.62</v>
      </c>
      <c r="L89" s="1157">
        <f>I89-K89</f>
        <v>1.08</v>
      </c>
      <c r="M89" s="916" t="str">
        <f>IF(K89&lt;&gt;0,"0%",J89/K89)</f>
        <v>0%</v>
      </c>
      <c r="N89" s="1697"/>
      <c r="O89" s="1700"/>
      <c r="P89" s="1703"/>
      <c r="Q89" s="1158" t="s">
        <v>188</v>
      </c>
      <c r="R89" s="143"/>
      <c r="S89" s="230" t="s">
        <v>473</v>
      </c>
    </row>
    <row r="90" spans="1:19" ht="26.45" customHeight="1" x14ac:dyDescent="0.45">
      <c r="A90" s="1710"/>
      <c r="B90" s="1769"/>
      <c r="C90" s="1772"/>
      <c r="D90" s="1782"/>
      <c r="E90" s="1783"/>
      <c r="F90" s="935" t="s">
        <v>79</v>
      </c>
      <c r="G90" s="934">
        <f>$E$88/3</f>
        <v>0.3968253968253968</v>
      </c>
      <c r="H90" s="105">
        <v>0</v>
      </c>
      <c r="I90" s="106">
        <v>0</v>
      </c>
      <c r="J90" s="1136">
        <f>I90-H90</f>
        <v>0</v>
      </c>
      <c r="K90" s="1159">
        <f>(I90)*(6/10)</f>
        <v>0</v>
      </c>
      <c r="L90" s="1160">
        <f>I90-K90</f>
        <v>0</v>
      </c>
      <c r="M90" s="916" t="str">
        <f>IF(K90&lt;&gt;0,J90/K90,"100%")</f>
        <v>100%</v>
      </c>
      <c r="N90" s="1697"/>
      <c r="O90" s="1700"/>
      <c r="P90" s="1703"/>
      <c r="Q90" s="1161" t="s">
        <v>189</v>
      </c>
      <c r="R90" s="143"/>
      <c r="S90" s="628" t="s">
        <v>487</v>
      </c>
    </row>
    <row r="91" spans="1:19" ht="40.799999999999997" customHeight="1" thickBot="1" x14ac:dyDescent="0.5">
      <c r="A91" s="1710"/>
      <c r="B91" s="1770"/>
      <c r="C91" s="1773"/>
      <c r="D91" s="918" t="s">
        <v>161</v>
      </c>
      <c r="E91" s="868">
        <f>$C$87/3</f>
        <v>1.1904761904761905</v>
      </c>
      <c r="F91" s="1162" t="s">
        <v>80</v>
      </c>
      <c r="G91" s="868">
        <f>E91/1</f>
        <v>1.1904761904761905</v>
      </c>
      <c r="H91" s="100">
        <v>100</v>
      </c>
      <c r="I91" s="107">
        <v>100</v>
      </c>
      <c r="J91" s="1140">
        <f>H91-I91</f>
        <v>0</v>
      </c>
      <c r="K91" s="1141">
        <f>(100-I91)*(6/10)</f>
        <v>0</v>
      </c>
      <c r="L91" s="1165">
        <f>I91+K91</f>
        <v>100</v>
      </c>
      <c r="M91" s="874">
        <f>IF(I91&gt;=60,(1+(H91-60)/60),(H91/L91))</f>
        <v>1.6666666666666665</v>
      </c>
      <c r="N91" s="1698"/>
      <c r="O91" s="1701"/>
      <c r="P91" s="1679"/>
      <c r="Q91" s="1166" t="s">
        <v>95</v>
      </c>
      <c r="R91" s="144"/>
      <c r="S91" s="226"/>
    </row>
    <row r="92" spans="1:19" ht="14.65" thickBot="1" x14ac:dyDescent="0.5">
      <c r="B92" s="1535" t="s">
        <v>81</v>
      </c>
      <c r="C92" s="1536"/>
      <c r="D92" s="1536"/>
      <c r="E92" s="1536"/>
      <c r="F92" s="1537"/>
      <c r="G92" s="629"/>
      <c r="H92" s="130"/>
      <c r="I92" s="131"/>
      <c r="J92" s="11"/>
      <c r="K92" s="11"/>
      <c r="L92" s="11"/>
      <c r="M92" s="173"/>
      <c r="N92" s="833">
        <f>(N93+N97)/2</f>
        <v>0.41053391053391053</v>
      </c>
      <c r="O92" s="834">
        <f>(O93+O97)</f>
        <v>5.3855386666666671</v>
      </c>
      <c r="P92" s="835">
        <f>O92/14.285712</f>
        <v>0.37698776698470943</v>
      </c>
      <c r="Q92" s="1029"/>
      <c r="R92" s="268"/>
      <c r="S92" s="278"/>
    </row>
    <row r="93" spans="1:19" ht="20.45" customHeight="1" thickBot="1" x14ac:dyDescent="0.5">
      <c r="B93" s="1684" t="s">
        <v>82</v>
      </c>
      <c r="C93" s="1685"/>
      <c r="D93" s="1685"/>
      <c r="E93" s="1685"/>
      <c r="F93" s="1686"/>
      <c r="G93" s="923"/>
      <c r="H93" s="120"/>
      <c r="I93" s="121"/>
      <c r="J93" s="947"/>
      <c r="K93" s="947"/>
      <c r="L93" s="947"/>
      <c r="M93" s="948"/>
      <c r="N93" s="833">
        <f>N94</f>
        <v>0.50793650793650791</v>
      </c>
      <c r="O93" s="834">
        <f>O94</f>
        <v>1.8140586666666665</v>
      </c>
      <c r="P93" s="835">
        <f>O93/3.571428</f>
        <v>0.50793650793650791</v>
      </c>
      <c r="Q93" s="1017"/>
      <c r="R93" s="255"/>
      <c r="S93" s="269"/>
    </row>
    <row r="94" spans="1:19" ht="34.799999999999997" customHeight="1" x14ac:dyDescent="0.45">
      <c r="A94" s="1669">
        <v>25</v>
      </c>
      <c r="B94" s="1687" t="s">
        <v>83</v>
      </c>
      <c r="C94" s="1784">
        <f>M5</f>
        <v>3.5714285714285716</v>
      </c>
      <c r="D94" s="1727" t="s">
        <v>214</v>
      </c>
      <c r="E94" s="1018">
        <f>$C$94/3</f>
        <v>1.1904761904761905</v>
      </c>
      <c r="F94" s="926" t="s">
        <v>269</v>
      </c>
      <c r="G94" s="853">
        <f>E94/1</f>
        <v>1.1904761904761905</v>
      </c>
      <c r="H94" s="371">
        <v>100</v>
      </c>
      <c r="I94" s="599">
        <v>100</v>
      </c>
      <c r="J94" s="1245">
        <f>H94-I94</f>
        <v>0</v>
      </c>
      <c r="K94" s="1169">
        <f>(100-I94)*(6/10)</f>
        <v>0</v>
      </c>
      <c r="L94" s="1170">
        <f>I94+K94</f>
        <v>100</v>
      </c>
      <c r="M94" s="859" t="str">
        <f>IF(K94&lt;&gt;0,J94/K94,"100%")</f>
        <v>100%</v>
      </c>
      <c r="N94" s="1748">
        <f>(((G94/C94)*M94)+((G95/C94)*M95)+((G96/C94)*M96))</f>
        <v>0.50793650793650791</v>
      </c>
      <c r="O94" s="1702">
        <f>IF((((G94/C94)*M94)+((G95/C94)*M95)+((G96/C94)*M96))&gt;=1,3.571428,IF((((G94/C94)*M94)+((G95/C94)*M95)+((G96/C94)*M96))&lt;=0,0,(((G94/C94)*M94)+((G95/C94)*M95)+((G96/C94)*M96))*3.571428))</f>
        <v>1.8140586666666665</v>
      </c>
      <c r="P94" s="1678">
        <f>O94/3.571428</f>
        <v>0.50793650793650791</v>
      </c>
      <c r="Q94" s="1171" t="s">
        <v>190</v>
      </c>
      <c r="R94" s="194"/>
      <c r="S94" s="194"/>
    </row>
    <row r="95" spans="1:19" ht="39.6" customHeight="1" x14ac:dyDescent="0.45">
      <c r="A95" s="1669"/>
      <c r="B95" s="1688"/>
      <c r="C95" s="1785"/>
      <c r="D95" s="1721"/>
      <c r="E95" s="1172">
        <f t="shared" ref="E95:E96" si="33">$C$94/3</f>
        <v>1.1904761904761905</v>
      </c>
      <c r="F95" s="1058" t="s">
        <v>270</v>
      </c>
      <c r="G95" s="934">
        <f>E95/1</f>
        <v>1.1904761904761905</v>
      </c>
      <c r="H95" s="233">
        <v>0.1</v>
      </c>
      <c r="I95" s="234">
        <v>0.3</v>
      </c>
      <c r="J95" s="1136">
        <f>IF(AND(I95&gt;1,(H95-I95=0)),(H95-1),(H95-I95))</f>
        <v>-0.19999999999999998</v>
      </c>
      <c r="K95" s="997">
        <f>IF(AND(I95&gt;=1,H95&gt;=1),"0",((1-I95)*(6/10)))</f>
        <v>0.42</v>
      </c>
      <c r="L95" s="1173">
        <f t="shared" ref="L95:L96" si="34">I95+K95</f>
        <v>0.72</v>
      </c>
      <c r="M95" s="916">
        <f>IF(I95&gt;=1,(1+(H95-1)/1),(J95/K95))</f>
        <v>-0.47619047619047616</v>
      </c>
      <c r="N95" s="1749"/>
      <c r="O95" s="1700"/>
      <c r="P95" s="1703"/>
      <c r="Q95" s="1174" t="s">
        <v>191</v>
      </c>
      <c r="R95" s="229"/>
      <c r="S95" s="229"/>
    </row>
    <row r="96" spans="1:19" ht="41.45" customHeight="1" thickBot="1" x14ac:dyDescent="0.5">
      <c r="A96" s="1669"/>
      <c r="B96" s="1739"/>
      <c r="C96" s="1786"/>
      <c r="D96" s="1728"/>
      <c r="E96" s="1021">
        <f t="shared" si="33"/>
        <v>1.1904761904761905</v>
      </c>
      <c r="F96" s="953" t="s">
        <v>84</v>
      </c>
      <c r="G96" s="868">
        <f>E96/1</f>
        <v>1.1904761904761905</v>
      </c>
      <c r="H96" s="85">
        <v>100</v>
      </c>
      <c r="I96" s="86">
        <v>100</v>
      </c>
      <c r="J96" s="1140">
        <f>H96-I96</f>
        <v>0</v>
      </c>
      <c r="K96" s="1141">
        <f>(100-I96)*(6/10)</f>
        <v>0</v>
      </c>
      <c r="L96" s="1165">
        <f t="shared" si="34"/>
        <v>100</v>
      </c>
      <c r="M96" s="874" t="str">
        <f>IF(K96&lt;&gt;0,J96/K96,"100%")</f>
        <v>100%</v>
      </c>
      <c r="N96" s="1750"/>
      <c r="O96" s="1701"/>
      <c r="P96" s="1679"/>
      <c r="Q96" s="1175" t="s">
        <v>95</v>
      </c>
      <c r="R96" s="226"/>
      <c r="S96" s="226" t="s">
        <v>443</v>
      </c>
    </row>
    <row r="97" spans="1:19" ht="18" customHeight="1" thickBot="1" x14ac:dyDescent="0.5">
      <c r="B97" s="1787" t="s">
        <v>85</v>
      </c>
      <c r="C97" s="1788"/>
      <c r="D97" s="1788"/>
      <c r="E97" s="1788"/>
      <c r="F97" s="1789"/>
      <c r="G97" s="1246"/>
      <c r="H97" s="109"/>
      <c r="I97" s="110"/>
      <c r="J97" s="1177"/>
      <c r="K97" s="1177"/>
      <c r="L97" s="1177"/>
      <c r="M97" s="1178"/>
      <c r="N97" s="1179">
        <f>(N98+N99+N100)/3</f>
        <v>0.31313131313131315</v>
      </c>
      <c r="O97" s="1180">
        <f>(O98+O99+O100)</f>
        <v>3.5714800000000002</v>
      </c>
      <c r="P97" s="835">
        <f>O97/10.714284</f>
        <v>0.33333818666744325</v>
      </c>
      <c r="Q97" s="1181"/>
      <c r="R97" s="255"/>
      <c r="S97" s="255"/>
    </row>
    <row r="98" spans="1:19" ht="29.45" customHeight="1" thickBot="1" x14ac:dyDescent="0.5">
      <c r="A98" s="16">
        <v>26</v>
      </c>
      <c r="B98" s="961" t="s">
        <v>86</v>
      </c>
      <c r="C98" s="962">
        <f>$M$5</f>
        <v>3.5714285714285716</v>
      </c>
      <c r="D98" s="961" t="s">
        <v>215</v>
      </c>
      <c r="E98" s="962">
        <f>C98/1</f>
        <v>3.5714285714285716</v>
      </c>
      <c r="F98" s="1095" t="s">
        <v>291</v>
      </c>
      <c r="G98" s="964">
        <f>E98/1</f>
        <v>3.5714285714285716</v>
      </c>
      <c r="H98" s="359"/>
      <c r="I98" s="395"/>
      <c r="J98" s="1242">
        <f>IF(I98=H98,(H98-10),H98-I98)</f>
        <v>-10</v>
      </c>
      <c r="K98" s="982">
        <f>IF(I98&gt;=10,0,((10-I98)*(6/10)))</f>
        <v>6</v>
      </c>
      <c r="L98" s="1090">
        <f>I98+K98</f>
        <v>6</v>
      </c>
      <c r="M98" s="916" t="str">
        <f>IF(K98&lt;&gt;0,"0%",J98/K98)</f>
        <v>0%</v>
      </c>
      <c r="N98" s="1091">
        <f>((G98/C98)*M98)</f>
        <v>0</v>
      </c>
      <c r="O98" s="970">
        <f>IF(((G98/C98)*M98)&gt;=1,3.571428,IF(((G98/C98)*M98)&lt;=0,0,((G98/C98)*M98)*3.571428))</f>
        <v>0</v>
      </c>
      <c r="P98" s="835">
        <f>O98/3.571428</f>
        <v>0</v>
      </c>
      <c r="Q98" s="1183" t="s">
        <v>95</v>
      </c>
      <c r="R98" s="289"/>
      <c r="S98" s="155" t="s">
        <v>463</v>
      </c>
    </row>
    <row r="99" spans="1:19" ht="35.25" thickBot="1" x14ac:dyDescent="0.5">
      <c r="A99" s="16">
        <v>27</v>
      </c>
      <c r="B99" s="961" t="s">
        <v>87</v>
      </c>
      <c r="C99" s="962">
        <f>$M$5</f>
        <v>3.5714285714285716</v>
      </c>
      <c r="D99" s="961" t="s">
        <v>216</v>
      </c>
      <c r="E99" s="962">
        <f>C99/1</f>
        <v>3.5714285714285716</v>
      </c>
      <c r="F99" s="1095" t="s">
        <v>271</v>
      </c>
      <c r="G99" s="964">
        <f>E99/1</f>
        <v>3.5714285714285716</v>
      </c>
      <c r="H99" s="82">
        <v>18</v>
      </c>
      <c r="I99" s="87">
        <v>20</v>
      </c>
      <c r="J99" s="1242">
        <f>IF(I99=H99,(H99-75),H99-I99)</f>
        <v>-2</v>
      </c>
      <c r="K99" s="982">
        <f>IF(I99&gt;=75,0,((75-I99)*(6/10)))</f>
        <v>33</v>
      </c>
      <c r="L99" s="1115">
        <f>I99+K99</f>
        <v>53</v>
      </c>
      <c r="M99" s="1184">
        <f>IF(I99&gt;=75,(1+(H99-75)/75),(J99/K99))</f>
        <v>-6.0606060606060608E-2</v>
      </c>
      <c r="N99" s="1091">
        <f>((G99/C99)*M99)</f>
        <v>-6.0606060606060608E-2</v>
      </c>
      <c r="O99" s="970">
        <f>IF(((G99/C99)*M99)&gt;=1,3.571428,IF(((G99/C99)*M99)&lt;=0,0,((G99/C99)*M99)*3.571428))</f>
        <v>0</v>
      </c>
      <c r="P99" s="835">
        <f>O99/3.571428</f>
        <v>0</v>
      </c>
      <c r="Q99" s="1183" t="s">
        <v>192</v>
      </c>
      <c r="R99" s="290"/>
      <c r="S99" s="177" t="s">
        <v>444</v>
      </c>
    </row>
    <row r="100" spans="1:19" ht="30.75" thickBot="1" x14ac:dyDescent="0.5">
      <c r="A100" s="1669">
        <v>28</v>
      </c>
      <c r="B100" s="1790" t="s">
        <v>88</v>
      </c>
      <c r="C100" s="1792">
        <f>M5</f>
        <v>3.5714285714285716</v>
      </c>
      <c r="D100" s="1790" t="s">
        <v>217</v>
      </c>
      <c r="E100" s="1792">
        <f>C100/1</f>
        <v>3.5714285714285716</v>
      </c>
      <c r="F100" s="1054" t="s">
        <v>89</v>
      </c>
      <c r="G100" s="853">
        <f>$E$100/2</f>
        <v>1.7857142857142858</v>
      </c>
      <c r="H100" s="83">
        <v>0</v>
      </c>
      <c r="I100" s="84">
        <v>0</v>
      </c>
      <c r="J100" s="1019">
        <f>IF(I100=H100,(25-H100),I100-H100)</f>
        <v>25</v>
      </c>
      <c r="K100" s="1035">
        <f>IF(I100&lt;=25,0,((0.25*I100)*(6/10)))</f>
        <v>0</v>
      </c>
      <c r="L100" s="1186">
        <f>I100-K100</f>
        <v>0</v>
      </c>
      <c r="M100" s="859">
        <f>IF(I100&lt;=25,(1+(25-H100)/25),(J100/K100))</f>
        <v>2</v>
      </c>
      <c r="N100" s="1795">
        <f>((G100/$C$100)*M100)+((G101/$C$100)*M101)</f>
        <v>1</v>
      </c>
      <c r="O100" s="1676">
        <f>IF((((G100/C100)*M100)+((G101/C100)*M101))&gt;=1,3.57148,IF((((G100/C100)*M100)+((G101/C100)*M101))&lt;=0,0, (((G100/C100)*M100)+((G101/C100)*M101))*3.571428))</f>
        <v>3.5714800000000002</v>
      </c>
      <c r="P100" s="1678">
        <f>O100/3.571428</f>
        <v>1.0000145600023296</v>
      </c>
      <c r="Q100" s="1187" t="s">
        <v>193</v>
      </c>
      <c r="R100" s="527" t="s">
        <v>436</v>
      </c>
      <c r="S100" s="607" t="s">
        <v>488</v>
      </c>
    </row>
    <row r="101" spans="1:19" ht="38.450000000000003" customHeight="1" thickBot="1" x14ac:dyDescent="0.5">
      <c r="A101" s="1669"/>
      <c r="B101" s="1791"/>
      <c r="C101" s="1793"/>
      <c r="D101" s="1791"/>
      <c r="E101" s="1794"/>
      <c r="F101" s="953" t="s">
        <v>90</v>
      </c>
      <c r="G101" s="868">
        <f>$E$100/2</f>
        <v>1.7857142857142858</v>
      </c>
      <c r="H101" s="360"/>
      <c r="I101" s="376"/>
      <c r="J101" s="1128">
        <f>IF(I101=H101,(H101-25),H101-I101)</f>
        <v>-25</v>
      </c>
      <c r="K101" s="921">
        <f>IF(I101&gt;=25,0,((25-I101)*(6/10)))</f>
        <v>15</v>
      </c>
      <c r="L101" s="1189">
        <f t="shared" ref="L101" si="35">K101+I101</f>
        <v>15</v>
      </c>
      <c r="M101" s="874" t="str">
        <f>IF(K101&lt;&gt;0,"0%",J101/K101)</f>
        <v>0%</v>
      </c>
      <c r="N101" s="1796"/>
      <c r="O101" s="1677"/>
      <c r="P101" s="1679"/>
      <c r="Q101" s="1190" t="s">
        <v>95</v>
      </c>
      <c r="R101" s="292"/>
      <c r="S101" s="155" t="s">
        <v>463</v>
      </c>
    </row>
    <row r="102" spans="1:19" ht="34.25" customHeight="1" thickBot="1" x14ac:dyDescent="0.5">
      <c r="B102" s="1191" t="s">
        <v>194</v>
      </c>
      <c r="C102" s="1192">
        <f>C11+C13+C15+C19+C24+C33+C34+C35+C36+C38+C41+C44+C48+C51+C53+C61+C68+C71+C73+C75+C78+C81+C83+C87+C94+C98+C99+C100</f>
        <v>99.999999999999972</v>
      </c>
      <c r="D102" s="1193"/>
      <c r="E102" s="1192">
        <f>E11+E12+E13+E14+E15+E19+E20+E21+E22+E24+E25+E28+E31+E33+E34+E35+E36+E38+E39+E41+E42+E44+E45+E48+E49++E51+E53+E54+E55+E56+E57+E61+E62+E63+E64+E68+E71+E73+E75+E78+E81++E82+E83+E84+E85+E87+E88+E91+E94+E95+E96+E98+E99+E100</f>
        <v>100.00714285714285</v>
      </c>
      <c r="F102" s="1194"/>
      <c r="G102" s="1192">
        <f>G11+G12+G13+G14+G15+G16+G17+G19+G20+G21+G22+G24+G25+G26+G27+G28+G29+G30+G31+G33+G34+G35+G36+G38+G39+G41+G42+G44+G45+G48+G49+G51+G53+G54+G55+G56+G57+G58+G61+G62+G63+G64+G65+G66+G68+G71+G73+G75+G78+G81+G82+G83+G84+G85+G87+G88+G89+G90+G91+G94+G95+G96+G98+G99+G100+G101</f>
        <v>100.00714285714285</v>
      </c>
      <c r="H102" s="1195"/>
      <c r="I102" s="1196"/>
      <c r="J102" s="1195"/>
      <c r="K102" s="1197"/>
      <c r="L102" s="1194"/>
      <c r="M102" s="1198"/>
      <c r="N102" s="1199"/>
      <c r="O102" s="1200"/>
      <c r="P102" s="1200"/>
      <c r="Q102" s="1201"/>
      <c r="R102" s="17"/>
      <c r="S102" s="18"/>
    </row>
    <row r="104" spans="1:19" ht="15.75" x14ac:dyDescent="0.5">
      <c r="B104" s="19"/>
    </row>
    <row r="107" spans="1:19" ht="15.75" x14ac:dyDescent="0.5">
      <c r="B107" s="19"/>
    </row>
    <row r="108" spans="1:19" x14ac:dyDescent="0.45">
      <c r="B108" s="20"/>
    </row>
    <row r="109" spans="1:19" x14ac:dyDescent="0.45">
      <c r="B109" s="20"/>
    </row>
    <row r="111" spans="1:19" x14ac:dyDescent="0.45">
      <c r="E111"/>
      <c r="F111" s="1202" t="s">
        <v>196</v>
      </c>
    </row>
    <row r="112" spans="1:19" x14ac:dyDescent="0.45">
      <c r="E112" s="1203">
        <v>1</v>
      </c>
      <c r="F112" s="1203" t="s">
        <v>197</v>
      </c>
    </row>
    <row r="113" spans="5:6" x14ac:dyDescent="0.45">
      <c r="E113" s="1203">
        <v>2</v>
      </c>
      <c r="F113" s="1203" t="s">
        <v>227</v>
      </c>
    </row>
    <row r="114" spans="5:6" x14ac:dyDescent="0.45">
      <c r="E114" s="1203">
        <v>3</v>
      </c>
      <c r="F114" s="1203" t="s">
        <v>228</v>
      </c>
    </row>
    <row r="115" spans="5:6" x14ac:dyDescent="0.45">
      <c r="E115" s="1203">
        <v>4</v>
      </c>
      <c r="F115" s="1203" t="s">
        <v>229</v>
      </c>
    </row>
    <row r="116" spans="5:6" x14ac:dyDescent="0.45">
      <c r="E116" s="1203">
        <v>5</v>
      </c>
      <c r="F116" s="1203" t="s">
        <v>198</v>
      </c>
    </row>
    <row r="117" spans="5:6" x14ac:dyDescent="0.45">
      <c r="E117" s="1203">
        <v>6</v>
      </c>
      <c r="F117" s="1203" t="s">
        <v>230</v>
      </c>
    </row>
    <row r="118" spans="5:6" x14ac:dyDescent="0.45">
      <c r="E118" s="1203">
        <v>7</v>
      </c>
      <c r="F118" s="1203" t="s">
        <v>231</v>
      </c>
    </row>
    <row r="119" spans="5:6" x14ac:dyDescent="0.45">
      <c r="E119" s="1203">
        <v>8</v>
      </c>
      <c r="F119" s="1203" t="s">
        <v>199</v>
      </c>
    </row>
    <row r="120" spans="5:6" x14ac:dyDescent="0.45">
      <c r="E120" s="1203">
        <v>9</v>
      </c>
      <c r="F120" s="1203" t="s">
        <v>200</v>
      </c>
    </row>
    <row r="121" spans="5:6" x14ac:dyDescent="0.45">
      <c r="E121" s="1203">
        <v>10</v>
      </c>
      <c r="F121" s="1203" t="s">
        <v>201</v>
      </c>
    </row>
    <row r="122" spans="5:6" x14ac:dyDescent="0.45">
      <c r="E122" s="1203">
        <v>11</v>
      </c>
      <c r="F122" s="1203" t="s">
        <v>232</v>
      </c>
    </row>
    <row r="123" spans="5:6" x14ac:dyDescent="0.45">
      <c r="E123" s="1203">
        <v>12</v>
      </c>
      <c r="F123" s="1203" t="s">
        <v>202</v>
      </c>
    </row>
    <row r="124" spans="5:6" x14ac:dyDescent="0.45">
      <c r="E124" s="1203">
        <f t="shared" ref="E124:E145" si="36">E123+1</f>
        <v>13</v>
      </c>
      <c r="F124" s="1203" t="s">
        <v>203</v>
      </c>
    </row>
    <row r="125" spans="5:6" x14ac:dyDescent="0.45">
      <c r="E125" s="1203">
        <v>14</v>
      </c>
      <c r="F125" s="1203" t="s">
        <v>233</v>
      </c>
    </row>
    <row r="126" spans="5:6" x14ac:dyDescent="0.45">
      <c r="E126" s="1203">
        <v>15</v>
      </c>
      <c r="F126" s="1203" t="s">
        <v>234</v>
      </c>
    </row>
    <row r="127" spans="5:6" x14ac:dyDescent="0.45">
      <c r="E127" s="1203">
        <v>16</v>
      </c>
      <c r="F127" s="1203" t="s">
        <v>213</v>
      </c>
    </row>
    <row r="128" spans="5:6" x14ac:dyDescent="0.45">
      <c r="E128" s="1203">
        <v>17</v>
      </c>
      <c r="F128" s="1203" t="s">
        <v>235</v>
      </c>
    </row>
    <row r="129" spans="5:6" x14ac:dyDescent="0.45">
      <c r="E129" s="1203">
        <v>18</v>
      </c>
      <c r="F129" s="1203" t="s">
        <v>263</v>
      </c>
    </row>
    <row r="130" spans="5:6" x14ac:dyDescent="0.45">
      <c r="E130" s="1203">
        <v>19</v>
      </c>
      <c r="F130" s="1203" t="s">
        <v>204</v>
      </c>
    </row>
    <row r="131" spans="5:6" x14ac:dyDescent="0.45">
      <c r="E131" s="1203">
        <v>20</v>
      </c>
      <c r="F131" s="1203" t="s">
        <v>236</v>
      </c>
    </row>
    <row r="132" spans="5:6" x14ac:dyDescent="0.45">
      <c r="E132" s="1203">
        <v>21</v>
      </c>
      <c r="F132" s="1203" t="s">
        <v>237</v>
      </c>
    </row>
    <row r="133" spans="5:6" x14ac:dyDescent="0.45">
      <c r="E133" s="1203">
        <v>22</v>
      </c>
      <c r="F133" s="1203" t="s">
        <v>238</v>
      </c>
    </row>
    <row r="134" spans="5:6" x14ac:dyDescent="0.45">
      <c r="E134" s="1203">
        <v>23</v>
      </c>
      <c r="F134" s="1203" t="s">
        <v>205</v>
      </c>
    </row>
    <row r="135" spans="5:6" x14ac:dyDescent="0.45">
      <c r="E135" s="1203">
        <v>24</v>
      </c>
      <c r="F135" s="1203" t="s">
        <v>239</v>
      </c>
    </row>
    <row r="136" spans="5:6" x14ac:dyDescent="0.45">
      <c r="E136" s="1203">
        <v>25</v>
      </c>
      <c r="F136" s="1203" t="s">
        <v>240</v>
      </c>
    </row>
    <row r="137" spans="5:6" x14ac:dyDescent="0.45">
      <c r="E137" s="1203">
        <v>26</v>
      </c>
      <c r="F137" s="1203" t="s">
        <v>241</v>
      </c>
    </row>
    <row r="138" spans="5:6" x14ac:dyDescent="0.45">
      <c r="E138" s="1203">
        <v>27</v>
      </c>
      <c r="F138" s="1203" t="s">
        <v>206</v>
      </c>
    </row>
    <row r="139" spans="5:6" x14ac:dyDescent="0.45">
      <c r="E139" s="1203">
        <v>28</v>
      </c>
      <c r="F139" s="1203" t="s">
        <v>242</v>
      </c>
    </row>
    <row r="140" spans="5:6" x14ac:dyDescent="0.45">
      <c r="E140" s="1203">
        <v>29</v>
      </c>
      <c r="F140" s="1203" t="s">
        <v>243</v>
      </c>
    </row>
    <row r="141" spans="5:6" x14ac:dyDescent="0.45">
      <c r="E141" s="1203">
        <v>30</v>
      </c>
      <c r="F141" s="1203" t="s">
        <v>244</v>
      </c>
    </row>
    <row r="142" spans="5:6" x14ac:dyDescent="0.45">
      <c r="E142" s="1203">
        <v>31</v>
      </c>
      <c r="F142" s="1203" t="s">
        <v>245</v>
      </c>
    </row>
    <row r="143" spans="5:6" x14ac:dyDescent="0.45">
      <c r="E143" s="1203">
        <v>32</v>
      </c>
      <c r="F143" s="1203" t="s">
        <v>246</v>
      </c>
    </row>
    <row r="144" spans="5:6" x14ac:dyDescent="0.45">
      <c r="E144" s="1203">
        <v>33</v>
      </c>
      <c r="F144" s="1203" t="s">
        <v>207</v>
      </c>
    </row>
    <row r="145" spans="5:6" x14ac:dyDescent="0.45">
      <c r="E145" s="1203">
        <f t="shared" si="36"/>
        <v>34</v>
      </c>
      <c r="F145" s="1203" t="s">
        <v>208</v>
      </c>
    </row>
    <row r="146" spans="5:6" x14ac:dyDescent="0.45">
      <c r="E146" s="1203">
        <v>35</v>
      </c>
      <c r="F146" s="1203" t="s">
        <v>247</v>
      </c>
    </row>
    <row r="147" spans="5:6" x14ac:dyDescent="0.45">
      <c r="E147" s="1203">
        <v>36</v>
      </c>
      <c r="F147" s="1203" t="s">
        <v>248</v>
      </c>
    </row>
    <row r="148" spans="5:6" x14ac:dyDescent="0.45">
      <c r="E148" s="1203">
        <v>36</v>
      </c>
      <c r="F148" s="1203" t="s">
        <v>249</v>
      </c>
    </row>
    <row r="149" spans="5:6" x14ac:dyDescent="0.45">
      <c r="E149" s="1203">
        <v>38</v>
      </c>
      <c r="F149" s="1203" t="s">
        <v>250</v>
      </c>
    </row>
    <row r="150" spans="5:6" x14ac:dyDescent="0.45">
      <c r="E150" s="1203">
        <v>39</v>
      </c>
      <c r="F150" s="1203" t="s">
        <v>251</v>
      </c>
    </row>
    <row r="151" spans="5:6" x14ac:dyDescent="0.45">
      <c r="E151" s="1203">
        <v>40</v>
      </c>
      <c r="F151" s="1203" t="s">
        <v>209</v>
      </c>
    </row>
    <row r="152" spans="5:6" x14ac:dyDescent="0.45">
      <c r="E152" s="1203">
        <v>41</v>
      </c>
      <c r="F152" s="1203" t="s">
        <v>264</v>
      </c>
    </row>
    <row r="153" spans="5:6" x14ac:dyDescent="0.45">
      <c r="E153" s="1203">
        <v>42</v>
      </c>
      <c r="F153" s="1203" t="s">
        <v>252</v>
      </c>
    </row>
    <row r="154" spans="5:6" x14ac:dyDescent="0.45">
      <c r="E154" s="1203">
        <v>43</v>
      </c>
      <c r="F154" s="1203" t="s">
        <v>253</v>
      </c>
    </row>
    <row r="155" spans="5:6" x14ac:dyDescent="0.45">
      <c r="E155" s="1203">
        <v>44</v>
      </c>
      <c r="F155" s="1203" t="s">
        <v>254</v>
      </c>
    </row>
    <row r="156" spans="5:6" x14ac:dyDescent="0.45">
      <c r="E156" s="1203">
        <v>45</v>
      </c>
      <c r="F156" s="1203" t="s">
        <v>210</v>
      </c>
    </row>
    <row r="157" spans="5:6" x14ac:dyDescent="0.45">
      <c r="E157" s="1203">
        <v>46</v>
      </c>
      <c r="F157" s="1203" t="s">
        <v>255</v>
      </c>
    </row>
    <row r="158" spans="5:6" x14ac:dyDescent="0.45">
      <c r="E158" s="1203">
        <v>47</v>
      </c>
      <c r="F158" s="1203" t="s">
        <v>211</v>
      </c>
    </row>
    <row r="159" spans="5:6" x14ac:dyDescent="0.45">
      <c r="E159" s="1203">
        <v>48</v>
      </c>
      <c r="F159" s="1203" t="s">
        <v>256</v>
      </c>
    </row>
    <row r="160" spans="5:6" x14ac:dyDescent="0.45">
      <c r="E160" s="1203">
        <v>49</v>
      </c>
      <c r="F160" s="1203" t="s">
        <v>257</v>
      </c>
    </row>
    <row r="161" spans="5:6" x14ac:dyDescent="0.45">
      <c r="E161" s="1203">
        <v>50</v>
      </c>
      <c r="F161" s="1203" t="s">
        <v>260</v>
      </c>
    </row>
    <row r="162" spans="5:6" x14ac:dyDescent="0.45">
      <c r="E162" s="1203">
        <v>51</v>
      </c>
      <c r="F162" s="1203" t="s">
        <v>258</v>
      </c>
    </row>
    <row r="163" spans="5:6" x14ac:dyDescent="0.45">
      <c r="E163" s="1203">
        <v>52</v>
      </c>
      <c r="F163" s="1203" t="s">
        <v>212</v>
      </c>
    </row>
    <row r="164" spans="5:6" x14ac:dyDescent="0.45">
      <c r="E164" s="1203">
        <v>53</v>
      </c>
      <c r="F164" s="1203" t="s">
        <v>259</v>
      </c>
    </row>
    <row r="165" spans="5:6" x14ac:dyDescent="0.45">
      <c r="E165" s="1203">
        <v>54</v>
      </c>
      <c r="F165" s="1203" t="s">
        <v>261</v>
      </c>
    </row>
    <row r="166" spans="5:6" x14ac:dyDescent="0.45">
      <c r="E166" s="1203">
        <v>55</v>
      </c>
      <c r="F166" s="1203" t="s">
        <v>262</v>
      </c>
    </row>
    <row r="167" spans="5:6" x14ac:dyDescent="0.45">
      <c r="E167"/>
      <c r="F167"/>
    </row>
    <row r="168" spans="5:6" x14ac:dyDescent="0.45">
      <c r="E168"/>
      <c r="F168"/>
    </row>
  </sheetData>
  <sheetProtection algorithmName="SHA-512" hashValue="zTTJsjLbe59PJCoH8LXrKNg5/xNk33Vts4+j/NS9y/1vkMJ0xrodRyejLqVGpx32OX3+7PfNhPmywztbxnqBUA==" saltValue="kqC0evN3lqK/JXp7eV81gA=="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5FF0C017-7F1B-43E8-B7FE-70CD1C67EAF9}">
      <formula1>$F$112:$F$166</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38085-E96A-45F5-B0F3-3BDCC36C1BA2}">
  <dimension ref="A1:AA168"/>
  <sheetViews>
    <sheetView topLeftCell="B1" zoomScale="60" zoomScaleNormal="60" workbookViewId="0">
      <selection activeCell="I13" sqref="I13"/>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793"/>
      <c r="R1" s="3"/>
      <c r="S1" s="4"/>
      <c r="U1" s="794"/>
      <c r="V1" s="794"/>
      <c r="W1" s="794"/>
      <c r="X1" s="794"/>
      <c r="Y1" s="794"/>
      <c r="Z1" s="794"/>
      <c r="AA1" s="794"/>
    </row>
    <row r="2" spans="1:27" ht="30" x14ac:dyDescent="1.1000000000000001">
      <c r="B2" s="795"/>
      <c r="C2" s="796"/>
      <c r="D2" s="797" t="s">
        <v>286</v>
      </c>
      <c r="E2" s="796"/>
      <c r="F2" s="798"/>
      <c r="G2" s="798"/>
      <c r="H2" s="798"/>
      <c r="I2" s="798"/>
      <c r="J2" s="798"/>
      <c r="K2" s="798"/>
      <c r="L2" s="798"/>
      <c r="M2" s="798"/>
      <c r="N2" s="798"/>
      <c r="O2" s="798"/>
      <c r="P2" s="798"/>
      <c r="Q2" s="796"/>
      <c r="R2" s="798"/>
      <c r="S2" s="6"/>
    </row>
    <row r="3" spans="1:27" ht="14.65" thickBot="1" x14ac:dyDescent="0.5">
      <c r="B3" s="799"/>
      <c r="C3" s="800"/>
      <c r="D3" s="800"/>
      <c r="E3" s="800"/>
      <c r="F3" s="801"/>
      <c r="G3" s="801"/>
      <c r="H3" s="801"/>
      <c r="I3" s="801"/>
      <c r="J3" s="801"/>
      <c r="K3" s="801"/>
      <c r="L3" s="801"/>
      <c r="M3" s="801"/>
      <c r="N3" s="801"/>
      <c r="O3" s="801"/>
      <c r="P3" s="801"/>
      <c r="Q3" s="800"/>
      <c r="R3" s="801"/>
      <c r="S3" s="7"/>
    </row>
    <row r="4" spans="1:27" ht="26.45" customHeight="1" thickBot="1" x14ac:dyDescent="0.5">
      <c r="B4" s="799"/>
      <c r="C4" s="800"/>
      <c r="D4" s="802" t="s">
        <v>195</v>
      </c>
      <c r="E4" s="800"/>
      <c r="F4" s="8" t="s">
        <v>229</v>
      </c>
      <c r="G4" s="801"/>
      <c r="H4" s="801"/>
      <c r="I4" s="801"/>
      <c r="J4" s="801"/>
      <c r="K4" s="1797" t="s">
        <v>556</v>
      </c>
      <c r="L4" s="1798"/>
      <c r="M4" s="1799"/>
      <c r="N4" s="803">
        <f>(N9+N46+N59+N69+N76+N79+N92)/7</f>
        <v>0.27730420999707317</v>
      </c>
      <c r="O4" s="804">
        <f>(O9+O46+O59+O69+O76+O79+O92)</f>
        <v>28.271180262508505</v>
      </c>
      <c r="P4" s="803">
        <f>O4/100</f>
        <v>0.28271180262508505</v>
      </c>
      <c r="Q4" s="800"/>
      <c r="R4" s="801"/>
      <c r="S4" s="7"/>
    </row>
    <row r="5" spans="1:27" ht="18.399999999999999" thickBot="1" x14ac:dyDescent="0.6">
      <c r="B5" s="1655"/>
      <c r="C5" s="1656"/>
      <c r="D5" s="1656"/>
      <c r="E5" s="1656"/>
      <c r="F5" s="1656"/>
      <c r="G5" s="1656"/>
      <c r="H5" s="1656"/>
      <c r="I5" s="1656"/>
      <c r="J5" s="1656"/>
      <c r="K5" s="1656"/>
      <c r="L5" s="58"/>
      <c r="M5" s="805">
        <f>100/28</f>
        <v>3.5714285714285716</v>
      </c>
      <c r="N5" s="9"/>
      <c r="O5" s="561"/>
      <c r="P5" s="561"/>
      <c r="Q5" s="806"/>
      <c r="R5" s="9"/>
      <c r="S5" s="10"/>
    </row>
    <row r="6" spans="1:27" ht="33.6" customHeight="1" thickBot="1" x14ac:dyDescent="0.5">
      <c r="B6" s="1657"/>
      <c r="C6" s="1658"/>
      <c r="D6" s="1658"/>
      <c r="E6" s="1658"/>
      <c r="F6" s="1659"/>
      <c r="G6" s="807"/>
      <c r="H6" s="807"/>
      <c r="I6" s="807"/>
      <c r="J6" s="807"/>
      <c r="K6" s="807"/>
      <c r="L6" s="807"/>
      <c r="M6" s="807"/>
      <c r="N6" s="808"/>
      <c r="O6" s="809"/>
      <c r="P6" s="809"/>
      <c r="Q6" s="808"/>
      <c r="R6" s="12"/>
      <c r="S6" s="13"/>
    </row>
    <row r="7" spans="1:27" ht="55.8" customHeight="1" thickBot="1" x14ac:dyDescent="0.5">
      <c r="B7" s="1660"/>
      <c r="C7" s="1661"/>
      <c r="D7" s="1661"/>
      <c r="E7" s="1661"/>
      <c r="F7" s="1662"/>
      <c r="G7" s="810"/>
      <c r="H7" s="811" t="s">
        <v>218</v>
      </c>
      <c r="I7" s="812" t="s">
        <v>219</v>
      </c>
      <c r="J7" s="813" t="s">
        <v>91</v>
      </c>
      <c r="K7" s="814" t="s">
        <v>107</v>
      </c>
      <c r="L7" s="814" t="s">
        <v>104</v>
      </c>
      <c r="M7" s="814" t="s">
        <v>105</v>
      </c>
      <c r="N7" s="812" t="s">
        <v>106</v>
      </c>
      <c r="O7" s="812" t="s">
        <v>464</v>
      </c>
      <c r="P7" s="815" t="s">
        <v>465</v>
      </c>
      <c r="Q7" s="816" t="s">
        <v>93</v>
      </c>
      <c r="R7" s="817" t="s">
        <v>110</v>
      </c>
      <c r="S7" s="818" t="s">
        <v>103</v>
      </c>
    </row>
    <row r="8" spans="1:27" ht="25.25" customHeight="1" thickBot="1" x14ac:dyDescent="0.5">
      <c r="B8" s="819" t="s">
        <v>2</v>
      </c>
      <c r="C8" s="819" t="s">
        <v>92</v>
      </c>
      <c r="D8" s="819" t="s">
        <v>3</v>
      </c>
      <c r="E8" s="819" t="s">
        <v>94</v>
      </c>
      <c r="F8" s="819" t="s">
        <v>102</v>
      </c>
      <c r="G8" s="819" t="s">
        <v>96</v>
      </c>
      <c r="H8" s="820"/>
      <c r="I8" s="821"/>
      <c r="J8" s="820"/>
      <c r="K8" s="822"/>
      <c r="L8" s="822"/>
      <c r="M8" s="819"/>
      <c r="N8" s="823"/>
      <c r="O8" s="824"/>
      <c r="P8" s="825"/>
      <c r="Q8" s="821"/>
      <c r="R8" s="823"/>
      <c r="S8" s="823"/>
      <c r="V8" s="826" t="s">
        <v>151</v>
      </c>
      <c r="W8" s="827"/>
      <c r="X8" s="827"/>
      <c r="Y8" s="827"/>
      <c r="Z8" s="828"/>
    </row>
    <row r="9" spans="1:27" s="168" customFormat="1" ht="25.25" customHeight="1" thickBot="1" x14ac:dyDescent="0.5">
      <c r="B9" s="1663" t="s">
        <v>0</v>
      </c>
      <c r="C9" s="1664"/>
      <c r="D9" s="1664"/>
      <c r="E9" s="1664"/>
      <c r="F9" s="1665"/>
      <c r="G9" s="829"/>
      <c r="H9" s="830"/>
      <c r="I9" s="831"/>
      <c r="J9" s="832"/>
      <c r="K9" s="832"/>
      <c r="L9" s="832"/>
      <c r="M9" s="829"/>
      <c r="N9" s="833">
        <f>(N10+N18+N23+N32+N37+N40+N43)/7</f>
        <v>0.31535045685845431</v>
      </c>
      <c r="O9" s="834">
        <f>(O10+O18+O23+O32+O37+O40+O43)</f>
        <v>14.808694299195338</v>
      </c>
      <c r="P9" s="835">
        <f>O9/42.857136</f>
        <v>0.34553625560035878</v>
      </c>
      <c r="Q9" s="832"/>
      <c r="R9" s="836"/>
      <c r="S9" s="836"/>
      <c r="U9" s="837"/>
      <c r="V9" s="838"/>
      <c r="W9" s="839"/>
      <c r="X9" s="839"/>
      <c r="Y9" s="839"/>
      <c r="Z9" s="840"/>
      <c r="AA9" s="837"/>
    </row>
    <row r="10" spans="1:27" s="92" customFormat="1" ht="25.25" customHeight="1" thickBot="1" x14ac:dyDescent="0.5">
      <c r="B10" s="1666" t="s">
        <v>1</v>
      </c>
      <c r="C10" s="1667"/>
      <c r="D10" s="1667"/>
      <c r="E10" s="1667"/>
      <c r="F10" s="1668"/>
      <c r="G10" s="841"/>
      <c r="H10" s="842"/>
      <c r="I10" s="843"/>
      <c r="J10" s="844"/>
      <c r="K10" s="844"/>
      <c r="L10" s="844"/>
      <c r="M10" s="841"/>
      <c r="N10" s="833">
        <f>(N11+N13+N15)/3</f>
        <v>1.3242591598925868</v>
      </c>
      <c r="O10" s="834">
        <f>(O11+O13+O15)</f>
        <v>10.714388</v>
      </c>
      <c r="P10" s="835">
        <f>O10/10.714284</f>
        <v>1.0000097066682199</v>
      </c>
      <c r="Q10" s="844"/>
      <c r="R10" s="845"/>
      <c r="S10" s="845"/>
      <c r="U10" s="846"/>
      <c r="V10" s="847"/>
      <c r="W10" s="848"/>
      <c r="X10" s="848"/>
      <c r="Y10" s="848"/>
      <c r="Z10" s="849"/>
      <c r="AA10" s="846"/>
    </row>
    <row r="11" spans="1:27" ht="27.6" customHeight="1" thickBot="1" x14ac:dyDescent="0.5">
      <c r="A11" s="1669">
        <v>1</v>
      </c>
      <c r="B11" s="1680" t="s">
        <v>4</v>
      </c>
      <c r="C11" s="1682">
        <f>M5</f>
        <v>3.5714285714285716</v>
      </c>
      <c r="D11" s="850" t="s">
        <v>111</v>
      </c>
      <c r="E11" s="851">
        <f>$C$11/2</f>
        <v>1.7857142857142858</v>
      </c>
      <c r="F11" s="852" t="s">
        <v>5</v>
      </c>
      <c r="G11" s="853">
        <f>E11/1</f>
        <v>1.7857142857142858</v>
      </c>
      <c r="H11" s="1247">
        <v>77440.600000000006</v>
      </c>
      <c r="I11" s="1248">
        <v>56724</v>
      </c>
      <c r="J11" s="856">
        <f>(H11-I11)</f>
        <v>20716.600000000006</v>
      </c>
      <c r="K11" s="857">
        <f>(0.3*I11)*6/10</f>
        <v>10210.320000000002</v>
      </c>
      <c r="L11" s="858">
        <f>I11+K11</f>
        <v>66934.320000000007</v>
      </c>
      <c r="M11" s="859">
        <f>IF(K11&lt;&gt;0,J11/K11,"0%")</f>
        <v>2.0289863588996235</v>
      </c>
      <c r="N11" s="1674">
        <f>(((G11/C11)*M11)+((G12/C11)*M12))</f>
        <v>1.4144931794498115</v>
      </c>
      <c r="O11" s="1699">
        <f>IF((((G11/C11)*M11)+((G12/C11)*M12))&gt;=1,3.57148,IF((((G11/C11)*M11)+((G12/C11)*M12))&lt;=0,0, (((G11/C11)*M11)+((G12/C11)*M12))*3.571428))</f>
        <v>3.5714800000000002</v>
      </c>
      <c r="P11" s="1678">
        <f>O11/3.571428</f>
        <v>1.0000145600023296</v>
      </c>
      <c r="Q11" s="860" t="s">
        <v>97</v>
      </c>
      <c r="R11" s="209" t="s">
        <v>609</v>
      </c>
      <c r="S11" s="196"/>
      <c r="V11" s="861" t="s">
        <v>109</v>
      </c>
      <c r="W11" s="862" t="e">
        <f>#REF!</f>
        <v>#REF!</v>
      </c>
      <c r="X11" s="863"/>
      <c r="Y11" s="863"/>
      <c r="Z11" s="864"/>
    </row>
    <row r="12" spans="1:27" ht="27" customHeight="1" thickBot="1" x14ac:dyDescent="0.5">
      <c r="A12" s="1669"/>
      <c r="B12" s="1681"/>
      <c r="C12" s="1683"/>
      <c r="D12" s="865" t="s">
        <v>112</v>
      </c>
      <c r="E12" s="866">
        <f>$C$11/2</f>
        <v>1.7857142857142858</v>
      </c>
      <c r="F12" s="867" t="s">
        <v>281</v>
      </c>
      <c r="G12" s="868">
        <f>E12/1</f>
        <v>1.7857142857142858</v>
      </c>
      <c r="H12" s="1249">
        <v>17.600000000000001</v>
      </c>
      <c r="I12" s="1250">
        <v>20</v>
      </c>
      <c r="J12" s="871">
        <f>I12-H12</f>
        <v>2.3999999999999986</v>
      </c>
      <c r="K12" s="872">
        <f>(0.25*I12)*(6/10)</f>
        <v>3</v>
      </c>
      <c r="L12" s="873">
        <f>I12-K12</f>
        <v>17</v>
      </c>
      <c r="M12" s="898">
        <f>IF(K12&lt;&gt;0,J12/K12,"0%")</f>
        <v>0.79999999999999949</v>
      </c>
      <c r="N12" s="1675"/>
      <c r="O12" s="1800"/>
      <c r="P12" s="1679"/>
      <c r="Q12" s="875" t="s">
        <v>98</v>
      </c>
      <c r="R12" s="197"/>
      <c r="S12" s="198"/>
      <c r="V12" s="876">
        <v>0.02</v>
      </c>
      <c r="W12" s="877" t="e">
        <f>(W11-(W11*V12))</f>
        <v>#REF!</v>
      </c>
      <c r="X12" s="877" t="e">
        <f>W11-(V12*W11)</f>
        <v>#REF!</v>
      </c>
      <c r="Y12" s="863"/>
      <c r="Z12" s="864"/>
    </row>
    <row r="13" spans="1:27" ht="42.4" customHeight="1" thickBot="1" x14ac:dyDescent="0.5">
      <c r="A13" s="1669">
        <v>2</v>
      </c>
      <c r="B13" s="1670" t="s">
        <v>6</v>
      </c>
      <c r="C13" s="1672">
        <f>M5</f>
        <v>3.5714285714285716</v>
      </c>
      <c r="D13" s="878" t="s">
        <v>273</v>
      </c>
      <c r="E13" s="879">
        <f>$C$13/2</f>
        <v>1.7857142857142858</v>
      </c>
      <c r="F13" s="880" t="s">
        <v>7</v>
      </c>
      <c r="G13" s="881">
        <f>E13/1</f>
        <v>1.7857142857142858</v>
      </c>
      <c r="H13" s="1251">
        <v>3.5</v>
      </c>
      <c r="I13" s="1252">
        <v>13.1</v>
      </c>
      <c r="J13" s="884">
        <f>IF(I13=H13,(5-H13),I13-H13)</f>
        <v>9.6</v>
      </c>
      <c r="K13" s="885">
        <f>IF(I13&lt;=5,0,((I13-5)*(6/10)))</f>
        <v>4.8599999999999994</v>
      </c>
      <c r="L13" s="886">
        <f>I13-K13</f>
        <v>8.24</v>
      </c>
      <c r="M13" s="859">
        <f>IF(K13=0,"0%",J13/K13)</f>
        <v>1.9753086419753088</v>
      </c>
      <c r="N13" s="1674">
        <f>(((G13/C13)*M13)+((G14/C13)*M14))</f>
        <v>1.0908534953942584</v>
      </c>
      <c r="O13" s="1699">
        <f>IF((((G13/C13)*M13)+((G14/C13)*M14))&gt;=1,3.57148,IF((((G13/C13)*M13)+((G14/C13)*M14))&lt;=0,0, (((G13/C13)*M13)+((G14/C13)*M14))*3.571428))</f>
        <v>3.5714800000000002</v>
      </c>
      <c r="P13" s="1678">
        <f>O13/3.571428</f>
        <v>1.0000145600023296</v>
      </c>
      <c r="Q13" s="888" t="s">
        <v>99</v>
      </c>
      <c r="R13" s="199" t="s">
        <v>610</v>
      </c>
      <c r="S13" s="200" t="s">
        <v>611</v>
      </c>
      <c r="V13" s="876">
        <v>0.02</v>
      </c>
      <c r="W13" s="877" t="e">
        <f>(#REF!-(#REF!*V13))</f>
        <v>#REF!</v>
      </c>
      <c r="X13" s="877" t="e">
        <f>(W11-(V12*W11))-((W11-(V12*W11))*0.02)-(((W11-(V12*W11))-((W11-(V12*W11))*0.02))*0.02)-(((W11-(V12*W11))-((W11-(V12*W11))*0.02)-(((W11-(V12*W11))-((W11-(V12*W11))*0.02))*0.02))*0.02)</f>
        <v>#REF!</v>
      </c>
      <c r="Y13" s="889" t="e">
        <f>(W11-W14)/W11</f>
        <v>#REF!</v>
      </c>
      <c r="Z13" s="864"/>
    </row>
    <row r="14" spans="1:27" ht="33" customHeight="1" thickBot="1" x14ac:dyDescent="0.5">
      <c r="A14" s="1669"/>
      <c r="B14" s="1671"/>
      <c r="C14" s="1673"/>
      <c r="D14" s="865" t="s">
        <v>274</v>
      </c>
      <c r="E14" s="890">
        <f>$C$13/2</f>
        <v>1.7857142857142858</v>
      </c>
      <c r="F14" s="891" t="s">
        <v>8</v>
      </c>
      <c r="G14" s="892">
        <f>E14/1</f>
        <v>1.7857142857142858</v>
      </c>
      <c r="H14" s="1253">
        <v>95.5</v>
      </c>
      <c r="I14" s="1254">
        <v>94.9</v>
      </c>
      <c r="J14" s="895">
        <f>H14-I14</f>
        <v>0.59999999999999432</v>
      </c>
      <c r="K14" s="896">
        <f>(0.95*(100-I14))*6/10</f>
        <v>2.9069999999999965</v>
      </c>
      <c r="L14" s="897">
        <f>K14+I14</f>
        <v>97.807000000000002</v>
      </c>
      <c r="M14" s="874">
        <f>IF(K14&lt;&gt;0,J14/K14,"1%")</f>
        <v>0.20639834881320779</v>
      </c>
      <c r="N14" s="1675"/>
      <c r="O14" s="1800"/>
      <c r="P14" s="1679"/>
      <c r="Q14" s="899" t="s">
        <v>100</v>
      </c>
      <c r="R14" s="201" t="s">
        <v>489</v>
      </c>
      <c r="S14" s="196" t="s">
        <v>490</v>
      </c>
      <c r="V14" s="900">
        <v>0.02</v>
      </c>
      <c r="W14" s="901" t="e">
        <f>(#REF!-(#REF!*V14))</f>
        <v>#REF!</v>
      </c>
      <c r="X14" s="901"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02" t="e">
        <f>W11-X14</f>
        <v>#REF!</v>
      </c>
      <c r="Z14" s="903"/>
    </row>
    <row r="15" spans="1:27" ht="22.25" customHeight="1" x14ac:dyDescent="0.45">
      <c r="A15" s="1710">
        <v>3</v>
      </c>
      <c r="B15" s="1711" t="s">
        <v>9</v>
      </c>
      <c r="C15" s="1713">
        <f>M5</f>
        <v>3.5714285714285716</v>
      </c>
      <c r="D15" s="1711" t="s">
        <v>113</v>
      </c>
      <c r="E15" s="1713">
        <f>$C$15/1</f>
        <v>3.5714285714285716</v>
      </c>
      <c r="F15" s="904" t="s">
        <v>221</v>
      </c>
      <c r="G15" s="905">
        <f>$E$15/3</f>
        <v>1.1904761904761905</v>
      </c>
      <c r="H15" s="1255">
        <v>84.2</v>
      </c>
      <c r="I15" s="1256">
        <v>53</v>
      </c>
      <c r="J15" s="908">
        <f>H15-I15</f>
        <v>31.200000000000003</v>
      </c>
      <c r="K15" s="909">
        <f>(0.5*I15)*6/10</f>
        <v>15.9</v>
      </c>
      <c r="L15" s="858">
        <f>I15+K15</f>
        <v>68.900000000000006</v>
      </c>
      <c r="M15" s="887">
        <f>IF(K15&lt;&gt;0,J15/K15,"0%")</f>
        <v>1.9622641509433965</v>
      </c>
      <c r="N15" s="1715">
        <f>(((G15/C15)*M15)+((G16/C15)*M16)+((G17/C15)*M17))</f>
        <v>1.4674308048336906</v>
      </c>
      <c r="O15" s="1702">
        <f>IF((((G15/C15)*M15)+((G16/C15)*M16)+((G17/C15)*M17))&gt;=1,3.571428,IF((((G15/C15)*M15)+((G16/C15)*M16)+((G17/C15)*M17))&lt;=0,0,(((G15/C15)*M15)+((G16/C15)*M16)+((G17/C15)*M17))*3.571428))</f>
        <v>3.571428</v>
      </c>
      <c r="P15" s="1678">
        <f>O15/3.571428</f>
        <v>1</v>
      </c>
      <c r="Q15" s="910" t="s">
        <v>101</v>
      </c>
      <c r="R15" s="1257" t="s">
        <v>489</v>
      </c>
      <c r="S15" s="196" t="s">
        <v>490</v>
      </c>
    </row>
    <row r="16" spans="1:27" ht="14.65" thickBot="1" x14ac:dyDescent="0.5">
      <c r="A16" s="1710"/>
      <c r="B16" s="1711"/>
      <c r="C16" s="1713"/>
      <c r="D16" s="1711"/>
      <c r="E16" s="1713"/>
      <c r="F16" s="911" t="s">
        <v>220</v>
      </c>
      <c r="G16" s="912">
        <f t="shared" ref="G16:G17" si="0">$E$15/3</f>
        <v>1.1904761904761905</v>
      </c>
      <c r="H16" s="1258">
        <v>70</v>
      </c>
      <c r="I16" s="1259">
        <v>51</v>
      </c>
      <c r="J16" s="913">
        <f>H16-I16</f>
        <v>19</v>
      </c>
      <c r="K16" s="914">
        <f>(0.5*I16)*6/10</f>
        <v>15.3</v>
      </c>
      <c r="L16" s="915">
        <f t="shared" ref="L16:L17" si="1">I16+K16</f>
        <v>66.3</v>
      </c>
      <c r="M16" s="916">
        <f>IF(K16&lt;&gt;0,J16/K16,"0%")</f>
        <v>1.2418300653594772</v>
      </c>
      <c r="N16" s="1716"/>
      <c r="O16" s="1802"/>
      <c r="P16" s="1703"/>
      <c r="Q16" s="917" t="s">
        <v>95</v>
      </c>
      <c r="R16" s="203"/>
      <c r="S16" s="204"/>
    </row>
    <row r="17" spans="1:19" ht="25.25" customHeight="1" thickBot="1" x14ac:dyDescent="0.5">
      <c r="A17" s="1710"/>
      <c r="B17" s="1712"/>
      <c r="C17" s="1714"/>
      <c r="D17" s="1712"/>
      <c r="E17" s="1714"/>
      <c r="F17" s="918" t="s">
        <v>10</v>
      </c>
      <c r="G17" s="919">
        <f t="shared" si="0"/>
        <v>1.1904761904761905</v>
      </c>
      <c r="H17" s="1260">
        <v>50.3</v>
      </c>
      <c r="I17" s="1261">
        <v>37</v>
      </c>
      <c r="J17" s="920">
        <f>H17-I17</f>
        <v>13.299999999999997</v>
      </c>
      <c r="K17" s="921">
        <f>(0.5*I17)*6/10</f>
        <v>11.1</v>
      </c>
      <c r="L17" s="873">
        <f t="shared" si="1"/>
        <v>48.1</v>
      </c>
      <c r="M17" s="874">
        <f>IF(K17&lt;&gt;0,J17/K17,"0%")</f>
        <v>1.198198198198198</v>
      </c>
      <c r="N17" s="1717"/>
      <c r="O17" s="1803"/>
      <c r="P17" s="1703"/>
      <c r="Q17" s="922" t="s">
        <v>162</v>
      </c>
      <c r="R17" s="664" t="s">
        <v>489</v>
      </c>
      <c r="S17" s="196" t="s">
        <v>491</v>
      </c>
    </row>
    <row r="18" spans="1:19" ht="21.4" thickBot="1" x14ac:dyDescent="0.7">
      <c r="A18" s="14"/>
      <c r="B18" s="1704" t="s">
        <v>11</v>
      </c>
      <c r="C18" s="1705"/>
      <c r="D18" s="1705"/>
      <c r="E18" s="1705"/>
      <c r="F18" s="1706"/>
      <c r="G18" s="923"/>
      <c r="H18" s="1204"/>
      <c r="I18" s="1204"/>
      <c r="J18" s="924"/>
      <c r="K18" s="924"/>
      <c r="L18" s="924"/>
      <c r="M18" s="925"/>
      <c r="N18" s="833">
        <f>N19</f>
        <v>0.47241725560728781</v>
      </c>
      <c r="O18" s="834">
        <f>O19</f>
        <v>1.6872042143590247</v>
      </c>
      <c r="P18" s="835">
        <f>O18/3.571428</f>
        <v>0.47241725560728781</v>
      </c>
      <c r="Q18" s="924"/>
      <c r="R18" s="249"/>
      <c r="S18" s="611"/>
    </row>
    <row r="19" spans="1:19" ht="34.25" customHeight="1" x14ac:dyDescent="0.45">
      <c r="A19" s="1669">
        <v>4</v>
      </c>
      <c r="B19" s="1687" t="s">
        <v>12</v>
      </c>
      <c r="C19" s="1691">
        <f>M5</f>
        <v>3.5714285714285716</v>
      </c>
      <c r="D19" s="926" t="s">
        <v>114</v>
      </c>
      <c r="E19" s="853">
        <f>$C$19/4</f>
        <v>0.8928571428571429</v>
      </c>
      <c r="F19" s="927" t="s">
        <v>222</v>
      </c>
      <c r="G19" s="905">
        <f>E19/1</f>
        <v>0.8928571428571429</v>
      </c>
      <c r="H19" s="1221">
        <v>33</v>
      </c>
      <c r="I19" s="1262">
        <v>18.329999999999998</v>
      </c>
      <c r="J19" s="1034">
        <f>H19-I19</f>
        <v>14.670000000000002</v>
      </c>
      <c r="K19" s="909">
        <f>(2*I19)*6/10</f>
        <v>21.995999999999999</v>
      </c>
      <c r="L19" s="1263">
        <f t="shared" ref="L19:L22" si="2">K19+I19</f>
        <v>40.325999999999993</v>
      </c>
      <c r="M19" s="859">
        <f>IF(K19&lt;&gt;0,J19/K19,"0%")</f>
        <v>0.6669394435351883</v>
      </c>
      <c r="N19" s="1695">
        <f>(((G19/C19)*M19)+((G20/C19)*M20)+((G21/C19)*M21)+((G22/C19)*M22))</f>
        <v>0.47241725560728781</v>
      </c>
      <c r="O19" s="1699">
        <f>IF((((G19/C19)*M19)+((G20/C19)*M20)+((G21/C19)*M21)+((G22/C19)*M22))&gt;=1,3.571428,IF((((G19/C19)*M19)+((G20/C19)*M20)+((G21/C19)*M21)+((G22/C19)*M22))&lt;=0,0,((((G19/C19)*M19)+((G20/C19)*M20)+((G21/C19)*M21)+((G22/C19)*M22))*3.571428)))</f>
        <v>1.6872042143590247</v>
      </c>
      <c r="P19" s="1678">
        <f>O19/3.571428</f>
        <v>0.47241725560728781</v>
      </c>
      <c r="Q19" s="932" t="s">
        <v>163</v>
      </c>
      <c r="R19" s="741" t="s">
        <v>612</v>
      </c>
      <c r="S19" s="630"/>
    </row>
    <row r="20" spans="1:19" ht="39" customHeight="1" thickBot="1" x14ac:dyDescent="0.5">
      <c r="A20" s="1669"/>
      <c r="B20" s="1688"/>
      <c r="C20" s="1692"/>
      <c r="D20" s="933" t="s">
        <v>152</v>
      </c>
      <c r="E20" s="934">
        <f>($C$19/4)</f>
        <v>0.8928571428571429</v>
      </c>
      <c r="F20" s="935" t="s">
        <v>265</v>
      </c>
      <c r="G20" s="912">
        <f>E20/1</f>
        <v>0.8928571428571429</v>
      </c>
      <c r="H20" s="1264">
        <v>91</v>
      </c>
      <c r="I20" s="1265">
        <v>89.05</v>
      </c>
      <c r="J20" s="951">
        <f t="shared" ref="J20:J24" si="3">H20-I20</f>
        <v>1.9500000000000028</v>
      </c>
      <c r="K20" s="914">
        <f>(100-I20)*(6/10)</f>
        <v>6.5700000000000012</v>
      </c>
      <c r="L20" s="1266">
        <f t="shared" si="2"/>
        <v>95.62</v>
      </c>
      <c r="M20" s="916">
        <f>IF(K20&lt;&gt;0,J20/K20,"0%")</f>
        <v>0.2968036529680369</v>
      </c>
      <c r="N20" s="1696"/>
      <c r="O20" s="1801"/>
      <c r="P20" s="1703"/>
      <c r="Q20" s="938" t="s">
        <v>164</v>
      </c>
      <c r="R20" s="204"/>
      <c r="S20" s="1267" t="s">
        <v>613</v>
      </c>
    </row>
    <row r="21" spans="1:19" ht="66.75" customHeight="1" x14ac:dyDescent="0.45">
      <c r="A21" s="1669"/>
      <c r="B21" s="1688"/>
      <c r="C21" s="1692"/>
      <c r="D21" s="933" t="s">
        <v>153</v>
      </c>
      <c r="E21" s="934">
        <f t="shared" ref="E21:E22" si="4">($C$19/4)</f>
        <v>0.8928571428571429</v>
      </c>
      <c r="F21" s="935" t="s">
        <v>155</v>
      </c>
      <c r="G21" s="912">
        <f>E21/1</f>
        <v>0.8928571428571429</v>
      </c>
      <c r="H21" s="1268"/>
      <c r="I21" s="1269"/>
      <c r="J21" s="951">
        <f t="shared" si="3"/>
        <v>0</v>
      </c>
      <c r="K21" s="914">
        <f>(0.3*I21)*6/10</f>
        <v>0</v>
      </c>
      <c r="L21" s="1266">
        <f t="shared" si="2"/>
        <v>0</v>
      </c>
      <c r="M21" s="916" t="str">
        <f>IF(K21&lt;&gt;0,J21/K21,"0%")</f>
        <v>0%</v>
      </c>
      <c r="N21" s="1696"/>
      <c r="O21" s="1801"/>
      <c r="P21" s="1703"/>
      <c r="Q21" s="938" t="s">
        <v>165</v>
      </c>
      <c r="R21" s="204" t="s">
        <v>614</v>
      </c>
      <c r="S21" s="1270" t="s">
        <v>615</v>
      </c>
    </row>
    <row r="22" spans="1:19" ht="36.6" customHeight="1" thickBot="1" x14ac:dyDescent="0.5">
      <c r="A22" s="1669"/>
      <c r="B22" s="1707"/>
      <c r="C22" s="1708"/>
      <c r="D22" s="891" t="s">
        <v>154</v>
      </c>
      <c r="E22" s="939">
        <f t="shared" si="4"/>
        <v>0.8928571428571429</v>
      </c>
      <c r="F22" s="940" t="s">
        <v>156</v>
      </c>
      <c r="G22" s="941">
        <f>E22/1</f>
        <v>0.8928571428571429</v>
      </c>
      <c r="H22" s="1271">
        <v>84</v>
      </c>
      <c r="I22" s="1272">
        <v>64</v>
      </c>
      <c r="J22" s="955">
        <f t="shared" si="3"/>
        <v>20</v>
      </c>
      <c r="K22" s="921">
        <f>(100-I22)*(6/10)</f>
        <v>21.599999999999998</v>
      </c>
      <c r="L22" s="1273">
        <f t="shared" si="2"/>
        <v>85.6</v>
      </c>
      <c r="M22" s="874">
        <f>IF(K22&lt;&gt;0,J22/K22,"100%")</f>
        <v>0.92592592592592604</v>
      </c>
      <c r="N22" s="1709"/>
      <c r="O22" s="1800"/>
      <c r="P22" s="1679"/>
      <c r="Q22" s="945" t="s">
        <v>95</v>
      </c>
      <c r="R22" s="632"/>
      <c r="S22" s="1267" t="s">
        <v>613</v>
      </c>
    </row>
    <row r="23" spans="1:19" ht="20.45" customHeight="1" thickBot="1" x14ac:dyDescent="0.5">
      <c r="B23" s="1684" t="s">
        <v>13</v>
      </c>
      <c r="C23" s="1685"/>
      <c r="D23" s="1685"/>
      <c r="E23" s="1685"/>
      <c r="F23" s="1686"/>
      <c r="G23" s="923"/>
      <c r="H23" s="1204"/>
      <c r="I23" s="1204"/>
      <c r="J23" s="1274"/>
      <c r="K23" s="924"/>
      <c r="L23" s="924"/>
      <c r="M23" s="925"/>
      <c r="N23" s="833">
        <f>N24</f>
        <v>0.13869457394529927</v>
      </c>
      <c r="O23" s="834">
        <f>O24</f>
        <v>0.4953376848363123</v>
      </c>
      <c r="P23" s="835">
        <f>O23/3.571428</f>
        <v>0.13869457394529927</v>
      </c>
      <c r="Q23" s="924"/>
      <c r="R23" s="255"/>
      <c r="S23" s="613"/>
    </row>
    <row r="24" spans="1:19" ht="36" customHeight="1" x14ac:dyDescent="0.45">
      <c r="A24" s="1669">
        <v>5</v>
      </c>
      <c r="B24" s="1687" t="s">
        <v>14</v>
      </c>
      <c r="C24" s="1691">
        <f>M5</f>
        <v>3.5714285714285716</v>
      </c>
      <c r="D24" s="926" t="s">
        <v>115</v>
      </c>
      <c r="E24" s="853">
        <f>$C$24/4</f>
        <v>0.8928571428571429</v>
      </c>
      <c r="F24" s="926" t="s">
        <v>280</v>
      </c>
      <c r="G24" s="853">
        <f>E24/1</f>
        <v>0.8928571428571429</v>
      </c>
      <c r="H24" s="373"/>
      <c r="I24" s="375"/>
      <c r="J24" s="949">
        <f t="shared" si="3"/>
        <v>0</v>
      </c>
      <c r="K24" s="909">
        <f>(0.3*I24)*6/10</f>
        <v>0</v>
      </c>
      <c r="L24" s="931">
        <f>K24+I24</f>
        <v>0</v>
      </c>
      <c r="M24" s="859" t="str">
        <f t="shared" ref="M24:M30" si="5">IF(K24&lt;&gt;0,J24/K24,"0%")</f>
        <v>0%</v>
      </c>
      <c r="N24" s="1695">
        <f>(((G24/C24)*M24)+((G25/C24)*M25)+ ((G26/C24)*M26)+((G27/C24)*M27)+((G28/C24)*M28)+((G29/C24)*M29)+((G30/C24)*M30)+((G31/C24)*M31))</f>
        <v>0.13869457394529927</v>
      </c>
      <c r="O24" s="1699">
        <f>IF((((G24/C24)*M24)+((G25/C24)*M25)+ ((G26/C24)*M26)+((G27/C24)*M27)+((G28/C24)*M28)+((G29/C24)*M29)+((G30/C24)*M30)+((G31/C24)*M31))&gt;=1,3.571428,IF((((G24/C24)*M24)+((G25/C24)*M25)+ ((G26/C24)*M26)+((G27/C24)*M27)+((G28/C24)*M28)+((G29/C24)*M29)+((G30/C24)*M30)+((G31/C24)*M31))&lt;=0,0,((((G24/C24)*M24)+((G25/C24)*M25)+ ((G26/C24)*M26)+((G27/C24)*M27)+((G28/C24)*M28)+((G29/C24)*M29)+((G30/C24)*M30)+((G31/C24)*M31))*3.571428)))</f>
        <v>0.4953376848363123</v>
      </c>
      <c r="P24" s="1678">
        <f>O24/3.571428</f>
        <v>0.13869457394529927</v>
      </c>
      <c r="Q24" s="950" t="s">
        <v>166</v>
      </c>
      <c r="R24" s="631"/>
      <c r="S24" s="1275" t="s">
        <v>463</v>
      </c>
    </row>
    <row r="25" spans="1:19" ht="19.8" customHeight="1" x14ac:dyDescent="0.45">
      <c r="A25" s="1669"/>
      <c r="B25" s="1688"/>
      <c r="C25" s="1692"/>
      <c r="D25" s="1721" t="s">
        <v>158</v>
      </c>
      <c r="E25" s="1723">
        <v>0.9</v>
      </c>
      <c r="F25" s="933" t="s">
        <v>15</v>
      </c>
      <c r="G25" s="934">
        <f>$E$25/3</f>
        <v>0.3</v>
      </c>
      <c r="H25" s="1276">
        <v>143</v>
      </c>
      <c r="I25" s="1277">
        <v>127</v>
      </c>
      <c r="J25" s="951">
        <f t="shared" ref="J25:J30" si="6">I25-H25</f>
        <v>-16</v>
      </c>
      <c r="K25" s="914">
        <f>(0.5*I25)*6/10</f>
        <v>38.1</v>
      </c>
      <c r="L25" s="937">
        <f t="shared" ref="L25:L30" si="7">I25-K25</f>
        <v>88.9</v>
      </c>
      <c r="M25" s="916">
        <f t="shared" si="5"/>
        <v>-0.41994750656167978</v>
      </c>
      <c r="N25" s="1696"/>
      <c r="O25" s="1801"/>
      <c r="P25" s="1703"/>
      <c r="Q25" s="952" t="s">
        <v>167</v>
      </c>
      <c r="R25" s="633" t="s">
        <v>492</v>
      </c>
      <c r="S25" s="486" t="s">
        <v>493</v>
      </c>
    </row>
    <row r="26" spans="1:19" ht="19.8" customHeight="1" x14ac:dyDescent="0.45">
      <c r="A26" s="1669"/>
      <c r="B26" s="1688"/>
      <c r="C26" s="1692"/>
      <c r="D26" s="1722"/>
      <c r="E26" s="1693"/>
      <c r="F26" s="933" t="s">
        <v>16</v>
      </c>
      <c r="G26" s="934">
        <f t="shared" ref="G26:G27" si="8">$E$25/3</f>
        <v>0.3</v>
      </c>
      <c r="H26" s="576"/>
      <c r="I26" s="1278">
        <v>320</v>
      </c>
      <c r="J26" s="951">
        <f t="shared" si="6"/>
        <v>320</v>
      </c>
      <c r="K26" s="914">
        <f>(0.8*I26)*6/10</f>
        <v>153.6</v>
      </c>
      <c r="L26" s="937">
        <f t="shared" si="7"/>
        <v>166.4</v>
      </c>
      <c r="M26" s="916" t="str">
        <f>IF(K26=0,J26/K26,"0%")</f>
        <v>0%</v>
      </c>
      <c r="N26" s="1696"/>
      <c r="O26" s="1801"/>
      <c r="P26" s="1703"/>
      <c r="Q26" s="952" t="s">
        <v>168</v>
      </c>
      <c r="R26" s="204" t="s">
        <v>494</v>
      </c>
      <c r="S26" s="486" t="s">
        <v>494</v>
      </c>
    </row>
    <row r="27" spans="1:19" ht="19.8" customHeight="1" x14ac:dyDescent="0.45">
      <c r="A27" s="1669"/>
      <c r="B27" s="1688"/>
      <c r="C27" s="1692"/>
      <c r="D27" s="1722"/>
      <c r="E27" s="1693"/>
      <c r="F27" s="933" t="s">
        <v>17</v>
      </c>
      <c r="G27" s="934">
        <f t="shared" si="8"/>
        <v>0.3</v>
      </c>
      <c r="H27" s="1276">
        <v>56</v>
      </c>
      <c r="I27" s="1277">
        <v>28</v>
      </c>
      <c r="J27" s="951">
        <f t="shared" si="6"/>
        <v>-28</v>
      </c>
      <c r="K27" s="914">
        <f>(0.5*I27)*(6/10)</f>
        <v>8.4</v>
      </c>
      <c r="L27" s="937">
        <f t="shared" si="7"/>
        <v>19.600000000000001</v>
      </c>
      <c r="M27" s="916">
        <f t="shared" si="5"/>
        <v>-3.333333333333333</v>
      </c>
      <c r="N27" s="1696"/>
      <c r="O27" s="1801"/>
      <c r="P27" s="1703"/>
      <c r="Q27" s="952" t="s">
        <v>169</v>
      </c>
      <c r="R27" s="204" t="s">
        <v>495</v>
      </c>
      <c r="S27" s="486"/>
    </row>
    <row r="28" spans="1:19" ht="30.6" customHeight="1" x14ac:dyDescent="0.45">
      <c r="A28" s="16"/>
      <c r="B28" s="1688"/>
      <c r="C28" s="1692"/>
      <c r="D28" s="1721" t="s">
        <v>116</v>
      </c>
      <c r="E28" s="1723">
        <f t="shared" ref="E28:E31" si="9">$C$24/4</f>
        <v>0.8928571428571429</v>
      </c>
      <c r="F28" s="933" t="s">
        <v>148</v>
      </c>
      <c r="G28" s="934">
        <f>$E$28/3</f>
        <v>0.29761904761904762</v>
      </c>
      <c r="H28" s="1276">
        <v>4.3600000000000003</v>
      </c>
      <c r="I28" s="1277">
        <v>24.7</v>
      </c>
      <c r="J28" s="951">
        <f t="shared" si="6"/>
        <v>20.34</v>
      </c>
      <c r="K28" s="914">
        <f>(0.5*I28)*(6/10)</f>
        <v>7.4099999999999993</v>
      </c>
      <c r="L28" s="937">
        <f t="shared" si="7"/>
        <v>17.29</v>
      </c>
      <c r="M28" s="916">
        <f t="shared" si="5"/>
        <v>2.7449392712550611</v>
      </c>
      <c r="N28" s="1697"/>
      <c r="O28" s="1801"/>
      <c r="P28" s="1703"/>
      <c r="Q28" s="952" t="s">
        <v>170</v>
      </c>
      <c r="R28" s="633" t="s">
        <v>496</v>
      </c>
      <c r="S28" s="486" t="s">
        <v>497</v>
      </c>
    </row>
    <row r="29" spans="1:19" ht="20.45" customHeight="1" x14ac:dyDescent="0.45">
      <c r="A29" s="16"/>
      <c r="B29" s="1688"/>
      <c r="C29" s="1692"/>
      <c r="D29" s="1722"/>
      <c r="E29" s="1693"/>
      <c r="F29" s="933" t="s">
        <v>149</v>
      </c>
      <c r="G29" s="934">
        <f t="shared" ref="G29:G30" si="10">$E$28/3</f>
        <v>0.29761904761904762</v>
      </c>
      <c r="H29" s="1276">
        <v>0.33</v>
      </c>
      <c r="I29" s="1279"/>
      <c r="J29" s="951">
        <f t="shared" si="6"/>
        <v>-0.33</v>
      </c>
      <c r="K29" s="914">
        <f>(0.5*I29)*(6/10)</f>
        <v>0</v>
      </c>
      <c r="L29" s="937">
        <f t="shared" si="7"/>
        <v>0</v>
      </c>
      <c r="M29" s="916" t="str">
        <f t="shared" si="5"/>
        <v>0%</v>
      </c>
      <c r="N29" s="1697"/>
      <c r="O29" s="1801"/>
      <c r="P29" s="1703"/>
      <c r="Q29" s="952" t="s">
        <v>171</v>
      </c>
      <c r="R29" s="633" t="s">
        <v>498</v>
      </c>
      <c r="S29" s="486" t="s">
        <v>497</v>
      </c>
    </row>
    <row r="30" spans="1:19" ht="20.45" customHeight="1" x14ac:dyDescent="0.45">
      <c r="A30" s="16"/>
      <c r="B30" s="1689"/>
      <c r="C30" s="1693"/>
      <c r="D30" s="1722"/>
      <c r="E30" s="1693"/>
      <c r="F30" s="933" t="s">
        <v>150</v>
      </c>
      <c r="G30" s="934">
        <f t="shared" si="10"/>
        <v>0.29761904761904762</v>
      </c>
      <c r="H30" s="1280">
        <v>2.75</v>
      </c>
      <c r="I30" s="1281"/>
      <c r="J30" s="951">
        <f t="shared" si="6"/>
        <v>-2.75</v>
      </c>
      <c r="K30" s="914">
        <f>(0.5*I30)*(6/10)</f>
        <v>0</v>
      </c>
      <c r="L30" s="937">
        <f t="shared" si="7"/>
        <v>0</v>
      </c>
      <c r="M30" s="916" t="str">
        <f t="shared" si="5"/>
        <v>0%</v>
      </c>
      <c r="N30" s="1697"/>
      <c r="O30" s="1801"/>
      <c r="P30" s="1703"/>
      <c r="Q30" s="952" t="s">
        <v>172</v>
      </c>
      <c r="R30" s="633" t="s">
        <v>498</v>
      </c>
      <c r="S30" s="486" t="s">
        <v>497</v>
      </c>
    </row>
    <row r="31" spans="1:19" ht="34.9" customHeight="1" thickBot="1" x14ac:dyDescent="0.5">
      <c r="A31" s="16"/>
      <c r="B31" s="1690"/>
      <c r="C31" s="1694"/>
      <c r="D31" s="953" t="s">
        <v>117</v>
      </c>
      <c r="E31" s="868">
        <f t="shared" si="9"/>
        <v>0.8928571428571429</v>
      </c>
      <c r="F31" s="954" t="s">
        <v>223</v>
      </c>
      <c r="G31" s="868">
        <f>E31/1</f>
        <v>0.8928571428571429</v>
      </c>
      <c r="H31" s="360">
        <v>83</v>
      </c>
      <c r="I31" s="376">
        <v>63</v>
      </c>
      <c r="J31" s="955">
        <f t="shared" ref="J31" si="11">H31-I31</f>
        <v>20</v>
      </c>
      <c r="K31" s="921">
        <f>(100-I31)*(6/10)</f>
        <v>22.2</v>
      </c>
      <c r="L31" s="944">
        <f>K31+I31</f>
        <v>85.2</v>
      </c>
      <c r="M31" s="874">
        <f>IF(K31=0,"0%",J31/K31)</f>
        <v>0.90090090090090091</v>
      </c>
      <c r="N31" s="1698"/>
      <c r="O31" s="1800"/>
      <c r="P31" s="1679"/>
      <c r="Q31" s="956" t="s">
        <v>95</v>
      </c>
      <c r="R31" s="632" t="s">
        <v>494</v>
      </c>
      <c r="S31" s="1282" t="s">
        <v>463</v>
      </c>
    </row>
    <row r="32" spans="1:19" ht="20.45" customHeight="1" thickBot="1" x14ac:dyDescent="0.5">
      <c r="B32" s="1724" t="s">
        <v>18</v>
      </c>
      <c r="C32" s="1725"/>
      <c r="D32" s="1725"/>
      <c r="E32" s="1725"/>
      <c r="F32" s="1726"/>
      <c r="G32" s="923"/>
      <c r="H32" s="634"/>
      <c r="I32" s="635"/>
      <c r="J32" s="957"/>
      <c r="K32" s="958"/>
      <c r="L32" s="959"/>
      <c r="M32" s="960"/>
      <c r="N32" s="833">
        <f>(N33+N34+N35+N36)/4</f>
        <v>-0.26321190908305242</v>
      </c>
      <c r="O32" s="834">
        <f>(O33+O34+O35+O36)</f>
        <v>0</v>
      </c>
      <c r="P32" s="835">
        <f>O32/14.285712</f>
        <v>0</v>
      </c>
      <c r="Q32" s="924"/>
      <c r="R32" s="250"/>
      <c r="S32" s="611"/>
    </row>
    <row r="33" spans="1:19" ht="33.6" customHeight="1" thickBot="1" x14ac:dyDescent="0.5">
      <c r="A33" s="16">
        <v>6</v>
      </c>
      <c r="B33" s="961" t="s">
        <v>19</v>
      </c>
      <c r="C33" s="962">
        <f>$M$5</f>
        <v>3.5714285714285716</v>
      </c>
      <c r="D33" s="963" t="s">
        <v>287</v>
      </c>
      <c r="E33" s="964">
        <f>C33/1</f>
        <v>3.5714285714285716</v>
      </c>
      <c r="F33" s="961" t="s">
        <v>288</v>
      </c>
      <c r="G33" s="962">
        <f>E33/1</f>
        <v>3.5714285714285716</v>
      </c>
      <c r="H33" s="99">
        <v>4.5</v>
      </c>
      <c r="I33" s="115">
        <v>11.3</v>
      </c>
      <c r="J33" s="965">
        <f>IF(H33&lt;7,(H33-7),(H33-I33))</f>
        <v>-2.5</v>
      </c>
      <c r="K33" s="966">
        <f>IF((7-H33&gt;=0),(7-H33),0)</f>
        <v>2.5</v>
      </c>
      <c r="L33" s="967">
        <f>IF((I33&lt;7),7,I33)</f>
        <v>11.3</v>
      </c>
      <c r="M33" s="968">
        <f>IF(K33&lt;&gt;0,J33/7,(1+((H33-I33)/I33)))</f>
        <v>-0.35714285714285715</v>
      </c>
      <c r="N33" s="969">
        <f>((G33/C33)*M33)</f>
        <v>-0.35714285714285715</v>
      </c>
      <c r="O33" s="970">
        <f>IF(((G33/C33)*M33)&gt;=1,3.571428,IF(((G33/C33)*M33)&lt;=0,0,((G33/C33)*M33)*3.571428))</f>
        <v>0</v>
      </c>
      <c r="P33" s="835">
        <f>O33/3.571428</f>
        <v>0</v>
      </c>
      <c r="Q33" s="971" t="s">
        <v>97</v>
      </c>
      <c r="R33" s="636" t="s">
        <v>499</v>
      </c>
      <c r="S33" s="1283" t="s">
        <v>500</v>
      </c>
    </row>
    <row r="34" spans="1:19" ht="51" customHeight="1" thickBot="1" x14ac:dyDescent="0.5">
      <c r="A34" s="16">
        <v>7</v>
      </c>
      <c r="B34" s="961" t="s">
        <v>20</v>
      </c>
      <c r="C34" s="962">
        <f t="shared" ref="C34:C36" si="12">$M$5</f>
        <v>3.5714285714285716</v>
      </c>
      <c r="D34" s="961" t="s">
        <v>118</v>
      </c>
      <c r="E34" s="964">
        <f t="shared" ref="E34:E36" si="13">C34/1</f>
        <v>3.5714285714285716</v>
      </c>
      <c r="F34" s="961" t="s">
        <v>21</v>
      </c>
      <c r="G34" s="962">
        <f>E34/1</f>
        <v>3.5714285714285716</v>
      </c>
      <c r="H34" s="973">
        <v>5.2</v>
      </c>
      <c r="I34" s="974">
        <v>5.8</v>
      </c>
      <c r="J34" s="975">
        <f>H34-I34</f>
        <v>-0.59999999999999964</v>
      </c>
      <c r="K34" s="976">
        <f>(0.5*I34)*(6/10)</f>
        <v>1.74</v>
      </c>
      <c r="L34" s="977">
        <f>K34+I34</f>
        <v>7.54</v>
      </c>
      <c r="M34" s="968">
        <f>IF(K34&lt;&gt;0,J34/K34,"0%")</f>
        <v>-0.34482758620689635</v>
      </c>
      <c r="N34" s="969">
        <f>((G34/C34)*M34)</f>
        <v>-0.34482758620689635</v>
      </c>
      <c r="O34" s="970">
        <f>IF(((G34/C34)*M34)&gt;=1,3.571428,IF(((G34/C34)*M34)&lt;=0,0,((G34/C34)*M34)*3.571428))</f>
        <v>0</v>
      </c>
      <c r="P34" s="835">
        <f t="shared" ref="P34:P36" si="14">O34/3.571428</f>
        <v>0</v>
      </c>
      <c r="Q34" s="971" t="s">
        <v>173</v>
      </c>
      <c r="R34" s="637" t="s">
        <v>499</v>
      </c>
      <c r="S34" s="1283" t="s">
        <v>500</v>
      </c>
    </row>
    <row r="35" spans="1:19" ht="40.799999999999997" customHeight="1" thickBot="1" x14ac:dyDescent="0.5">
      <c r="A35" s="16">
        <v>8</v>
      </c>
      <c r="B35" s="961" t="s">
        <v>22</v>
      </c>
      <c r="C35" s="962">
        <f t="shared" si="12"/>
        <v>3.5714285714285716</v>
      </c>
      <c r="D35" s="961" t="s">
        <v>119</v>
      </c>
      <c r="E35" s="964">
        <f t="shared" si="13"/>
        <v>3.5714285714285716</v>
      </c>
      <c r="F35" s="961" t="s">
        <v>23</v>
      </c>
      <c r="G35" s="962">
        <f>E35/1</f>
        <v>3.5714285714285716</v>
      </c>
      <c r="H35" s="358"/>
      <c r="I35" s="395"/>
      <c r="J35" s="978">
        <f>H35-I35</f>
        <v>0</v>
      </c>
      <c r="K35" s="979">
        <f>IF((I35&gt;=1),0,((1-I35)*0.6))</f>
        <v>0.6</v>
      </c>
      <c r="L35" s="967">
        <f>I35+K35</f>
        <v>0.6</v>
      </c>
      <c r="M35" s="874">
        <f>IF(K35=0,"0%",J35/K35)</f>
        <v>0</v>
      </c>
      <c r="N35" s="969">
        <f>((G35/C35)*M35)</f>
        <v>0</v>
      </c>
      <c r="O35" s="970">
        <f>IF(((G35/C35)*M35)&gt;=1,3.571428,IF(((G35/C35)*M35)&lt;=0,0,((G35/C35)*M35)*3.571428))</f>
        <v>0</v>
      </c>
      <c r="P35" s="835">
        <f t="shared" si="14"/>
        <v>0</v>
      </c>
      <c r="Q35" s="971" t="s">
        <v>174</v>
      </c>
      <c r="R35" s="646" t="s">
        <v>616</v>
      </c>
      <c r="S35" s="372" t="s">
        <v>463</v>
      </c>
    </row>
    <row r="36" spans="1:19" ht="32.450000000000003" customHeight="1" thickBot="1" x14ac:dyDescent="0.5">
      <c r="A36" s="16">
        <v>9</v>
      </c>
      <c r="B36" s="961" t="s">
        <v>24</v>
      </c>
      <c r="C36" s="962">
        <f t="shared" si="12"/>
        <v>3.5714285714285716</v>
      </c>
      <c r="D36" s="961" t="s">
        <v>275</v>
      </c>
      <c r="E36" s="964">
        <f t="shared" si="13"/>
        <v>3.5714285714285716</v>
      </c>
      <c r="F36" s="980" t="s">
        <v>25</v>
      </c>
      <c r="G36" s="962">
        <f>E36/1</f>
        <v>3.5714285714285716</v>
      </c>
      <c r="H36" s="82">
        <v>4.5</v>
      </c>
      <c r="I36" s="87">
        <v>5.7</v>
      </c>
      <c r="J36" s="981">
        <f>H36-I36</f>
        <v>-1.2000000000000002</v>
      </c>
      <c r="K36" s="982">
        <f>(1*I36)*(6/10)</f>
        <v>3.42</v>
      </c>
      <c r="L36" s="983">
        <f>I36+K36</f>
        <v>9.120000000000001</v>
      </c>
      <c r="M36" s="968">
        <f>IF(K36&lt;&gt;0,J36/K36,"0%")</f>
        <v>-0.35087719298245618</v>
      </c>
      <c r="N36" s="969">
        <f>((G36/C36)*M36)</f>
        <v>-0.35087719298245618</v>
      </c>
      <c r="O36" s="970">
        <f>IF(((G36/C36)*M36)&gt;=1,3.571428,IF(((G36/C36)*M36)&lt;=0,0,((G36/C36)*M36)*3.571428))</f>
        <v>0</v>
      </c>
      <c r="P36" s="835">
        <f t="shared" si="14"/>
        <v>0</v>
      </c>
      <c r="Q36" s="984" t="s">
        <v>175</v>
      </c>
      <c r="R36" s="214" t="s">
        <v>501</v>
      </c>
      <c r="S36" s="1283" t="s">
        <v>502</v>
      </c>
    </row>
    <row r="37" spans="1:19" ht="30.6" customHeight="1" thickBot="1" x14ac:dyDescent="0.5">
      <c r="B37" s="1718" t="s">
        <v>26</v>
      </c>
      <c r="C37" s="1719"/>
      <c r="D37" s="1719"/>
      <c r="E37" s="1719"/>
      <c r="F37" s="1720"/>
      <c r="G37" s="985"/>
      <c r="H37" s="1208"/>
      <c r="I37" s="1208"/>
      <c r="J37" s="986"/>
      <c r="K37" s="987"/>
      <c r="L37" s="987"/>
      <c r="M37" s="988"/>
      <c r="N37" s="833">
        <f>N38</f>
        <v>0</v>
      </c>
      <c r="O37" s="834">
        <f>O38</f>
        <v>0</v>
      </c>
      <c r="P37" s="835">
        <f>O37/3.571428</f>
        <v>0</v>
      </c>
      <c r="Q37" s="989"/>
      <c r="R37" s="249"/>
      <c r="S37" s="611"/>
    </row>
    <row r="38" spans="1:19" ht="25.8" customHeight="1" x14ac:dyDescent="0.45">
      <c r="A38" s="1669">
        <v>10</v>
      </c>
      <c r="B38" s="1687" t="s">
        <v>27</v>
      </c>
      <c r="C38" s="1691">
        <f>M5</f>
        <v>3.5714285714285716</v>
      </c>
      <c r="D38" s="904" t="s">
        <v>120</v>
      </c>
      <c r="E38" s="853">
        <f>$C$38/2</f>
        <v>1.7857142857142858</v>
      </c>
      <c r="F38" s="990" t="s">
        <v>224</v>
      </c>
      <c r="G38" s="853">
        <f>E38/1</f>
        <v>1.7857142857142858</v>
      </c>
      <c r="H38" s="393"/>
      <c r="I38" s="394"/>
      <c r="J38" s="991">
        <f>H38-I38</f>
        <v>0</v>
      </c>
      <c r="K38" s="992">
        <f>(1*I38)*(6/10)</f>
        <v>0</v>
      </c>
      <c r="L38" s="993">
        <f>I38+K38</f>
        <v>0</v>
      </c>
      <c r="M38" s="859" t="str">
        <f>IF(K38&lt;&gt;0,J38/K38,"0%")</f>
        <v>0%</v>
      </c>
      <c r="N38" s="1715">
        <f>(((G38/C38)*M38)+((G39/C38)*M39))</f>
        <v>0</v>
      </c>
      <c r="O38" s="1699">
        <f>IF((((G38/C38)*M38)+((G39/C38)*M39))&gt;=1,3.57148,IF((((G38/C38)*M38)+((G39/C38)*M39))&lt;=0,0, (((G38/C38)*M38)+((G39/C38)*M39))*3.571428))</f>
        <v>0</v>
      </c>
      <c r="P38" s="1678">
        <f>O38/3.571428</f>
        <v>0</v>
      </c>
      <c r="Q38" s="994" t="s">
        <v>176</v>
      </c>
      <c r="R38" s="262" t="s">
        <v>617</v>
      </c>
      <c r="S38" s="1284" t="s">
        <v>463</v>
      </c>
    </row>
    <row r="39" spans="1:19" ht="35.25" thickBot="1" x14ac:dyDescent="0.5">
      <c r="A39" s="1669"/>
      <c r="B39" s="1688"/>
      <c r="C39" s="1692"/>
      <c r="D39" s="911" t="s">
        <v>157</v>
      </c>
      <c r="E39" s="868">
        <f>$C$38/2</f>
        <v>1.7857142857142858</v>
      </c>
      <c r="F39" s="995" t="s">
        <v>225</v>
      </c>
      <c r="G39" s="934">
        <f>E39/1</f>
        <v>1.7857142857142858</v>
      </c>
      <c r="H39" s="356"/>
      <c r="I39" s="386"/>
      <c r="J39" s="996">
        <f>H39-I39</f>
        <v>0</v>
      </c>
      <c r="K39" s="997">
        <f>IF(AND(I39&gt;=10,H39&gt;=I39),0,((10-H39)*(6/10)))</f>
        <v>6</v>
      </c>
      <c r="L39" s="998">
        <f>I39+K39</f>
        <v>6</v>
      </c>
      <c r="M39" s="874">
        <f>IF(K39&lt;&gt;0,J39/K39,"0%")</f>
        <v>0</v>
      </c>
      <c r="N39" s="1716"/>
      <c r="O39" s="1800"/>
      <c r="P39" s="1679"/>
      <c r="Q39" s="999" t="s">
        <v>95</v>
      </c>
      <c r="R39" s="258" t="s">
        <v>618</v>
      </c>
      <c r="S39" s="230" t="s">
        <v>463</v>
      </c>
    </row>
    <row r="40" spans="1:19" ht="20.45" customHeight="1" thickBot="1" x14ac:dyDescent="0.5">
      <c r="B40" s="1730" t="s">
        <v>28</v>
      </c>
      <c r="C40" s="1731"/>
      <c r="D40" s="1731"/>
      <c r="E40" s="1732"/>
      <c r="F40" s="1733"/>
      <c r="G40" s="985"/>
      <c r="H40" s="189"/>
      <c r="I40" s="189"/>
      <c r="J40" s="1000"/>
      <c r="K40" s="1001"/>
      <c r="L40" s="1001"/>
      <c r="M40" s="1002"/>
      <c r="N40" s="833">
        <f>N41</f>
        <v>0</v>
      </c>
      <c r="O40" s="834">
        <f>O41</f>
        <v>0</v>
      </c>
      <c r="P40" s="835">
        <f>O40/3.571428</f>
        <v>0</v>
      </c>
      <c r="Q40" s="1003"/>
      <c r="R40" s="255"/>
      <c r="S40" s="611"/>
    </row>
    <row r="41" spans="1:19" ht="35.25" thickBot="1" x14ac:dyDescent="0.5">
      <c r="A41" s="1669">
        <v>11</v>
      </c>
      <c r="B41" s="1734" t="s">
        <v>29</v>
      </c>
      <c r="C41" s="1736">
        <f>M5</f>
        <v>3.5714285714285716</v>
      </c>
      <c r="D41" s="1004" t="s">
        <v>121</v>
      </c>
      <c r="E41" s="1005">
        <f>$C$41/2</f>
        <v>1.7857142857142858</v>
      </c>
      <c r="F41" s="880" t="s">
        <v>30</v>
      </c>
      <c r="G41" s="1006">
        <f>E41/1</f>
        <v>1.7857142857142858</v>
      </c>
      <c r="H41" s="364"/>
      <c r="I41" s="581"/>
      <c r="J41" s="1007">
        <f>H41-I41</f>
        <v>0</v>
      </c>
      <c r="K41" s="1008">
        <f>(0.5*I41)*(6/10)</f>
        <v>0</v>
      </c>
      <c r="L41" s="1009">
        <f>I41+K41</f>
        <v>0</v>
      </c>
      <c r="M41" s="859" t="str">
        <f>IF(K41&lt;&gt;0,J41/K41,"0%")</f>
        <v>0%</v>
      </c>
      <c r="N41" s="1738">
        <f>(((G41/C41)*M41)+(G42/C41)*M42)</f>
        <v>0</v>
      </c>
      <c r="O41" s="1699">
        <f>IF((((G41/C41)*M41)+((G42/C41)*M42))&gt;=1,3.57148,IF((((G41/C41)*M41)+((G42/C41)*M42))&lt;=0,0, (((G41/C41)*M41)+((G42/C41)*M42))*3.571428))</f>
        <v>0</v>
      </c>
      <c r="P41" s="1678">
        <f>O41/3.571428</f>
        <v>0</v>
      </c>
      <c r="Q41" s="1010" t="s">
        <v>177</v>
      </c>
      <c r="R41" s="614" t="s">
        <v>414</v>
      </c>
      <c r="S41" s="1284" t="s">
        <v>463</v>
      </c>
    </row>
    <row r="42" spans="1:19" ht="23.65" thickBot="1" x14ac:dyDescent="0.5">
      <c r="A42" s="1669"/>
      <c r="B42" s="1735"/>
      <c r="C42" s="1737"/>
      <c r="D42" s="1011" t="s">
        <v>122</v>
      </c>
      <c r="E42" s="939">
        <f>$C$41/2</f>
        <v>1.7857142857142858</v>
      </c>
      <c r="F42" s="891" t="s">
        <v>31</v>
      </c>
      <c r="G42" s="1012">
        <f>E42/1</f>
        <v>1.7857142857142858</v>
      </c>
      <c r="H42" s="1285"/>
      <c r="I42" s="1286"/>
      <c r="J42" s="1013">
        <f>H42-I42</f>
        <v>0</v>
      </c>
      <c r="K42" s="896">
        <f>(0.5*I42)*(6/10)</f>
        <v>0</v>
      </c>
      <c r="L42" s="1014">
        <f>I42+K42</f>
        <v>0</v>
      </c>
      <c r="M42" s="874" t="str">
        <f>IF(K42&lt;&gt;0,J42/K42,"0%")</f>
        <v>0%</v>
      </c>
      <c r="N42" s="1738"/>
      <c r="O42" s="1800"/>
      <c r="P42" s="1679"/>
      <c r="Q42" s="1010" t="s">
        <v>95</v>
      </c>
      <c r="R42" s="484"/>
      <c r="S42" s="641" t="s">
        <v>619</v>
      </c>
    </row>
    <row r="43" spans="1:19" ht="30.6" customHeight="1" thickBot="1" x14ac:dyDescent="0.5">
      <c r="B43" s="1704" t="s">
        <v>32</v>
      </c>
      <c r="C43" s="1705"/>
      <c r="D43" s="1705"/>
      <c r="E43" s="1705"/>
      <c r="F43" s="1706"/>
      <c r="G43" s="923"/>
      <c r="H43" s="396"/>
      <c r="I43" s="396"/>
      <c r="J43" s="1015"/>
      <c r="K43" s="1016"/>
      <c r="L43" s="1016"/>
      <c r="M43" s="923"/>
      <c r="N43" s="833">
        <f>N44</f>
        <v>0.53529411764705881</v>
      </c>
      <c r="O43" s="834">
        <f>O44</f>
        <v>1.9117644</v>
      </c>
      <c r="P43" s="835">
        <f>O43/3.571428</f>
        <v>0.53529411764705881</v>
      </c>
      <c r="Q43" s="1017"/>
      <c r="R43" s="255"/>
      <c r="S43" s="613"/>
    </row>
    <row r="44" spans="1:19" ht="37.799999999999997" customHeight="1" thickBot="1" x14ac:dyDescent="0.5">
      <c r="A44" s="1669">
        <v>12</v>
      </c>
      <c r="B44" s="1727" t="s">
        <v>33</v>
      </c>
      <c r="C44" s="1691">
        <f>M5</f>
        <v>3.5714285714285716</v>
      </c>
      <c r="D44" s="926" t="s">
        <v>123</v>
      </c>
      <c r="E44" s="1018">
        <f>C44/2</f>
        <v>1.7857142857142858</v>
      </c>
      <c r="F44" s="926" t="s">
        <v>34</v>
      </c>
      <c r="G44" s="905">
        <f>$E$44/1</f>
        <v>1.7857142857142858</v>
      </c>
      <c r="H44" s="362"/>
      <c r="I44" s="375"/>
      <c r="J44" s="1019">
        <f>IF(I44=H44,(H44-30),H44-I44)</f>
        <v>-30</v>
      </c>
      <c r="K44" s="909">
        <f>IF(I44&gt;=30,0,((30-I44)*(6/10)))</f>
        <v>18</v>
      </c>
      <c r="L44" s="1020">
        <f>I44+K44</f>
        <v>18</v>
      </c>
      <c r="M44" s="916" t="str">
        <f>IF(K44=0,J44/K44,"0%")</f>
        <v>0%</v>
      </c>
      <c r="N44" s="1746">
        <f>(((G44/C44)*M44)+((G45/C44)*M45))</f>
        <v>0.53529411764705881</v>
      </c>
      <c r="O44" s="1804">
        <f>IF((((G44/C44)*M44)+((G45/C44)*M45))&gt;=1,3.57148,IF((((G44/C44)*M44)+((G45/C44)*M45))&lt;=0,0, (((G44/C44)*M44)+((G45/C44)*M45))*3.571428))</f>
        <v>1.9117644</v>
      </c>
      <c r="P44" s="1678">
        <f>O44/3.571428</f>
        <v>0.53529411764705881</v>
      </c>
      <c r="Q44" s="910" t="s">
        <v>178</v>
      </c>
      <c r="R44" s="244"/>
      <c r="S44" s="1287" t="s">
        <v>463</v>
      </c>
    </row>
    <row r="45" spans="1:19" ht="35.25" thickBot="1" x14ac:dyDescent="0.5">
      <c r="A45" s="1669"/>
      <c r="B45" s="1728"/>
      <c r="C45" s="1729"/>
      <c r="D45" s="953" t="s">
        <v>124</v>
      </c>
      <c r="E45" s="1021">
        <f>(C44/2)</f>
        <v>1.7857142857142858</v>
      </c>
      <c r="F45" s="953" t="s">
        <v>35</v>
      </c>
      <c r="G45" s="919">
        <f>$E$45/1</f>
        <v>1.7857142857142858</v>
      </c>
      <c r="H45" s="1288">
        <v>18.2</v>
      </c>
      <c r="I45" s="1289">
        <v>18.2</v>
      </c>
      <c r="J45" s="1022">
        <f>IF(I45=H45,(H45-17),H45-I45)</f>
        <v>1.1999999999999993</v>
      </c>
      <c r="K45" s="1023">
        <f>IF(I45&gt;=17,0,((17-I45)*(6/10)))</f>
        <v>0</v>
      </c>
      <c r="L45" s="1024">
        <f>I45+K45</f>
        <v>18.2</v>
      </c>
      <c r="M45" s="1238">
        <f>IF(I45&gt;=17,(1+(H45-17)/17),(H45/17))</f>
        <v>1.0705882352941176</v>
      </c>
      <c r="N45" s="1747"/>
      <c r="O45" s="1805"/>
      <c r="P45" s="1679"/>
      <c r="Q45" s="922" t="s">
        <v>179</v>
      </c>
      <c r="R45" s="198" t="s">
        <v>620</v>
      </c>
      <c r="S45" s="612" t="s">
        <v>463</v>
      </c>
    </row>
    <row r="46" spans="1:19" ht="30.6" customHeight="1" thickBot="1" x14ac:dyDescent="0.5">
      <c r="B46" s="1743" t="s">
        <v>36</v>
      </c>
      <c r="C46" s="1744"/>
      <c r="D46" s="1744"/>
      <c r="E46" s="1744"/>
      <c r="F46" s="1745"/>
      <c r="G46" s="1025"/>
      <c r="H46" s="122"/>
      <c r="I46" s="123"/>
      <c r="J46" s="1026"/>
      <c r="K46" s="1027"/>
      <c r="L46" s="1027"/>
      <c r="M46" s="1028"/>
      <c r="N46" s="833">
        <f>(N47+N50+N52)/3</f>
        <v>0.27777777777777779</v>
      </c>
      <c r="O46" s="834">
        <f>(O47+O50+O52)</f>
        <v>2.9761900000000003</v>
      </c>
      <c r="P46" s="835">
        <f>O46/10.714284</f>
        <v>0.27777777777777785</v>
      </c>
      <c r="Q46" s="1029"/>
      <c r="R46" s="268"/>
      <c r="S46" s="616"/>
    </row>
    <row r="47" spans="1:19" ht="20.45" customHeight="1" thickBot="1" x14ac:dyDescent="0.5">
      <c r="B47" s="1684" t="s">
        <v>37</v>
      </c>
      <c r="C47" s="1685"/>
      <c r="D47" s="1685"/>
      <c r="E47" s="1685"/>
      <c r="F47" s="1686"/>
      <c r="G47" s="1030"/>
      <c r="H47" s="189"/>
      <c r="I47" s="189"/>
      <c r="J47" s="1031"/>
      <c r="K47" s="1032"/>
      <c r="L47" s="1032"/>
      <c r="M47" s="923"/>
      <c r="N47" s="833">
        <f>N48</f>
        <v>0</v>
      </c>
      <c r="O47" s="834">
        <f>O48</f>
        <v>0</v>
      </c>
      <c r="P47" s="835">
        <f>O47/3.571428</f>
        <v>0</v>
      </c>
      <c r="Q47" s="1017"/>
      <c r="R47" s="255"/>
      <c r="S47" s="613"/>
    </row>
    <row r="48" spans="1:19" ht="37.799999999999997" customHeight="1" thickBot="1" x14ac:dyDescent="0.5">
      <c r="A48" s="1669">
        <v>13</v>
      </c>
      <c r="B48" s="1727" t="s">
        <v>38</v>
      </c>
      <c r="C48" s="1691">
        <f>M5</f>
        <v>3.5714285714285716</v>
      </c>
      <c r="D48" s="926" t="s">
        <v>125</v>
      </c>
      <c r="E48" s="853">
        <f>$C$48/2</f>
        <v>1.7857142857142858</v>
      </c>
      <c r="F48" s="1033" t="s">
        <v>289</v>
      </c>
      <c r="G48" s="853">
        <f>E48/1</f>
        <v>1.7857142857142858</v>
      </c>
      <c r="H48" s="362"/>
      <c r="I48" s="382"/>
      <c r="J48" s="1034">
        <f>H48-I48</f>
        <v>0</v>
      </c>
      <c r="K48" s="1035">
        <f>(0.5*I48)* (6/10)</f>
        <v>0</v>
      </c>
      <c r="L48" s="1036">
        <f>I48-K48</f>
        <v>0</v>
      </c>
      <c r="M48" s="887" t="str">
        <f>IF(K48&lt;&gt;0,J48/K48,"0%")</f>
        <v>0%</v>
      </c>
      <c r="N48" s="1746">
        <f>(((G48/C48)*M48)+((G49/C48)*M49))</f>
        <v>0</v>
      </c>
      <c r="O48" s="1699">
        <f>IF((((G48/C48)*M48)+((G49/C48)*M49))&gt;=1,3.57148,IF((((G48/C48)*M48)+((G49/C48)*M49))&lt;=0,0, (((G48/C48)*M48)+((G49/C48)*M49))*3.571428))</f>
        <v>0</v>
      </c>
      <c r="P48" s="1678">
        <f>O48/3.571428</f>
        <v>0</v>
      </c>
      <c r="Q48" s="950" t="s">
        <v>95</v>
      </c>
      <c r="R48" s="236"/>
      <c r="S48" s="1287" t="s">
        <v>463</v>
      </c>
    </row>
    <row r="49" spans="1:19" ht="30.6" customHeight="1" thickBot="1" x14ac:dyDescent="0.5">
      <c r="A49" s="1669"/>
      <c r="B49" s="1728"/>
      <c r="C49" s="1729"/>
      <c r="D49" s="953" t="s">
        <v>126</v>
      </c>
      <c r="E49" s="868">
        <f>$C$48/2</f>
        <v>1.7857142857142858</v>
      </c>
      <c r="F49" s="953" t="s">
        <v>290</v>
      </c>
      <c r="G49" s="868">
        <f>E49/1</f>
        <v>1.7857142857142858</v>
      </c>
      <c r="H49" s="383"/>
      <c r="I49" s="384"/>
      <c r="J49" s="955">
        <f>H49-I49</f>
        <v>0</v>
      </c>
      <c r="K49" s="1037">
        <f>(2*I49)*(6/10)</f>
        <v>0</v>
      </c>
      <c r="L49" s="1038">
        <f>I49+K49</f>
        <v>0</v>
      </c>
      <c r="M49" s="874" t="str">
        <f>IF(K49&lt;&gt;0,J49/K49,"0%")</f>
        <v>0%</v>
      </c>
      <c r="N49" s="1747"/>
      <c r="O49" s="1800"/>
      <c r="P49" s="1679"/>
      <c r="Q49" s="956" t="s">
        <v>95</v>
      </c>
      <c r="R49" s="265" t="s">
        <v>322</v>
      </c>
      <c r="S49" s="1287" t="s">
        <v>463</v>
      </c>
    </row>
    <row r="50" spans="1:19" ht="15" customHeight="1" thickBot="1" x14ac:dyDescent="0.5">
      <c r="B50" s="1704" t="s">
        <v>39</v>
      </c>
      <c r="C50" s="1705"/>
      <c r="D50" s="1705"/>
      <c r="E50" s="1705"/>
      <c r="F50" s="1706"/>
      <c r="G50" s="1039"/>
      <c r="H50" s="191"/>
      <c r="I50" s="191"/>
      <c r="J50" s="1040"/>
      <c r="K50" s="1040"/>
      <c r="L50" s="1040"/>
      <c r="M50" s="1041"/>
      <c r="N50" s="833">
        <f>N51</f>
        <v>0.83333333333333337</v>
      </c>
      <c r="O50" s="834">
        <f>O51</f>
        <v>2.9761900000000003</v>
      </c>
      <c r="P50" s="835">
        <f>O50/3.571428</f>
        <v>0.83333333333333337</v>
      </c>
      <c r="Q50" s="1042"/>
      <c r="R50" s="269"/>
      <c r="S50" s="617"/>
    </row>
    <row r="51" spans="1:19" ht="30.6" customHeight="1" thickBot="1" x14ac:dyDescent="0.5">
      <c r="A51" s="15">
        <v>14</v>
      </c>
      <c r="B51" s="1043" t="s">
        <v>226</v>
      </c>
      <c r="C51" s="1044">
        <f>M5</f>
        <v>3.5714285714285716</v>
      </c>
      <c r="D51" s="1045" t="s">
        <v>272</v>
      </c>
      <c r="E51" s="1046">
        <f>C51</f>
        <v>3.5714285714285716</v>
      </c>
      <c r="F51" s="1047" t="s">
        <v>266</v>
      </c>
      <c r="G51" s="1048">
        <f>E51/1</f>
        <v>3.5714285714285716</v>
      </c>
      <c r="H51" s="477">
        <v>50</v>
      </c>
      <c r="I51" s="478">
        <v>0</v>
      </c>
      <c r="J51" s="1049">
        <f>H51-I51</f>
        <v>50</v>
      </c>
      <c r="K51" s="1050">
        <f>(100-I51)*(6/10)</f>
        <v>60</v>
      </c>
      <c r="L51" s="1051">
        <f>I51+K51</f>
        <v>60</v>
      </c>
      <c r="M51" s="898">
        <f>IF(K51&lt;&gt;0,J51/K51,"100%")</f>
        <v>0.83333333333333337</v>
      </c>
      <c r="N51" s="833">
        <f>((G51/C51)*M51)</f>
        <v>0.83333333333333337</v>
      </c>
      <c r="O51" s="970">
        <f>IF(((G51/C51)*M51)&gt;=1,3.571428,IF(((G51/C51)*M51)&lt;=0,0,((G51/C51)*M51)*3.571428))</f>
        <v>2.9761900000000003</v>
      </c>
      <c r="P51" s="835">
        <f>O51/3.571428</f>
        <v>0.83333333333333337</v>
      </c>
      <c r="Q51" s="1052" t="s">
        <v>95</v>
      </c>
      <c r="R51" s="270"/>
      <c r="S51" s="1290" t="s">
        <v>439</v>
      </c>
    </row>
    <row r="52" spans="1:19" ht="20.45" customHeight="1" thickBot="1" x14ac:dyDescent="0.5">
      <c r="B52" s="1704" t="s">
        <v>40</v>
      </c>
      <c r="C52" s="1705"/>
      <c r="D52" s="1705"/>
      <c r="E52" s="1705"/>
      <c r="F52" s="1706"/>
      <c r="G52" s="1030"/>
      <c r="H52" s="189"/>
      <c r="I52" s="189"/>
      <c r="J52" s="1031"/>
      <c r="K52" s="1032"/>
      <c r="L52" s="1032"/>
      <c r="M52" s="948"/>
      <c r="N52" s="833">
        <f>N53</f>
        <v>0</v>
      </c>
      <c r="O52" s="834">
        <f>O53</f>
        <v>0</v>
      </c>
      <c r="P52" s="835">
        <f>O52/3.571428</f>
        <v>0</v>
      </c>
      <c r="Q52" s="1053"/>
      <c r="R52" s="269"/>
      <c r="S52" s="613"/>
    </row>
    <row r="53" spans="1:19" ht="43.8" customHeight="1" x14ac:dyDescent="0.45">
      <c r="A53" s="1669">
        <v>15</v>
      </c>
      <c r="B53" s="1687" t="s">
        <v>108</v>
      </c>
      <c r="C53" s="1691">
        <f>M5</f>
        <v>3.5714285714285716</v>
      </c>
      <c r="D53" s="1054" t="s">
        <v>127</v>
      </c>
      <c r="E53" s="1055">
        <f>$C$53/5</f>
        <v>0.7142857142857143</v>
      </c>
      <c r="F53" s="1056" t="s">
        <v>41</v>
      </c>
      <c r="G53" s="905">
        <f>E53/1</f>
        <v>0.7142857142857143</v>
      </c>
      <c r="H53" s="584"/>
      <c r="I53" s="548"/>
      <c r="J53" s="930">
        <f>H53-I53</f>
        <v>0</v>
      </c>
      <c r="K53" s="1035">
        <f>(100-I53)*(6/10)</f>
        <v>60</v>
      </c>
      <c r="L53" s="993">
        <f t="shared" ref="L53:L58" si="15">I53+K53</f>
        <v>60</v>
      </c>
      <c r="M53" s="859">
        <f>IF(K53=0,"0%",J53/K53)</f>
        <v>0</v>
      </c>
      <c r="N53" s="1740">
        <f>(((G53/C53)*M53)+((G54/C53)*M54)+((G55/C53)*M55)+((G56/C53)*M56)+((G57/C53)*M57)+((G58/C53)*M58))</f>
        <v>0</v>
      </c>
      <c r="O53" s="1751">
        <f>IF((((G53/C53)*M53)+((G54/C53)*M54)+((G55/C53)*M55)+((G56/C53)*M56)+((G57/C53)*M57)+((G58/C53)*M58))&gt;=1,3.571428,IF((((G53/C53)*M53)+((G54/C53)*M54)+((G55/C53)*M55)+((G56/C53)*M56)+((G57/C53)*M57)+((G58/C53)*M58))&lt;=0,0,((((G53/C53)*M53)+((G54/C53)*M54)+((G55/C53)*M55)+((G56/C53)*M56)+((G57/C53)*M57)+((G58/C53)*M58))*3.571428)))</f>
        <v>0</v>
      </c>
      <c r="P53" s="1678">
        <f>O53/3.571428</f>
        <v>0</v>
      </c>
      <c r="Q53" s="1057" t="s">
        <v>95</v>
      </c>
      <c r="R53" s="703"/>
      <c r="S53" s="1284" t="s">
        <v>463</v>
      </c>
    </row>
    <row r="54" spans="1:19" ht="35.450000000000003" customHeight="1" x14ac:dyDescent="0.45">
      <c r="A54" s="1669"/>
      <c r="B54" s="1688"/>
      <c r="C54" s="1692"/>
      <c r="D54" s="1058" t="s">
        <v>128</v>
      </c>
      <c r="E54" s="1059">
        <f t="shared" ref="E54:E57" si="16">$C$53/5</f>
        <v>0.7142857142857143</v>
      </c>
      <c r="F54" s="1060" t="s">
        <v>42</v>
      </c>
      <c r="G54" s="912">
        <f>E54/1</f>
        <v>0.7142857142857143</v>
      </c>
      <c r="H54" s="549"/>
      <c r="I54" s="550"/>
      <c r="J54" s="936">
        <f>H54-I54</f>
        <v>0</v>
      </c>
      <c r="K54" s="997">
        <f>(100-I54)*(6/6)</f>
        <v>100</v>
      </c>
      <c r="L54" s="998">
        <f>I54+K54</f>
        <v>100</v>
      </c>
      <c r="M54" s="916">
        <f>IF(K54=0,"0%",J54/K54)</f>
        <v>0</v>
      </c>
      <c r="N54" s="1741"/>
      <c r="O54" s="1806"/>
      <c r="P54" s="1703"/>
      <c r="Q54" s="1061" t="s">
        <v>95</v>
      </c>
      <c r="R54" s="207"/>
      <c r="S54" s="1291" t="s">
        <v>463</v>
      </c>
    </row>
    <row r="55" spans="1:19" ht="34.25" customHeight="1" x14ac:dyDescent="0.45">
      <c r="A55" s="1669"/>
      <c r="B55" s="1688"/>
      <c r="C55" s="1692"/>
      <c r="D55" s="1058" t="s">
        <v>129</v>
      </c>
      <c r="E55" s="1059">
        <f t="shared" si="16"/>
        <v>0.7142857142857143</v>
      </c>
      <c r="F55" s="1060" t="s">
        <v>43</v>
      </c>
      <c r="G55" s="912">
        <f>E55/1</f>
        <v>0.7142857142857143</v>
      </c>
      <c r="H55" s="551"/>
      <c r="I55" s="550"/>
      <c r="J55" s="936">
        <f>H55-I55</f>
        <v>0</v>
      </c>
      <c r="K55" s="997">
        <f>(100-I55)*(6/10)</f>
        <v>60</v>
      </c>
      <c r="L55" s="998">
        <f t="shared" si="15"/>
        <v>60</v>
      </c>
      <c r="M55" s="916">
        <f t="shared" ref="M55" si="17">IF(K55&lt;&gt;0,J55/K55,"0%")</f>
        <v>0</v>
      </c>
      <c r="N55" s="1741"/>
      <c r="O55" s="1806"/>
      <c r="P55" s="1703"/>
      <c r="Q55" s="1061" t="s">
        <v>95</v>
      </c>
      <c r="R55" s="207"/>
      <c r="S55" s="1291" t="s">
        <v>463</v>
      </c>
    </row>
    <row r="56" spans="1:19" ht="37.25" customHeight="1" x14ac:dyDescent="0.45">
      <c r="A56" s="1669"/>
      <c r="B56" s="1688"/>
      <c r="C56" s="1692"/>
      <c r="D56" s="1058" t="s">
        <v>130</v>
      </c>
      <c r="E56" s="1059">
        <f t="shared" si="16"/>
        <v>0.7142857142857143</v>
      </c>
      <c r="F56" s="1060" t="s">
        <v>44</v>
      </c>
      <c r="G56" s="912">
        <f>E56/1</f>
        <v>0.7142857142857143</v>
      </c>
      <c r="H56" s="575"/>
      <c r="I56" s="766"/>
      <c r="J56" s="936">
        <f>H56-I56</f>
        <v>0</v>
      </c>
      <c r="K56" s="1062">
        <f>(0.5*I56)*(6/7)</f>
        <v>0</v>
      </c>
      <c r="L56" s="998">
        <f t="shared" si="15"/>
        <v>0</v>
      </c>
      <c r="M56" s="916" t="str">
        <f>IF(K56=0,"0%",J56/K56)</f>
        <v>0%</v>
      </c>
      <c r="N56" s="1741"/>
      <c r="O56" s="1806"/>
      <c r="P56" s="1703"/>
      <c r="Q56" s="1061" t="s">
        <v>101</v>
      </c>
      <c r="R56" s="207"/>
      <c r="S56" s="1291" t="s">
        <v>463</v>
      </c>
    </row>
    <row r="57" spans="1:19" ht="22.8" customHeight="1" x14ac:dyDescent="0.45">
      <c r="A57" s="1669"/>
      <c r="B57" s="1688"/>
      <c r="C57" s="1692"/>
      <c r="D57" s="1753" t="s">
        <v>131</v>
      </c>
      <c r="E57" s="1755">
        <f t="shared" si="16"/>
        <v>0.7142857142857143</v>
      </c>
      <c r="F57" s="1060" t="s">
        <v>45</v>
      </c>
      <c r="G57" s="912">
        <f>$E$57/2</f>
        <v>0.35714285714285715</v>
      </c>
      <c r="H57" s="585"/>
      <c r="I57" s="577">
        <v>85.3</v>
      </c>
      <c r="J57" s="936">
        <f t="shared" ref="J57:J58" si="18">H57-I57</f>
        <v>-85.3</v>
      </c>
      <c r="K57" s="1064">
        <f>(1*I57)*(6/10)</f>
        <v>51.18</v>
      </c>
      <c r="L57" s="998">
        <f t="shared" si="15"/>
        <v>136.47999999999999</v>
      </c>
      <c r="M57" s="916" t="str">
        <f>IF(K57=0,J57/K57,"0%")</f>
        <v>0%</v>
      </c>
      <c r="N57" s="1741"/>
      <c r="O57" s="1806"/>
      <c r="P57" s="1703"/>
      <c r="Q57" s="1061" t="s">
        <v>180</v>
      </c>
      <c r="R57" s="207" t="s">
        <v>621</v>
      </c>
      <c r="S57" s="1292" t="s">
        <v>622</v>
      </c>
    </row>
    <row r="58" spans="1:19" ht="36.4" customHeight="1" thickBot="1" x14ac:dyDescent="0.5">
      <c r="A58" s="1669"/>
      <c r="B58" s="1739"/>
      <c r="C58" s="1729"/>
      <c r="D58" s="1754"/>
      <c r="E58" s="1756"/>
      <c r="F58" s="867" t="s">
        <v>46</v>
      </c>
      <c r="G58" s="919">
        <f>$E$57/2</f>
        <v>0.35714285714285715</v>
      </c>
      <c r="H58" s="1293"/>
      <c r="I58" s="552"/>
      <c r="J58" s="943">
        <f t="shared" si="18"/>
        <v>0</v>
      </c>
      <c r="K58" s="1037">
        <f>(1*I58)*(6/10)</f>
        <v>0</v>
      </c>
      <c r="L58" s="1065">
        <f t="shared" si="15"/>
        <v>0</v>
      </c>
      <c r="M58" s="874" t="str">
        <f>IF(K58&lt;&gt;0,J58/K58,"0%")</f>
        <v>0%</v>
      </c>
      <c r="N58" s="1742"/>
      <c r="O58" s="1807"/>
      <c r="P58" s="1679"/>
      <c r="Q58" s="1066" t="s">
        <v>95</v>
      </c>
      <c r="R58" s="211"/>
      <c r="S58" s="230" t="s">
        <v>463</v>
      </c>
    </row>
    <row r="59" spans="1:19" ht="23.45" customHeight="1" thickBot="1" x14ac:dyDescent="0.5">
      <c r="B59" s="1743" t="s">
        <v>47</v>
      </c>
      <c r="C59" s="1744"/>
      <c r="D59" s="1744"/>
      <c r="E59" s="1744"/>
      <c r="F59" s="1745"/>
      <c r="G59" s="1067"/>
      <c r="H59" s="192"/>
      <c r="I59" s="192"/>
      <c r="J59" s="1068"/>
      <c r="K59" s="1068"/>
      <c r="L59" s="1068"/>
      <c r="M59" s="1028"/>
      <c r="N59" s="833">
        <f>(N60+N67)/2</f>
        <v>0</v>
      </c>
      <c r="O59" s="834">
        <f>(O60+O67)</f>
        <v>0</v>
      </c>
      <c r="P59" s="835">
        <f>O59/7.142856</f>
        <v>0</v>
      </c>
      <c r="Q59" s="1069"/>
      <c r="R59" s="272"/>
      <c r="S59" s="273"/>
    </row>
    <row r="60" spans="1:19" ht="22.25" customHeight="1" thickBot="1" x14ac:dyDescent="0.5">
      <c r="B60" s="1704" t="s">
        <v>48</v>
      </c>
      <c r="C60" s="1705"/>
      <c r="D60" s="1705"/>
      <c r="E60" s="1705"/>
      <c r="F60" s="1706"/>
      <c r="G60" s="923"/>
      <c r="H60" s="396"/>
      <c r="I60" s="396"/>
      <c r="J60" s="946"/>
      <c r="K60" s="947"/>
      <c r="L60" s="947"/>
      <c r="M60" s="923"/>
      <c r="N60" s="833">
        <f>N61</f>
        <v>0</v>
      </c>
      <c r="O60" s="834">
        <f>O61</f>
        <v>0</v>
      </c>
      <c r="P60" s="835">
        <f>O60/3.571428</f>
        <v>0</v>
      </c>
      <c r="Q60" s="924"/>
      <c r="R60" s="255"/>
      <c r="S60" s="613"/>
    </row>
    <row r="61" spans="1:19" ht="39" customHeight="1" x14ac:dyDescent="0.45">
      <c r="A61" s="1669">
        <v>16</v>
      </c>
      <c r="B61" s="1687" t="s">
        <v>49</v>
      </c>
      <c r="C61" s="1691">
        <f>M5</f>
        <v>3.5714285714285716</v>
      </c>
      <c r="D61" s="926" t="s">
        <v>133</v>
      </c>
      <c r="E61" s="853">
        <f>$C$61/4</f>
        <v>0.8928571428571429</v>
      </c>
      <c r="F61" s="926" t="s">
        <v>50</v>
      </c>
      <c r="G61" s="905">
        <f>E61/1</f>
        <v>0.8928571428571429</v>
      </c>
      <c r="H61" s="764"/>
      <c r="I61" s="765"/>
      <c r="J61" s="1019">
        <f>IF(I61=H61,(H61-70),H61-I61)</f>
        <v>-70</v>
      </c>
      <c r="K61" s="909">
        <f>IF(I61&gt;=70,0,((70-I61)*(6/10)))</f>
        <v>42</v>
      </c>
      <c r="L61" s="1070">
        <f t="shared" ref="L61:L66" si="19">I61+K61</f>
        <v>42</v>
      </c>
      <c r="M61" s="916" t="str">
        <f>IF(K61=0,J61/K61,"0%")</f>
        <v>0%</v>
      </c>
      <c r="N61" s="1748">
        <f>(((G61/C61)*M61)+((G62/C61)*M62)+((G63/C61)*M63)+((G64/C61)*M64)+((G65/C61)*M65)+((G66/C61)*M66))</f>
        <v>0</v>
      </c>
      <c r="O61" s="1751">
        <f>IF((((G61/C61)*M61)+((G62/C61)*M62)+((G63/C61)*M63)+((G64/C61)*M64)+((G65/C61)*M65)+((G66/C61)*M66))&gt;=1,3.571428,IF((((G61/C61)*M61)+((G62/C61)*M62)+((G63/C61)*M63)+((G64/C61)*M64)+((G65/C61)*M65)+((G66/C61)*M66))&lt;=0,0,((((G61/C61)*M61)+((G62/C61)*M62)+((G63/C61)*M63)+((G64/C61)*M64)+((G65/C61)*M65)+((G66/C61)*M66))*3.571428)))</f>
        <v>0</v>
      </c>
      <c r="P61" s="1678">
        <f>O61/3.571428</f>
        <v>0</v>
      </c>
      <c r="Q61" s="994" t="s">
        <v>181</v>
      </c>
      <c r="R61" s="1294"/>
      <c r="S61" s="1284" t="s">
        <v>463</v>
      </c>
    </row>
    <row r="62" spans="1:19" ht="58.25" customHeight="1" x14ac:dyDescent="0.45">
      <c r="A62" s="1669"/>
      <c r="B62" s="1688"/>
      <c r="C62" s="1692"/>
      <c r="D62" s="933" t="s">
        <v>134</v>
      </c>
      <c r="E62" s="934">
        <f t="shared" ref="E62:E63" si="20">$C$61/4</f>
        <v>0.8928571428571429</v>
      </c>
      <c r="F62" s="1058" t="s">
        <v>276</v>
      </c>
      <c r="G62" s="912">
        <f>$E$62/1</f>
        <v>0.8928571428571429</v>
      </c>
      <c r="H62" s="557"/>
      <c r="I62" s="558"/>
      <c r="J62" s="1071">
        <f>IF(I62=H62,(H62-70),H62-I62)</f>
        <v>-70</v>
      </c>
      <c r="K62" s="914">
        <f t="shared" ref="K62:K63" si="21">IF(I62&gt;=70,0,((70-I62)*(6/10)))</f>
        <v>42</v>
      </c>
      <c r="L62" s="1072">
        <f t="shared" si="19"/>
        <v>42</v>
      </c>
      <c r="M62" s="916" t="str">
        <f>IF(K62=0,J62/K62,"0%")</f>
        <v>0%</v>
      </c>
      <c r="N62" s="1749"/>
      <c r="O62" s="1806"/>
      <c r="P62" s="1703"/>
      <c r="Q62" s="999" t="s">
        <v>182</v>
      </c>
      <c r="R62" s="1295"/>
      <c r="S62" s="1291" t="s">
        <v>463</v>
      </c>
    </row>
    <row r="63" spans="1:19" ht="26.45" customHeight="1" x14ac:dyDescent="0.45">
      <c r="A63" s="1669"/>
      <c r="B63" s="1688"/>
      <c r="C63" s="1692"/>
      <c r="D63" s="933" t="s">
        <v>135</v>
      </c>
      <c r="E63" s="934">
        <f t="shared" si="20"/>
        <v>0.8928571428571429</v>
      </c>
      <c r="F63" s="933" t="s">
        <v>51</v>
      </c>
      <c r="G63" s="912">
        <f>E63/1</f>
        <v>0.8928571428571429</v>
      </c>
      <c r="H63" s="557"/>
      <c r="I63" s="558"/>
      <c r="J63" s="1071">
        <f>IF(I63=H63,(H63-70),H63-I63)</f>
        <v>-70</v>
      </c>
      <c r="K63" s="914">
        <f t="shared" si="21"/>
        <v>42</v>
      </c>
      <c r="L63" s="1072">
        <f t="shared" si="19"/>
        <v>42</v>
      </c>
      <c r="M63" s="916" t="str">
        <f>IF(K63=0,J63/K63,"0%")</f>
        <v>0%</v>
      </c>
      <c r="N63" s="1749"/>
      <c r="O63" s="1806"/>
      <c r="P63" s="1703"/>
      <c r="Q63" s="999" t="s">
        <v>95</v>
      </c>
      <c r="R63" s="499"/>
      <c r="S63" s="1291" t="s">
        <v>463</v>
      </c>
    </row>
    <row r="64" spans="1:19" ht="15" customHeight="1" x14ac:dyDescent="0.45">
      <c r="A64" s="1669"/>
      <c r="B64" s="1688"/>
      <c r="C64" s="1692"/>
      <c r="D64" s="1721" t="s">
        <v>136</v>
      </c>
      <c r="E64" s="1723">
        <f>$C$61/4</f>
        <v>0.8928571428571429</v>
      </c>
      <c r="F64" s="1073" t="s">
        <v>52</v>
      </c>
      <c r="G64" s="1074">
        <f>$E$64/3</f>
        <v>0.29761904761904762</v>
      </c>
      <c r="H64" s="559">
        <v>0</v>
      </c>
      <c r="I64" s="560">
        <v>0</v>
      </c>
      <c r="J64" s="1075">
        <f t="shared" ref="J64:J66" si="22">H64-I64</f>
        <v>0</v>
      </c>
      <c r="K64" s="1076">
        <f>(100-I64)*(6/10)</f>
        <v>60</v>
      </c>
      <c r="L64" s="1072">
        <f t="shared" si="19"/>
        <v>60</v>
      </c>
      <c r="M64" s="916">
        <f t="shared" ref="M64:M66" si="23">IF(K64&lt;&gt;0,J64/K64,"100%")</f>
        <v>0</v>
      </c>
      <c r="N64" s="1749"/>
      <c r="O64" s="1806"/>
      <c r="P64" s="1703"/>
      <c r="Q64" s="999" t="s">
        <v>95</v>
      </c>
      <c r="R64" s="496"/>
      <c r="S64" s="628" t="s">
        <v>416</v>
      </c>
    </row>
    <row r="65" spans="1:19" x14ac:dyDescent="0.45">
      <c r="A65" s="1669"/>
      <c r="B65" s="1688"/>
      <c r="C65" s="1692"/>
      <c r="D65" s="1721"/>
      <c r="E65" s="1723"/>
      <c r="F65" s="1073" t="s">
        <v>53</v>
      </c>
      <c r="G65" s="1074">
        <f t="shared" ref="G65:G66" si="24">$E$64/3</f>
        <v>0.29761904761904762</v>
      </c>
      <c r="H65" s="559">
        <v>0</v>
      </c>
      <c r="I65" s="560">
        <v>0</v>
      </c>
      <c r="J65" s="1075">
        <f t="shared" si="22"/>
        <v>0</v>
      </c>
      <c r="K65" s="1076">
        <f>(100-I65)*(6/10)</f>
        <v>60</v>
      </c>
      <c r="L65" s="1072">
        <f t="shared" si="19"/>
        <v>60</v>
      </c>
      <c r="M65" s="916">
        <f t="shared" si="23"/>
        <v>0</v>
      </c>
      <c r="N65" s="1749"/>
      <c r="O65" s="1806"/>
      <c r="P65" s="1703"/>
      <c r="Q65" s="999" t="s">
        <v>95</v>
      </c>
      <c r="R65" s="495"/>
      <c r="S65" s="628" t="s">
        <v>416</v>
      </c>
    </row>
    <row r="66" spans="1:19" ht="27.6" customHeight="1" thickBot="1" x14ac:dyDescent="0.5">
      <c r="A66" s="1669"/>
      <c r="B66" s="1739"/>
      <c r="C66" s="1729"/>
      <c r="D66" s="1728"/>
      <c r="E66" s="1752"/>
      <c r="F66" s="1077" t="s">
        <v>54</v>
      </c>
      <c r="G66" s="1078">
        <f t="shared" si="24"/>
        <v>0.29761904761904762</v>
      </c>
      <c r="H66" s="746"/>
      <c r="I66" s="747"/>
      <c r="J66" s="1079">
        <f t="shared" si="22"/>
        <v>0</v>
      </c>
      <c r="K66" s="1080">
        <f>(100-I66)*(6/10)</f>
        <v>60</v>
      </c>
      <c r="L66" s="1081">
        <f t="shared" si="19"/>
        <v>60</v>
      </c>
      <c r="M66" s="874">
        <f t="shared" si="23"/>
        <v>0</v>
      </c>
      <c r="N66" s="1750"/>
      <c r="O66" s="1807"/>
      <c r="P66" s="1679"/>
      <c r="Q66" s="1082" t="s">
        <v>95</v>
      </c>
      <c r="R66" s="488"/>
      <c r="S66" s="230" t="s">
        <v>623</v>
      </c>
    </row>
    <row r="67" spans="1:19" ht="27" customHeight="1" thickBot="1" x14ac:dyDescent="0.5">
      <c r="B67" s="1684" t="s">
        <v>55</v>
      </c>
      <c r="C67" s="1685"/>
      <c r="D67" s="1685"/>
      <c r="E67" s="1685"/>
      <c r="F67" s="1686"/>
      <c r="G67" s="1015"/>
      <c r="H67" s="397"/>
      <c r="I67" s="397"/>
      <c r="J67" s="1015"/>
      <c r="K67" s="1016"/>
      <c r="L67" s="1016"/>
      <c r="M67" s="923"/>
      <c r="N67" s="833">
        <f>N68</f>
        <v>0</v>
      </c>
      <c r="O67" s="834">
        <f>O68</f>
        <v>0</v>
      </c>
      <c r="P67" s="835">
        <f>O67/3.571428</f>
        <v>0</v>
      </c>
      <c r="Q67" s="1083"/>
      <c r="R67" s="250"/>
      <c r="S67" s="1296"/>
    </row>
    <row r="68" spans="1:19" ht="58.5" thickBot="1" x14ac:dyDescent="0.5">
      <c r="A68" s="16">
        <v>17</v>
      </c>
      <c r="B68" s="1084" t="s">
        <v>56</v>
      </c>
      <c r="C68" s="1085">
        <f>M5</f>
        <v>3.5714285714285716</v>
      </c>
      <c r="D68" s="1084" t="s">
        <v>137</v>
      </c>
      <c r="E68" s="1085">
        <f>C68</f>
        <v>3.5714285714285716</v>
      </c>
      <c r="F68" s="1084" t="s">
        <v>57</v>
      </c>
      <c r="G68" s="1086">
        <f>E68/1</f>
        <v>3.5714285714285716</v>
      </c>
      <c r="H68" s="359"/>
      <c r="I68" s="224"/>
      <c r="J68" s="1089">
        <f>IF(I68=H68,(H68-70),I68-H68)</f>
        <v>-70</v>
      </c>
      <c r="K68" s="982">
        <f t="shared" ref="K68" si="25">IF(I68&gt;=70,0,((70-I68)*(6/10)))</f>
        <v>42</v>
      </c>
      <c r="L68" s="1090">
        <f>I68-K68</f>
        <v>-42</v>
      </c>
      <c r="M68" s="916" t="str">
        <f>IF(K68=0,J68/K68,"0%")</f>
        <v>0%</v>
      </c>
      <c r="N68" s="1091">
        <f>((G68/C68)*M68)</f>
        <v>0</v>
      </c>
      <c r="O68" s="970">
        <f>IF(((G68/C68)*M68)&gt;=1,3.571428,IF(((G68/C68)*M68)&lt;=0,0,((G68/C68)*M68)*3.571428))</f>
        <v>0</v>
      </c>
      <c r="P68" s="835">
        <f>O68/3.571428</f>
        <v>0</v>
      </c>
      <c r="Q68" s="1092" t="s">
        <v>132</v>
      </c>
      <c r="R68" s="275"/>
      <c r="S68" s="1287" t="s">
        <v>463</v>
      </c>
    </row>
    <row r="69" spans="1:19" ht="22.25" customHeight="1" thickBot="1" x14ac:dyDescent="0.5">
      <c r="B69" s="1575" t="s">
        <v>58</v>
      </c>
      <c r="C69" s="1576"/>
      <c r="D69" s="1576"/>
      <c r="E69" s="1576"/>
      <c r="F69" s="1577"/>
      <c r="G69" s="173"/>
      <c r="H69" s="128"/>
      <c r="I69" s="193"/>
      <c r="J69" s="174"/>
      <c r="K69" s="79"/>
      <c r="L69" s="79"/>
      <c r="M69" s="1093"/>
      <c r="N69" s="833">
        <f>(N70+N72+N74)/3</f>
        <v>0.33333333333333331</v>
      </c>
      <c r="O69" s="834">
        <f>(O70+O72+O74)</f>
        <v>3.571428</v>
      </c>
      <c r="P69" s="835">
        <f>O69/10.714284</f>
        <v>0.33333333333333337</v>
      </c>
      <c r="Q69" s="808"/>
      <c r="R69" s="276"/>
      <c r="S69" s="129"/>
    </row>
    <row r="70" spans="1:19" ht="20.45" customHeight="1" thickBot="1" x14ac:dyDescent="0.5">
      <c r="B70" s="1704" t="s">
        <v>59</v>
      </c>
      <c r="C70" s="1705"/>
      <c r="D70" s="1705"/>
      <c r="E70" s="1705"/>
      <c r="F70" s="1706"/>
      <c r="G70" s="923"/>
      <c r="H70" s="120"/>
      <c r="I70" s="121"/>
      <c r="J70" s="924"/>
      <c r="K70" s="924"/>
      <c r="L70" s="924"/>
      <c r="M70" s="1094"/>
      <c r="N70" s="833">
        <f>N71</f>
        <v>0</v>
      </c>
      <c r="O70" s="834">
        <f>O71</f>
        <v>0</v>
      </c>
      <c r="P70" s="835">
        <f t="shared" ref="P70:P78" si="26">O70/3.571428</f>
        <v>0</v>
      </c>
      <c r="Q70" s="1053"/>
      <c r="R70" s="269"/>
      <c r="S70" s="617"/>
    </row>
    <row r="71" spans="1:19" ht="52.25" customHeight="1" thickBot="1" x14ac:dyDescent="0.5">
      <c r="A71" s="16">
        <v>18</v>
      </c>
      <c r="B71" s="1095" t="s">
        <v>60</v>
      </c>
      <c r="C71" s="1096">
        <f>M5</f>
        <v>3.5714285714285716</v>
      </c>
      <c r="D71" s="1097" t="s">
        <v>138</v>
      </c>
      <c r="E71" s="1098">
        <f>C71</f>
        <v>3.5714285714285716</v>
      </c>
      <c r="F71" s="1099" t="s">
        <v>61</v>
      </c>
      <c r="G71" s="1100">
        <f>E71/1</f>
        <v>3.5714285714285716</v>
      </c>
      <c r="H71" s="358"/>
      <c r="I71" s="224"/>
      <c r="J71" s="1101">
        <f>I71-H71</f>
        <v>0</v>
      </c>
      <c r="K71" s="979">
        <f>(0.5*I71)*0.6</f>
        <v>0</v>
      </c>
      <c r="L71" s="1090">
        <f>I71-K71</f>
        <v>0</v>
      </c>
      <c r="M71" s="874" t="str">
        <f>IF(K71=0,"0%",J71/K71)</f>
        <v>0%</v>
      </c>
      <c r="N71" s="1091">
        <f>((G71/C71)*M71)</f>
        <v>0</v>
      </c>
      <c r="O71" s="970">
        <f>IF(((G71/C71)*M71)&gt;=1,3.571428,IF(((G71/C71)*M71)&lt;=0,0,((G71/C71)*M71)*3.571428))</f>
        <v>0</v>
      </c>
      <c r="P71" s="835">
        <f t="shared" si="26"/>
        <v>0</v>
      </c>
      <c r="Q71" s="1102" t="s">
        <v>183</v>
      </c>
      <c r="R71" s="275"/>
      <c r="S71" s="1287" t="s">
        <v>463</v>
      </c>
    </row>
    <row r="72" spans="1:19" ht="20.45" customHeight="1" thickBot="1" x14ac:dyDescent="0.5">
      <c r="B72" s="1730" t="s">
        <v>277</v>
      </c>
      <c r="C72" s="1731"/>
      <c r="D72" s="1731"/>
      <c r="E72" s="1731"/>
      <c r="F72" s="1733"/>
      <c r="G72" s="985"/>
      <c r="H72" s="118"/>
      <c r="I72" s="189"/>
      <c r="J72" s="986"/>
      <c r="K72" s="987"/>
      <c r="L72" s="987"/>
      <c r="M72" s="988"/>
      <c r="N72" s="833">
        <f>N73</f>
        <v>0</v>
      </c>
      <c r="O72" s="834">
        <f>O73</f>
        <v>0</v>
      </c>
      <c r="P72" s="835">
        <f t="shared" si="26"/>
        <v>0</v>
      </c>
      <c r="Q72" s="1103"/>
      <c r="R72" s="269"/>
      <c r="S72" s="617"/>
    </row>
    <row r="73" spans="1:19" ht="45" customHeight="1" thickBot="1" x14ac:dyDescent="0.5">
      <c r="A73" s="16">
        <v>19</v>
      </c>
      <c r="B73" s="1104" t="s">
        <v>62</v>
      </c>
      <c r="C73" s="1105">
        <f>M5</f>
        <v>3.5714285714285716</v>
      </c>
      <c r="D73" s="1106" t="s">
        <v>139</v>
      </c>
      <c r="E73" s="1105">
        <f>C73</f>
        <v>3.5714285714285716</v>
      </c>
      <c r="F73" s="1107" t="s">
        <v>63</v>
      </c>
      <c r="G73" s="1108">
        <f>E73/1</f>
        <v>3.5714285714285716</v>
      </c>
      <c r="H73" s="358"/>
      <c r="I73" s="395"/>
      <c r="J73" s="1109">
        <f>I73-H73</f>
        <v>0</v>
      </c>
      <c r="K73" s="1110">
        <f>IF(H73&gt;0,(H73),I73)</f>
        <v>0</v>
      </c>
      <c r="L73" s="1111">
        <f>I73-K73</f>
        <v>0</v>
      </c>
      <c r="M73" s="874" t="str">
        <f>IF(K73=0,"0%",J73/K73)</f>
        <v>0%</v>
      </c>
      <c r="N73" s="1091">
        <f>((G73/C73)*M73)</f>
        <v>0</v>
      </c>
      <c r="O73" s="970">
        <f>IF(((G73/C73)*M73)&gt;=1,3.571428,IF(((G73/C73)*M73)&lt;=0,0,((G73/C73)*M73)*3.571428))</f>
        <v>0</v>
      </c>
      <c r="P73" s="835">
        <f t="shared" si="26"/>
        <v>0</v>
      </c>
      <c r="Q73" s="1112" t="s">
        <v>95</v>
      </c>
      <c r="R73" s="275"/>
      <c r="S73" s="1287" t="s">
        <v>463</v>
      </c>
    </row>
    <row r="74" spans="1:19" ht="30.6" customHeight="1" thickBot="1" x14ac:dyDescent="0.5">
      <c r="B74" s="1704" t="s">
        <v>64</v>
      </c>
      <c r="C74" s="1705"/>
      <c r="D74" s="1705"/>
      <c r="E74" s="1705"/>
      <c r="F74" s="1706"/>
      <c r="G74" s="924"/>
      <c r="H74" s="120"/>
      <c r="I74" s="121"/>
      <c r="J74" s="924"/>
      <c r="K74" s="924"/>
      <c r="L74" s="924"/>
      <c r="M74" s="923"/>
      <c r="N74" s="833">
        <f>N75</f>
        <v>1</v>
      </c>
      <c r="O74" s="834">
        <f>O75</f>
        <v>3.571428</v>
      </c>
      <c r="P74" s="835">
        <f t="shared" si="26"/>
        <v>1</v>
      </c>
      <c r="Q74" s="1053"/>
      <c r="R74" s="269"/>
      <c r="S74" s="617"/>
    </row>
    <row r="75" spans="1:19" ht="29.45" customHeight="1" thickBot="1" x14ac:dyDescent="0.5">
      <c r="A75" s="16">
        <v>20</v>
      </c>
      <c r="B75" s="1104" t="s">
        <v>65</v>
      </c>
      <c r="C75" s="964">
        <f>M5</f>
        <v>3.5714285714285716</v>
      </c>
      <c r="D75" s="1097" t="s">
        <v>140</v>
      </c>
      <c r="E75" s="1113">
        <f>C75</f>
        <v>3.5714285714285716</v>
      </c>
      <c r="F75" s="1106" t="s">
        <v>66</v>
      </c>
      <c r="G75" s="1100">
        <f>E75/1</f>
        <v>3.5714285714285716</v>
      </c>
      <c r="H75" s="1211">
        <v>1</v>
      </c>
      <c r="I75" s="1212">
        <v>1</v>
      </c>
      <c r="J75" s="1049">
        <f>H75-I75</f>
        <v>0</v>
      </c>
      <c r="K75" s="1050">
        <f>IF(AND(H75=0,I75=1)," 1",(H75-I75))</f>
        <v>0</v>
      </c>
      <c r="L75" s="1115">
        <f>I75+K75</f>
        <v>1</v>
      </c>
      <c r="M75" s="1116">
        <f>(IF(I75=1,1,(J75/K75)))</f>
        <v>1</v>
      </c>
      <c r="N75" s="1297">
        <f>((G75/C75)*M75)</f>
        <v>1</v>
      </c>
      <c r="O75" s="970">
        <f>IF(((G75/C75)*M75)&gt;=1,3.571428,IF(((G75/C75)*M75)&lt;=0,0,((G75/C75)*M75)*3.571428))</f>
        <v>3.571428</v>
      </c>
      <c r="P75" s="835">
        <f t="shared" si="26"/>
        <v>1</v>
      </c>
      <c r="Q75" s="1117" t="s">
        <v>95</v>
      </c>
      <c r="R75" s="621"/>
      <c r="S75" s="642" t="s">
        <v>442</v>
      </c>
    </row>
    <row r="76" spans="1:19" ht="20.45" customHeight="1" thickBot="1" x14ac:dyDescent="0.5">
      <c r="B76" s="1763" t="s">
        <v>67</v>
      </c>
      <c r="C76" s="1764"/>
      <c r="D76" s="1764"/>
      <c r="E76" s="1764"/>
      <c r="F76" s="1765"/>
      <c r="G76" s="1118"/>
      <c r="H76" s="130"/>
      <c r="I76" s="131"/>
      <c r="J76" s="1119"/>
      <c r="K76" s="807"/>
      <c r="L76" s="807"/>
      <c r="M76" s="1118"/>
      <c r="N76" s="833">
        <f t="shared" ref="N76:O77" si="27">N77</f>
        <v>0.50884955752212391</v>
      </c>
      <c r="O76" s="834">
        <f t="shared" si="27"/>
        <v>1.8173195575221239</v>
      </c>
      <c r="P76" s="835">
        <f t="shared" si="26"/>
        <v>0.50884955752212391</v>
      </c>
      <c r="Q76" s="1120"/>
      <c r="R76" s="278"/>
      <c r="S76" s="622"/>
    </row>
    <row r="77" spans="1:19" ht="20.45" customHeight="1" thickBot="1" x14ac:dyDescent="0.5">
      <c r="B77" s="1704" t="s">
        <v>68</v>
      </c>
      <c r="C77" s="1705"/>
      <c r="D77" s="1705"/>
      <c r="E77" s="1705"/>
      <c r="F77" s="1706"/>
      <c r="G77" s="923"/>
      <c r="H77" s="120"/>
      <c r="I77" s="121"/>
      <c r="J77" s="946"/>
      <c r="K77" s="947"/>
      <c r="L77" s="947"/>
      <c r="M77" s="925"/>
      <c r="N77" s="833">
        <f t="shared" si="27"/>
        <v>0.50884955752212391</v>
      </c>
      <c r="O77" s="834">
        <f t="shared" si="27"/>
        <v>1.8173195575221239</v>
      </c>
      <c r="P77" s="835">
        <f t="shared" si="26"/>
        <v>0.50884955752212391</v>
      </c>
      <c r="Q77" s="1053"/>
      <c r="R77" s="269"/>
      <c r="S77" s="617"/>
    </row>
    <row r="78" spans="1:19" ht="35.25" thickBot="1" x14ac:dyDescent="0.5">
      <c r="A78" s="16">
        <v>21</v>
      </c>
      <c r="B78" s="1104" t="s">
        <v>69</v>
      </c>
      <c r="C78" s="1113">
        <f>M5</f>
        <v>3.5714285714285716</v>
      </c>
      <c r="D78" s="1121" t="s">
        <v>141</v>
      </c>
      <c r="E78" s="1113">
        <f>C78</f>
        <v>3.5714285714285716</v>
      </c>
      <c r="F78" s="1121" t="s">
        <v>70</v>
      </c>
      <c r="G78" s="1085">
        <f>E78/1</f>
        <v>3.5714285714285716</v>
      </c>
      <c r="H78" s="1298">
        <v>23</v>
      </c>
      <c r="I78" s="1299">
        <v>23</v>
      </c>
      <c r="J78" s="1089">
        <f>IF(I78=H78,(H78-60),H78-I78)</f>
        <v>-37</v>
      </c>
      <c r="K78" s="982">
        <f>IF(I78&gt;=60,0,((60-I78)*(6/10)))</f>
        <v>22.2</v>
      </c>
      <c r="L78" s="1090">
        <f t="shared" ref="L78" si="28">K78+I78</f>
        <v>45.2</v>
      </c>
      <c r="M78" s="968">
        <f>IF(I78&gt;=60,(1+(H78-60)/60),(H78/L78))</f>
        <v>0.50884955752212391</v>
      </c>
      <c r="N78" s="1091">
        <f>((G78/C78)*M78)</f>
        <v>0.50884955752212391</v>
      </c>
      <c r="O78" s="970">
        <f>IF(((G78/C78)*M78)&gt;=1,3.571428,IF(((G78/C78)*M78)&lt;=0,0,((G78/C78)*M78)*3.571428))</f>
        <v>1.8173195575221239</v>
      </c>
      <c r="P78" s="835">
        <f t="shared" si="26"/>
        <v>0.50884955752212391</v>
      </c>
      <c r="Q78" s="1122" t="s">
        <v>95</v>
      </c>
      <c r="R78" s="214" t="s">
        <v>624</v>
      </c>
      <c r="S78" s="612"/>
    </row>
    <row r="79" spans="1:19" ht="21.6" customHeight="1" thickBot="1" x14ac:dyDescent="0.5">
      <c r="B79" s="1757" t="s">
        <v>71</v>
      </c>
      <c r="C79" s="1758"/>
      <c r="D79" s="1758"/>
      <c r="E79" s="1758"/>
      <c r="F79" s="1759"/>
      <c r="G79" s="1118"/>
      <c r="H79" s="130"/>
      <c r="I79" s="131"/>
      <c r="J79" s="1123"/>
      <c r="K79" s="1124"/>
      <c r="L79" s="1124"/>
      <c r="M79" s="1118"/>
      <c r="N79" s="833">
        <f>(N80+N86)/2</f>
        <v>0.13713147580095436</v>
      </c>
      <c r="O79" s="834">
        <f>(O80+O86)</f>
        <v>1.9590207694274033</v>
      </c>
      <c r="P79" s="835">
        <f>O79/10.714284</f>
        <v>0.18284196773460581</v>
      </c>
      <c r="Q79" s="1120"/>
      <c r="R79" s="278"/>
      <c r="S79" s="622"/>
    </row>
    <row r="80" spans="1:19" ht="20.45" customHeight="1" thickBot="1" x14ac:dyDescent="0.5">
      <c r="B80" s="1684" t="s">
        <v>72</v>
      </c>
      <c r="C80" s="1685"/>
      <c r="D80" s="1685"/>
      <c r="E80" s="1685"/>
      <c r="F80" s="1686"/>
      <c r="G80" s="948"/>
      <c r="H80" s="132"/>
      <c r="I80" s="133"/>
      <c r="J80" s="924"/>
      <c r="K80" s="924"/>
      <c r="L80" s="924"/>
      <c r="M80" s="948"/>
      <c r="N80" s="833">
        <f>(N81+N83)/2</f>
        <v>0.27426295160190872</v>
      </c>
      <c r="O80" s="834">
        <f>(O81+O83)</f>
        <v>1.9590207694274033</v>
      </c>
      <c r="P80" s="835">
        <f>O80/7.142856</f>
        <v>0.27426295160190872</v>
      </c>
      <c r="Q80" s="1125"/>
      <c r="R80" s="255"/>
      <c r="S80" s="613"/>
    </row>
    <row r="81" spans="1:19" ht="46.9" thickBot="1" x14ac:dyDescent="0.5">
      <c r="A81" s="16"/>
      <c r="B81" s="1760" t="s">
        <v>73</v>
      </c>
      <c r="C81" s="1691">
        <f>M5</f>
        <v>3.5714285714285716</v>
      </c>
      <c r="D81" s="926" t="s">
        <v>267</v>
      </c>
      <c r="E81" s="853">
        <f>$C$81/2</f>
        <v>1.7857142857142858</v>
      </c>
      <c r="F81" s="1054" t="s">
        <v>278</v>
      </c>
      <c r="G81" s="905">
        <f>E81/1</f>
        <v>1.7857142857142858</v>
      </c>
      <c r="H81" s="1300"/>
      <c r="I81" s="1301"/>
      <c r="J81" s="1302">
        <f>IF(I81=H81,(H81-50),H81-I81)</f>
        <v>-50</v>
      </c>
      <c r="K81" s="909">
        <f>IF(I81&gt;=50,0,((50-I81)*(6/10)))</f>
        <v>30</v>
      </c>
      <c r="L81" s="1303">
        <f>I81+K81</f>
        <v>30</v>
      </c>
      <c r="M81" s="859" t="str">
        <f>IF(K81=0,J81/K81,"0%")</f>
        <v>0%</v>
      </c>
      <c r="N81" s="1748">
        <f>(((G81/C81)*M81)+((G82/C81)*M82))</f>
        <v>0.17361111111111113</v>
      </c>
      <c r="O81" s="1699">
        <f>IF((((G81/C81)*M81)+((G82/C81)*M82))&gt;=1,3.57148,IF((((G81/C81)*M81)+((G82/C81)*M82))&lt;=0,0, (((G81/C81)*M81)+((G82/C81)*M82))*3.571428))</f>
        <v>0.62003958333333342</v>
      </c>
      <c r="P81" s="1678">
        <f>O81/3.571428</f>
        <v>0.17361111111111113</v>
      </c>
      <c r="Q81" s="1127" t="s">
        <v>279</v>
      </c>
      <c r="R81" s="631" t="s">
        <v>503</v>
      </c>
      <c r="S81" s="1287" t="s">
        <v>463</v>
      </c>
    </row>
    <row r="82" spans="1:19" ht="39.6" customHeight="1" thickBot="1" x14ac:dyDescent="0.5">
      <c r="A82" s="16"/>
      <c r="B82" s="1761"/>
      <c r="C82" s="1762"/>
      <c r="D82" s="953" t="s">
        <v>268</v>
      </c>
      <c r="E82" s="868">
        <f>$C$81/2</f>
        <v>1.7857142857142858</v>
      </c>
      <c r="F82" s="954" t="s">
        <v>74</v>
      </c>
      <c r="G82" s="919">
        <f>E82/1</f>
        <v>1.7857142857142858</v>
      </c>
      <c r="H82" s="1304">
        <v>11</v>
      </c>
      <c r="I82" s="473">
        <v>6</v>
      </c>
      <c r="J82" s="1305">
        <f>IF(I82=H82,(H82-30),H82-I82)</f>
        <v>5</v>
      </c>
      <c r="K82" s="921">
        <f>IF(I82&gt;=30,0,((30-I82)*(6/10)))</f>
        <v>14.399999999999999</v>
      </c>
      <c r="L82" s="1306">
        <f t="shared" ref="L82" si="29">K82+I82</f>
        <v>20.399999999999999</v>
      </c>
      <c r="M82" s="898">
        <f>IF(I82&gt;=30,(1+(H82-30)/30),(J82/K82))</f>
        <v>0.34722222222222227</v>
      </c>
      <c r="N82" s="1750"/>
      <c r="O82" s="1800"/>
      <c r="P82" s="1679"/>
      <c r="Q82" s="1130" t="s">
        <v>282</v>
      </c>
      <c r="R82" s="201"/>
      <c r="S82" s="1307" t="s">
        <v>625</v>
      </c>
    </row>
    <row r="83" spans="1:19" ht="60" customHeight="1" x14ac:dyDescent="0.45">
      <c r="A83" s="16"/>
      <c r="B83" s="1774" t="s">
        <v>142</v>
      </c>
      <c r="C83" s="1776">
        <f>M5</f>
        <v>3.5714285714285716</v>
      </c>
      <c r="D83" s="1131" t="s">
        <v>145</v>
      </c>
      <c r="E83" s="853">
        <f>$C$81/3</f>
        <v>1.1904761904761905</v>
      </c>
      <c r="F83" s="926" t="s">
        <v>143</v>
      </c>
      <c r="G83" s="853">
        <f>E83/1</f>
        <v>1.1904761904761905</v>
      </c>
      <c r="H83" s="1308"/>
      <c r="I83" s="1309">
        <v>63.1</v>
      </c>
      <c r="J83" s="1132">
        <f>I83-H83</f>
        <v>63.1</v>
      </c>
      <c r="K83" s="1008">
        <f>(0.2*I83)*(6/10)</f>
        <v>7.5720000000000001</v>
      </c>
      <c r="L83" s="1133">
        <f>I83-K83</f>
        <v>55.527999999999999</v>
      </c>
      <c r="M83" s="859" t="str">
        <f>IF(H83=0,"0%",J83/K83)</f>
        <v>0%</v>
      </c>
      <c r="N83" s="1779">
        <f>(((G83/C83)*M83)+((G84/C83)*M84)+((G85/C83)*M85))</f>
        <v>0.37491479209270628</v>
      </c>
      <c r="O83" s="1702">
        <f>IF((((G83/C83)*M83)+((G84/C83)*M84)+((G85/C83)*M85))&gt;=1,3.571428,IF((((G83/C83)*M83)+((G84/C83)*M84)+((G85/C83)*M85))&lt;=0,0,(((G83/C83)*M83)+((G84/C83)*M84)+((G85/C83)*M85))*3.571428))</f>
        <v>1.3389811860940699</v>
      </c>
      <c r="P83" s="1678">
        <f>O83/3.571428</f>
        <v>0.37491479209270628</v>
      </c>
      <c r="Q83" s="1310" t="s">
        <v>184</v>
      </c>
      <c r="R83" s="643" t="s">
        <v>626</v>
      </c>
      <c r="S83" s="1275" t="s">
        <v>622</v>
      </c>
    </row>
    <row r="84" spans="1:19" ht="45" customHeight="1" x14ac:dyDescent="0.45">
      <c r="A84" s="16"/>
      <c r="B84" s="1774"/>
      <c r="C84" s="1777"/>
      <c r="D84" s="1135" t="s">
        <v>146</v>
      </c>
      <c r="E84" s="934">
        <f t="shared" ref="E84:E85" si="30">$C$81/3</f>
        <v>1.1904761904761905</v>
      </c>
      <c r="F84" s="1058" t="s">
        <v>283</v>
      </c>
      <c r="G84" s="934">
        <f>E84/1</f>
        <v>1.1904761904761905</v>
      </c>
      <c r="H84" s="357"/>
      <c r="I84" s="363"/>
      <c r="J84" s="1136">
        <f>I84-H84</f>
        <v>0</v>
      </c>
      <c r="K84" s="1008">
        <f>(0.5*I84)*(6/10)</f>
        <v>0</v>
      </c>
      <c r="L84" s="1137">
        <f>I84-K84</f>
        <v>0</v>
      </c>
      <c r="M84" s="916" t="str">
        <f>IF(K84=0,"0%",J84/K84)</f>
        <v>0%</v>
      </c>
      <c r="N84" s="1780"/>
      <c r="O84" s="1802"/>
      <c r="P84" s="1703"/>
      <c r="Q84" s="1311" t="s">
        <v>185</v>
      </c>
      <c r="R84" s="217"/>
      <c r="S84" s="1312" t="s">
        <v>463</v>
      </c>
    </row>
    <row r="85" spans="1:19" ht="38.450000000000003" customHeight="1" thickBot="1" x14ac:dyDescent="0.5">
      <c r="A85" s="16"/>
      <c r="B85" s="1775"/>
      <c r="C85" s="1778"/>
      <c r="D85" s="1139" t="s">
        <v>147</v>
      </c>
      <c r="E85" s="868">
        <f t="shared" si="30"/>
        <v>1.1904761904761905</v>
      </c>
      <c r="F85" s="954" t="s">
        <v>144</v>
      </c>
      <c r="G85" s="868">
        <f>E85/1</f>
        <v>1.1904761904761905</v>
      </c>
      <c r="H85" s="1313">
        <v>94.7</v>
      </c>
      <c r="I85" s="1314">
        <v>83.7</v>
      </c>
      <c r="J85" s="1140">
        <f>H85-I85</f>
        <v>11</v>
      </c>
      <c r="K85" s="1141">
        <f>(100-I85)*(6/10)</f>
        <v>9.7799999999999976</v>
      </c>
      <c r="L85" s="1142">
        <f>I85+K85</f>
        <v>93.48</v>
      </c>
      <c r="M85" s="874">
        <f>IF(K85&lt;&gt;0,J85/K85,"0%")</f>
        <v>1.1247443762781189</v>
      </c>
      <c r="N85" s="1781"/>
      <c r="O85" s="1803"/>
      <c r="P85" s="1679"/>
      <c r="Q85" s="1315" t="s">
        <v>284</v>
      </c>
      <c r="R85" s="218" t="s">
        <v>627</v>
      </c>
      <c r="S85" s="1316" t="s">
        <v>628</v>
      </c>
    </row>
    <row r="86" spans="1:19" ht="20.45" customHeight="1" thickBot="1" x14ac:dyDescent="0.5">
      <c r="B86" s="1766" t="s">
        <v>75</v>
      </c>
      <c r="C86" s="1767"/>
      <c r="D86" s="1767"/>
      <c r="E86" s="1767"/>
      <c r="F86" s="1768"/>
      <c r="G86" s="1094"/>
      <c r="H86" s="134"/>
      <c r="I86" s="135"/>
      <c r="J86" s="1144"/>
      <c r="K86" s="1145"/>
      <c r="L86" s="1145"/>
      <c r="M86" s="925"/>
      <c r="N86" s="833">
        <f>N87</f>
        <v>0</v>
      </c>
      <c r="O86" s="834">
        <f>O87</f>
        <v>0</v>
      </c>
      <c r="P86" s="835">
        <f>O86/3.571428</f>
        <v>0</v>
      </c>
      <c r="Q86" s="1016"/>
      <c r="R86" s="250"/>
      <c r="S86" s="611"/>
    </row>
    <row r="87" spans="1:19" ht="27.6" customHeight="1" x14ac:dyDescent="0.45">
      <c r="A87" s="1710">
        <v>24</v>
      </c>
      <c r="B87" s="1769" t="s">
        <v>76</v>
      </c>
      <c r="C87" s="1771">
        <f>M5</f>
        <v>3.5714285714285716</v>
      </c>
      <c r="D87" s="1004" t="s">
        <v>159</v>
      </c>
      <c r="E87" s="1005">
        <f>($C$87/3)</f>
        <v>1.1904761904761905</v>
      </c>
      <c r="F87" s="1146" t="s">
        <v>285</v>
      </c>
      <c r="G87" s="1147">
        <f>E87/1</f>
        <v>1.1904761904761905</v>
      </c>
      <c r="H87" s="1148">
        <v>25.6</v>
      </c>
      <c r="I87" s="1149">
        <v>25.6</v>
      </c>
      <c r="J87" s="1150">
        <f>I87-H87</f>
        <v>0</v>
      </c>
      <c r="K87" s="1151">
        <f>(0.25*I87)*(6/10)</f>
        <v>3.84</v>
      </c>
      <c r="L87" s="1152">
        <f>I87-K87</f>
        <v>21.76</v>
      </c>
      <c r="M87" s="859">
        <f>IF(K87&lt;&gt;0,J87/K87,"0%")</f>
        <v>0</v>
      </c>
      <c r="N87" s="1716">
        <f>(((G87/C87)*M87)+((G88/C87)*M88)+((G89/C87)*M89)+((G90/C87)*M90)+((G91/C87)*M91))</f>
        <v>0</v>
      </c>
      <c r="O87" s="1702">
        <f>IF((((G87/C87)*M87)+((G88/C87)*M88)+((G89/C87)*M89)+((G90/C87)*M90)+((G91/C87)*M91))&gt;=1,3.571428,IF((((G87/C87)*M87)+((G88/C87)*M88)+((G89/C87)*M89)+((G90/C87)*M90)+((G91/C87)*M91))&lt;=0,0,((((G87/C87)*M87)+((G88/C87)*M88)+((G89/C87)*M89)+((G90/C87)*M90)+((G91/C87)*M91))*3.571428)))</f>
        <v>0</v>
      </c>
      <c r="P87" s="1678">
        <f>O87/3.571428</f>
        <v>0</v>
      </c>
      <c r="Q87" s="1153" t="s">
        <v>186</v>
      </c>
      <c r="R87" s="196" t="s">
        <v>489</v>
      </c>
      <c r="S87" s="630" t="s">
        <v>504</v>
      </c>
    </row>
    <row r="88" spans="1:19" ht="25.8" customHeight="1" x14ac:dyDescent="0.45">
      <c r="A88" s="1710"/>
      <c r="B88" s="1769"/>
      <c r="C88" s="1772"/>
      <c r="D88" s="1782" t="s">
        <v>160</v>
      </c>
      <c r="E88" s="1783">
        <f>C87/3</f>
        <v>1.1904761904761905</v>
      </c>
      <c r="F88" s="935" t="s">
        <v>77</v>
      </c>
      <c r="G88" s="1154">
        <f>$E$88/3</f>
        <v>0.3968253968253968</v>
      </c>
      <c r="H88" s="1317"/>
      <c r="I88" s="479"/>
      <c r="J88" s="1155">
        <f>I88-H88</f>
        <v>0</v>
      </c>
      <c r="K88" s="1156">
        <f>I88*(6/10)</f>
        <v>0</v>
      </c>
      <c r="L88" s="1157">
        <f>I88-K88</f>
        <v>0</v>
      </c>
      <c r="M88" s="916" t="str">
        <f>IF(K88&lt;&gt;0,J88/K88,"0%")</f>
        <v>0%</v>
      </c>
      <c r="N88" s="1697"/>
      <c r="O88" s="1802"/>
      <c r="P88" s="1703"/>
      <c r="Q88" s="1158" t="s">
        <v>187</v>
      </c>
      <c r="R88" s="633"/>
      <c r="S88" s="1312" t="s">
        <v>463</v>
      </c>
    </row>
    <row r="89" spans="1:19" ht="59.65" customHeight="1" x14ac:dyDescent="0.45">
      <c r="A89" s="1710"/>
      <c r="B89" s="1769"/>
      <c r="C89" s="1772"/>
      <c r="D89" s="1782"/>
      <c r="E89" s="1783"/>
      <c r="F89" s="935" t="s">
        <v>78</v>
      </c>
      <c r="G89" s="1154">
        <f>$E$88/3</f>
        <v>0.3968253968253968</v>
      </c>
      <c r="H89" s="1318"/>
      <c r="I89" s="1319"/>
      <c r="J89" s="1155">
        <f>I89-H89</f>
        <v>0</v>
      </c>
      <c r="K89" s="1156">
        <f>I89*(6/10)</f>
        <v>0</v>
      </c>
      <c r="L89" s="1157">
        <f>I89-K89</f>
        <v>0</v>
      </c>
      <c r="M89" s="916" t="str">
        <f>IF(K89&lt;&gt;0,J89/K89,"0%")</f>
        <v>0%</v>
      </c>
      <c r="N89" s="1697"/>
      <c r="O89" s="1802"/>
      <c r="P89" s="1703"/>
      <c r="Q89" s="1158" t="s">
        <v>188</v>
      </c>
      <c r="R89" s="633"/>
      <c r="S89" s="1312" t="s">
        <v>463</v>
      </c>
    </row>
    <row r="90" spans="1:19" ht="26.45" customHeight="1" x14ac:dyDescent="0.45">
      <c r="A90" s="1710"/>
      <c r="B90" s="1769"/>
      <c r="C90" s="1772"/>
      <c r="D90" s="1782"/>
      <c r="E90" s="1783"/>
      <c r="F90" s="935" t="s">
        <v>79</v>
      </c>
      <c r="G90" s="1154">
        <f>$E$88/3</f>
        <v>0.3968253968253968</v>
      </c>
      <c r="H90" s="1320"/>
      <c r="I90" s="1321"/>
      <c r="J90" s="1155">
        <f>I90-H90</f>
        <v>0</v>
      </c>
      <c r="K90" s="1159">
        <f>(I90)*(6/10)</f>
        <v>0</v>
      </c>
      <c r="L90" s="1160">
        <f>I90-K90</f>
        <v>0</v>
      </c>
      <c r="M90" s="916" t="str">
        <f>IF(K90=0,"0%",J90/K90)</f>
        <v>0%</v>
      </c>
      <c r="N90" s="1697"/>
      <c r="O90" s="1802"/>
      <c r="P90" s="1703"/>
      <c r="Q90" s="1161" t="s">
        <v>189</v>
      </c>
      <c r="R90" s="633"/>
      <c r="S90" s="1312" t="s">
        <v>463</v>
      </c>
    </row>
    <row r="91" spans="1:19" ht="40.799999999999997" customHeight="1" thickBot="1" x14ac:dyDescent="0.5">
      <c r="A91" s="1710"/>
      <c r="B91" s="1770"/>
      <c r="C91" s="1773"/>
      <c r="D91" s="918" t="s">
        <v>161</v>
      </c>
      <c r="E91" s="868">
        <f>$C$87/3</f>
        <v>1.1904761904761905</v>
      </c>
      <c r="F91" s="1162" t="s">
        <v>80</v>
      </c>
      <c r="G91" s="1163">
        <f>E91/1</f>
        <v>1.1904761904761905</v>
      </c>
      <c r="H91" s="1322"/>
      <c r="I91" s="1323"/>
      <c r="J91" s="1164">
        <f>H91-I91</f>
        <v>0</v>
      </c>
      <c r="K91" s="1141">
        <f>(100-I91)*(6/10)</f>
        <v>60</v>
      </c>
      <c r="L91" s="1165">
        <f>I91+K91</f>
        <v>60</v>
      </c>
      <c r="M91" s="874">
        <f>IF(I91&gt;=60,(1+(H91-60)/60),(H91/L91))</f>
        <v>0</v>
      </c>
      <c r="N91" s="1698"/>
      <c r="O91" s="1803"/>
      <c r="P91" s="1679"/>
      <c r="Q91" s="1166" t="s">
        <v>95</v>
      </c>
      <c r="R91" s="632"/>
      <c r="S91" s="1324" t="s">
        <v>463</v>
      </c>
    </row>
    <row r="92" spans="1:19" ht="14.65" thickBot="1" x14ac:dyDescent="0.5">
      <c r="B92" s="1535" t="s">
        <v>81</v>
      </c>
      <c r="C92" s="1536"/>
      <c r="D92" s="1536"/>
      <c r="E92" s="1536"/>
      <c r="F92" s="1537"/>
      <c r="G92" s="11"/>
      <c r="H92" s="130"/>
      <c r="I92" s="131"/>
      <c r="J92" s="175"/>
      <c r="K92" s="11"/>
      <c r="L92" s="11"/>
      <c r="M92" s="173"/>
      <c r="N92" s="833">
        <f>(N93+N97)/2</f>
        <v>0.36868686868686867</v>
      </c>
      <c r="O92" s="834">
        <f>(O93+O97)</f>
        <v>3.1385276363636363</v>
      </c>
      <c r="P92" s="835">
        <f>O92/14.285712</f>
        <v>0.2196969696969697</v>
      </c>
      <c r="Q92" s="1029"/>
      <c r="R92" s="268"/>
      <c r="S92" s="616"/>
    </row>
    <row r="93" spans="1:19" ht="20.45" customHeight="1" thickBot="1" x14ac:dyDescent="0.5">
      <c r="B93" s="1684" t="s">
        <v>82</v>
      </c>
      <c r="C93" s="1685"/>
      <c r="D93" s="1685"/>
      <c r="E93" s="1685"/>
      <c r="F93" s="1686"/>
      <c r="G93" s="923"/>
      <c r="H93" s="120"/>
      <c r="I93" s="121"/>
      <c r="J93" s="947"/>
      <c r="K93" s="947"/>
      <c r="L93" s="947"/>
      <c r="M93" s="948"/>
      <c r="N93" s="833">
        <f>N94</f>
        <v>0.66666666666666663</v>
      </c>
      <c r="O93" s="834">
        <f>O94</f>
        <v>2.3809519999999997</v>
      </c>
      <c r="P93" s="835">
        <f>O93/3.571428</f>
        <v>0.66666666666666663</v>
      </c>
      <c r="Q93" s="1017"/>
      <c r="R93" s="255"/>
      <c r="S93" s="617"/>
    </row>
    <row r="94" spans="1:19" ht="34.799999999999997" customHeight="1" x14ac:dyDescent="0.45">
      <c r="A94" s="1669">
        <v>25</v>
      </c>
      <c r="B94" s="1687" t="s">
        <v>83</v>
      </c>
      <c r="C94" s="1784">
        <f>M5</f>
        <v>3.5714285714285716</v>
      </c>
      <c r="D94" s="1727" t="s">
        <v>214</v>
      </c>
      <c r="E94" s="1018">
        <f>$C$94/3</f>
        <v>1.1904761904761905</v>
      </c>
      <c r="F94" s="926" t="s">
        <v>269</v>
      </c>
      <c r="G94" s="1167">
        <f>E94/1</f>
        <v>1.1904761904761905</v>
      </c>
      <c r="H94" s="906">
        <v>100</v>
      </c>
      <c r="I94" s="1213">
        <v>100</v>
      </c>
      <c r="J94" s="1168">
        <f>H94-I94</f>
        <v>0</v>
      </c>
      <c r="K94" s="1169">
        <f>(100-I94)*(6/10)</f>
        <v>0</v>
      </c>
      <c r="L94" s="1170">
        <f>I94+K94</f>
        <v>100</v>
      </c>
      <c r="M94" s="859" t="str">
        <f>IF(K94&lt;&gt;0,J94/K94,"100%")</f>
        <v>100%</v>
      </c>
      <c r="N94" s="1748">
        <f>(((G94/C94)*M94)+((G95/C94)*M95)+((G96/C94)*M96))</f>
        <v>0.66666666666666663</v>
      </c>
      <c r="O94" s="1702">
        <f>IF((((G94/C94)*M94)+((G95/C94)*M95)+((G96/C94)*M96))&gt;=1,3.571428,IF((((G94/C94)*M94)+((G95/C94)*M95)+((G96/C94)*M96))&lt;=0,0,(((G94/C94)*M94)+((G95/C94)*M95)+((G96/C94)*M96))*3.571428))</f>
        <v>2.3809519999999997</v>
      </c>
      <c r="P94" s="1678">
        <f>O94/3.571428</f>
        <v>0.66666666666666663</v>
      </c>
      <c r="Q94" s="1171" t="s">
        <v>190</v>
      </c>
      <c r="R94" s="196" t="s">
        <v>629</v>
      </c>
      <c r="S94" s="196" t="s">
        <v>630</v>
      </c>
    </row>
    <row r="95" spans="1:19" ht="39.6" customHeight="1" x14ac:dyDescent="0.45">
      <c r="A95" s="1669"/>
      <c r="B95" s="1688"/>
      <c r="C95" s="1785"/>
      <c r="D95" s="1721"/>
      <c r="E95" s="1172">
        <f t="shared" ref="E95:E96" si="31">$C$94/3</f>
        <v>1.1904761904761905</v>
      </c>
      <c r="F95" s="1058" t="s">
        <v>270</v>
      </c>
      <c r="G95" s="1154">
        <f>E95/1</f>
        <v>1.1904761904761905</v>
      </c>
      <c r="H95" s="356">
        <v>0.36</v>
      </c>
      <c r="I95" s="386"/>
      <c r="J95" s="1155">
        <f>IF(AND(I95&gt;1,(H95-I95=0)),(H95-1),(H95-I95))</f>
        <v>0.36</v>
      </c>
      <c r="K95" s="997">
        <f>IF(AND(I95&gt;=1,H95&gt;=1),"0",((1-I95)*(6/10)))</f>
        <v>0.6</v>
      </c>
      <c r="L95" s="1173">
        <f t="shared" ref="L95:L96" si="32">I95+K95</f>
        <v>0.6</v>
      </c>
      <c r="M95" s="916">
        <f>IF(I95=0,0%,J95/K95)</f>
        <v>0</v>
      </c>
      <c r="N95" s="1749"/>
      <c r="O95" s="1802"/>
      <c r="P95" s="1703"/>
      <c r="Q95" s="1174" t="s">
        <v>191</v>
      </c>
      <c r="R95" s="204" t="s">
        <v>631</v>
      </c>
      <c r="S95" s="1312" t="s">
        <v>632</v>
      </c>
    </row>
    <row r="96" spans="1:19" ht="41.45" customHeight="1" thickBot="1" x14ac:dyDescent="0.5">
      <c r="A96" s="1669"/>
      <c r="B96" s="1739"/>
      <c r="C96" s="1786"/>
      <c r="D96" s="1728"/>
      <c r="E96" s="1021">
        <f t="shared" si="31"/>
        <v>1.1904761904761905</v>
      </c>
      <c r="F96" s="953" t="s">
        <v>84</v>
      </c>
      <c r="G96" s="1163">
        <f>E96/1</f>
        <v>1.1904761904761905</v>
      </c>
      <c r="H96" s="1313">
        <v>100</v>
      </c>
      <c r="I96" s="1272">
        <v>100</v>
      </c>
      <c r="J96" s="1164">
        <f>H96-I96</f>
        <v>0</v>
      </c>
      <c r="K96" s="1141">
        <f>(100-I96)*(6/10)</f>
        <v>0</v>
      </c>
      <c r="L96" s="1165">
        <f t="shared" si="32"/>
        <v>100</v>
      </c>
      <c r="M96" s="874" t="str">
        <f>IF(K96&lt;&gt;0,J96/K96,"100%")</f>
        <v>100%</v>
      </c>
      <c r="N96" s="1750"/>
      <c r="O96" s="1803"/>
      <c r="P96" s="1679"/>
      <c r="Q96" s="1175" t="s">
        <v>95</v>
      </c>
      <c r="R96" s="198" t="s">
        <v>633</v>
      </c>
      <c r="S96" s="1325" t="s">
        <v>634</v>
      </c>
    </row>
    <row r="97" spans="1:19" ht="18" customHeight="1" thickBot="1" x14ac:dyDescent="0.5">
      <c r="B97" s="1787" t="s">
        <v>85</v>
      </c>
      <c r="C97" s="1788"/>
      <c r="D97" s="1788"/>
      <c r="E97" s="1788"/>
      <c r="F97" s="1789"/>
      <c r="G97" s="1176"/>
      <c r="H97" s="109"/>
      <c r="I97" s="110"/>
      <c r="J97" s="1176"/>
      <c r="K97" s="1177"/>
      <c r="L97" s="1177"/>
      <c r="M97" s="1178"/>
      <c r="N97" s="1179">
        <f>(N98+N99+N100)/3</f>
        <v>7.0707070707070704E-2</v>
      </c>
      <c r="O97" s="1180">
        <f>(O98+O99+O100)</f>
        <v>0.75757563636363634</v>
      </c>
      <c r="P97" s="835">
        <f>O97/10.714284</f>
        <v>7.0707070707070704E-2</v>
      </c>
      <c r="Q97" s="1181"/>
      <c r="R97" s="255"/>
      <c r="S97" s="613"/>
    </row>
    <row r="98" spans="1:19" ht="29.45" customHeight="1" thickBot="1" x14ac:dyDescent="0.5">
      <c r="A98" s="16">
        <v>26</v>
      </c>
      <c r="B98" s="961" t="s">
        <v>86</v>
      </c>
      <c r="C98" s="962">
        <f>$M$5</f>
        <v>3.5714285714285716</v>
      </c>
      <c r="D98" s="961" t="s">
        <v>215</v>
      </c>
      <c r="E98" s="962">
        <f>C98/1</f>
        <v>3.5714285714285716</v>
      </c>
      <c r="F98" s="1095" t="s">
        <v>291</v>
      </c>
      <c r="G98" s="962">
        <f>E98/1</f>
        <v>3.5714285714285716</v>
      </c>
      <c r="H98" s="359"/>
      <c r="I98" s="395"/>
      <c r="J98" s="1182">
        <f>IF(I98=H98,(H98-10),H98-I98)</f>
        <v>-10</v>
      </c>
      <c r="K98" s="982">
        <f>IF(I98&gt;=10,0,((10-I98)*(6/10)))</f>
        <v>6</v>
      </c>
      <c r="L98" s="1090">
        <f>I98+K98</f>
        <v>6</v>
      </c>
      <c r="M98" s="874" t="str">
        <f>IF(K98=0,J98/K98,"0%")</f>
        <v>0%</v>
      </c>
      <c r="N98" s="1091">
        <f>((G98/C98)*M98)</f>
        <v>0</v>
      </c>
      <c r="O98" s="970">
        <f>IF(((G98/C98)*M98)&gt;=1,3.571428,IF(((G98/C98)*M98)&lt;=0,0,((G98/C98)*M98)*3.571428))</f>
        <v>0</v>
      </c>
      <c r="P98" s="835">
        <f>O98/3.571428</f>
        <v>0</v>
      </c>
      <c r="Q98" s="1183" t="s">
        <v>95</v>
      </c>
      <c r="R98" s="644"/>
      <c r="S98" s="1307" t="s">
        <v>463</v>
      </c>
    </row>
    <row r="99" spans="1:19" ht="35.25" thickBot="1" x14ac:dyDescent="0.5">
      <c r="A99" s="16">
        <v>27</v>
      </c>
      <c r="B99" s="961" t="s">
        <v>87</v>
      </c>
      <c r="C99" s="962">
        <f>$M$5</f>
        <v>3.5714285714285716</v>
      </c>
      <c r="D99" s="961" t="s">
        <v>216</v>
      </c>
      <c r="E99" s="962">
        <f>C99/1</f>
        <v>3.5714285714285716</v>
      </c>
      <c r="F99" s="1095" t="s">
        <v>271</v>
      </c>
      <c r="G99" s="962">
        <f>E99/1</f>
        <v>3.5714285714285716</v>
      </c>
      <c r="H99" s="1326">
        <v>27</v>
      </c>
      <c r="I99" s="1327">
        <v>20</v>
      </c>
      <c r="J99" s="1182">
        <f>IF(I99=H99,(H99-75),H99-I99)</f>
        <v>7</v>
      </c>
      <c r="K99" s="982">
        <f>IF(I99&gt;=75,0,((75-I99)*(6/10)))</f>
        <v>33</v>
      </c>
      <c r="L99" s="1115">
        <f>I99+K99</f>
        <v>53</v>
      </c>
      <c r="M99" s="874">
        <f>IF(K99&lt;&gt;0,J99/K99,"0%")</f>
        <v>0.21212121212121213</v>
      </c>
      <c r="N99" s="1091">
        <f>((G99/C99)*M99)</f>
        <v>0.21212121212121213</v>
      </c>
      <c r="O99" s="970">
        <f>IF(((G99/C99)*M99)&gt;=1,3.571428,IF(((G99/C99)*M99)&lt;=0,0,((G99/C99)*M99)*3.571428))</f>
        <v>0.75757563636363634</v>
      </c>
      <c r="P99" s="835">
        <f>O99/3.571428</f>
        <v>0.2121212121212121</v>
      </c>
      <c r="Q99" s="1183" t="s">
        <v>192</v>
      </c>
      <c r="R99" s="623"/>
      <c r="S99" s="612" t="s">
        <v>635</v>
      </c>
    </row>
    <row r="100" spans="1:19" ht="30.75" thickBot="1" x14ac:dyDescent="0.5">
      <c r="A100" s="1669">
        <v>28</v>
      </c>
      <c r="B100" s="1790" t="s">
        <v>88</v>
      </c>
      <c r="C100" s="1792">
        <f>M5</f>
        <v>3.5714285714285716</v>
      </c>
      <c r="D100" s="1790" t="s">
        <v>217</v>
      </c>
      <c r="E100" s="1792">
        <f>C100/1</f>
        <v>3.5714285714285716</v>
      </c>
      <c r="F100" s="1054" t="s">
        <v>89</v>
      </c>
      <c r="G100" s="853">
        <f>$E$100/2</f>
        <v>1.7857142857142858</v>
      </c>
      <c r="H100" s="362"/>
      <c r="I100" s="375"/>
      <c r="J100" s="1185">
        <f>IF(I100=H100,(25-H100),I100-H100)</f>
        <v>25</v>
      </c>
      <c r="K100" s="1035">
        <f>IF(I100&lt;=25,0,((0.25*I100)*(6/10)))</f>
        <v>0</v>
      </c>
      <c r="L100" s="1186">
        <f>I100-K100</f>
        <v>0</v>
      </c>
      <c r="M100" s="874" t="str">
        <f>IF(K100=0,"0%",J100/K100)</f>
        <v>0%</v>
      </c>
      <c r="N100" s="1795">
        <f>((G100/$C$100)*M100)+((G101/$C$100)*M101)</f>
        <v>0</v>
      </c>
      <c r="O100" s="1699">
        <f>IF((((G100/C100)*M100)+((G101/C100)*M101))&gt;=1,3.57148,IF((((G100/C100)*M100)+((G101/C100)*M101))&lt;=0,0, (((G100/C100)*M100)+((G101/C100)*M101))*3.571428))</f>
        <v>0</v>
      </c>
      <c r="P100" s="1678">
        <f>O100/3.571428</f>
        <v>0</v>
      </c>
      <c r="Q100" s="1187" t="s">
        <v>193</v>
      </c>
      <c r="R100" s="645"/>
      <c r="S100" s="1270" t="s">
        <v>463</v>
      </c>
    </row>
    <row r="101" spans="1:19" ht="38.450000000000003" customHeight="1" thickBot="1" x14ac:dyDescent="0.5">
      <c r="A101" s="1669"/>
      <c r="B101" s="1791"/>
      <c r="C101" s="1793"/>
      <c r="D101" s="1791"/>
      <c r="E101" s="1794"/>
      <c r="F101" s="953" t="s">
        <v>90</v>
      </c>
      <c r="G101" s="868">
        <f>$E$100/2</f>
        <v>1.7857142857142858</v>
      </c>
      <c r="H101" s="360"/>
      <c r="I101" s="376"/>
      <c r="J101" s="1188">
        <f>IF(I101=H101,(H101-25),H101-I101)</f>
        <v>-25</v>
      </c>
      <c r="K101" s="921">
        <f>IF(I101&gt;=25,0,((25-I101)*(6/10)))</f>
        <v>15</v>
      </c>
      <c r="L101" s="1189">
        <f t="shared" ref="L101" si="33">K101+I101</f>
        <v>15</v>
      </c>
      <c r="M101" s="874" t="str">
        <f>IF(K101=0,J101/K101,"0%")</f>
        <v>0%</v>
      </c>
      <c r="N101" s="1796"/>
      <c r="O101" s="1800"/>
      <c r="P101" s="1679"/>
      <c r="Q101" s="1190" t="s">
        <v>95</v>
      </c>
      <c r="R101" s="624"/>
      <c r="S101" s="1324" t="s">
        <v>463</v>
      </c>
    </row>
    <row r="102" spans="1:19" ht="34.25" customHeight="1" thickBot="1" x14ac:dyDescent="0.5">
      <c r="B102" s="1191" t="s">
        <v>194</v>
      </c>
      <c r="C102" s="1192">
        <f>C11+C13+C15+C19+C24+C33+C34+C35+C36+C38+C41+C44+C48+C51+C53+C61+C68+C71+C73+C75+C78+C81+C83+C87+C94+C98+C99+C100</f>
        <v>99.999999999999972</v>
      </c>
      <c r="D102" s="1193"/>
      <c r="E102" s="1192">
        <f>E11+E12+E13+E14+E15+E19+E20+E21+E22+E24+E25+E28+E31+E33+E34+E35+E36+E38+E39+E41+E42+E44+E45+E48+E49++E51+E53+E54+E55+E56+E57+E61+E62+E63+E64+E68+E71+E73+E75+E78+E81++E82+E83+E84+E85+E87+E88+E91+E94+E95+E96+E98+E99+E100</f>
        <v>100.00714285714285</v>
      </c>
      <c r="F102" s="1194"/>
      <c r="G102" s="1192">
        <f>G11+G12+G13+G14+G15+G16+G17+G19+G20+G21+G22+G24+G25+G26+G27+G28+G29+G30+G31+G33+G34+G35+G36+G38+G39+G41+G42+G44+G45+G48+G49+G51+G53+G54+G55+G56+G57+G58+G61+G62+G63+G64+G65+G66+G68+G71+G73+G75+G78+G81+G82+G83+G84+G85+G87+G88+G89+G90+G91+G94+G95+G96+G98+G99+G100+G101</f>
        <v>100.00714285714285</v>
      </c>
      <c r="H102" s="1195"/>
      <c r="I102" s="1196"/>
      <c r="J102" s="1195"/>
      <c r="K102" s="1197"/>
      <c r="L102" s="1194"/>
      <c r="M102" s="1198"/>
      <c r="N102" s="1199"/>
      <c r="O102" s="1200"/>
      <c r="P102" s="1200"/>
      <c r="Q102" s="1201"/>
      <c r="R102" s="17"/>
      <c r="S102" s="18"/>
    </row>
    <row r="104" spans="1:19" ht="15.75" x14ac:dyDescent="0.5">
      <c r="B104" s="19"/>
    </row>
    <row r="107" spans="1:19" ht="15.75" x14ac:dyDescent="0.5">
      <c r="B107" s="19"/>
    </row>
    <row r="108" spans="1:19" x14ac:dyDescent="0.45">
      <c r="B108" s="20"/>
    </row>
    <row r="109" spans="1:19" x14ac:dyDescent="0.45">
      <c r="B109" s="20"/>
    </row>
    <row r="111" spans="1:19" x14ac:dyDescent="0.45">
      <c r="E111"/>
      <c r="F111" s="1202" t="s">
        <v>196</v>
      </c>
    </row>
    <row r="112" spans="1:19" x14ac:dyDescent="0.45">
      <c r="E112" s="1203">
        <v>1</v>
      </c>
      <c r="F112" s="1203" t="s">
        <v>197</v>
      </c>
    </row>
    <row r="113" spans="5:6" x14ac:dyDescent="0.45">
      <c r="E113" s="1203">
        <v>2</v>
      </c>
      <c r="F113" s="1203" t="s">
        <v>227</v>
      </c>
    </row>
    <row r="114" spans="5:6" x14ac:dyDescent="0.45">
      <c r="E114" s="1203">
        <v>3</v>
      </c>
      <c r="F114" s="1203" t="s">
        <v>228</v>
      </c>
    </row>
    <row r="115" spans="5:6" x14ac:dyDescent="0.45">
      <c r="E115" s="1203">
        <v>4</v>
      </c>
      <c r="F115" s="1203" t="s">
        <v>229</v>
      </c>
    </row>
    <row r="116" spans="5:6" x14ac:dyDescent="0.45">
      <c r="E116" s="1203">
        <v>5</v>
      </c>
      <c r="F116" s="1203" t="s">
        <v>198</v>
      </c>
    </row>
    <row r="117" spans="5:6" x14ac:dyDescent="0.45">
      <c r="E117" s="1203">
        <v>6</v>
      </c>
      <c r="F117" s="1203" t="s">
        <v>230</v>
      </c>
    </row>
    <row r="118" spans="5:6" x14ac:dyDescent="0.45">
      <c r="E118" s="1203">
        <v>7</v>
      </c>
      <c r="F118" s="1203" t="s">
        <v>231</v>
      </c>
    </row>
    <row r="119" spans="5:6" x14ac:dyDescent="0.45">
      <c r="E119" s="1203">
        <v>8</v>
      </c>
      <c r="F119" s="1203" t="s">
        <v>199</v>
      </c>
    </row>
    <row r="120" spans="5:6" x14ac:dyDescent="0.45">
      <c r="E120" s="1203">
        <v>9</v>
      </c>
      <c r="F120" s="1203" t="s">
        <v>200</v>
      </c>
    </row>
    <row r="121" spans="5:6" x14ac:dyDescent="0.45">
      <c r="E121" s="1203">
        <v>10</v>
      </c>
      <c r="F121" s="1203" t="s">
        <v>201</v>
      </c>
    </row>
    <row r="122" spans="5:6" x14ac:dyDescent="0.45">
      <c r="E122" s="1203">
        <v>11</v>
      </c>
      <c r="F122" s="1203" t="s">
        <v>232</v>
      </c>
    </row>
    <row r="123" spans="5:6" x14ac:dyDescent="0.45">
      <c r="E123" s="1203">
        <v>12</v>
      </c>
      <c r="F123" s="1203" t="s">
        <v>202</v>
      </c>
    </row>
    <row r="124" spans="5:6" x14ac:dyDescent="0.45">
      <c r="E124" s="1203">
        <f t="shared" ref="E124:E145" si="34">E123+1</f>
        <v>13</v>
      </c>
      <c r="F124" s="1203" t="s">
        <v>203</v>
      </c>
    </row>
    <row r="125" spans="5:6" x14ac:dyDescent="0.45">
      <c r="E125" s="1203">
        <v>14</v>
      </c>
      <c r="F125" s="1203" t="s">
        <v>233</v>
      </c>
    </row>
    <row r="126" spans="5:6" x14ac:dyDescent="0.45">
      <c r="E126" s="1203">
        <v>15</v>
      </c>
      <c r="F126" s="1203" t="s">
        <v>234</v>
      </c>
    </row>
    <row r="127" spans="5:6" x14ac:dyDescent="0.45">
      <c r="E127" s="1203">
        <v>16</v>
      </c>
      <c r="F127" s="1203" t="s">
        <v>213</v>
      </c>
    </row>
    <row r="128" spans="5:6" x14ac:dyDescent="0.45">
      <c r="E128" s="1203">
        <v>17</v>
      </c>
      <c r="F128" s="1203" t="s">
        <v>235</v>
      </c>
    </row>
    <row r="129" spans="5:6" x14ac:dyDescent="0.45">
      <c r="E129" s="1203">
        <v>18</v>
      </c>
      <c r="F129" s="1203" t="s">
        <v>263</v>
      </c>
    </row>
    <row r="130" spans="5:6" x14ac:dyDescent="0.45">
      <c r="E130" s="1203">
        <v>19</v>
      </c>
      <c r="F130" s="1203" t="s">
        <v>204</v>
      </c>
    </row>
    <row r="131" spans="5:6" x14ac:dyDescent="0.45">
      <c r="E131" s="1203">
        <v>20</v>
      </c>
      <c r="F131" s="1203" t="s">
        <v>236</v>
      </c>
    </row>
    <row r="132" spans="5:6" x14ac:dyDescent="0.45">
      <c r="E132" s="1203">
        <v>21</v>
      </c>
      <c r="F132" s="1203" t="s">
        <v>237</v>
      </c>
    </row>
    <row r="133" spans="5:6" x14ac:dyDescent="0.45">
      <c r="E133" s="1203">
        <v>22</v>
      </c>
      <c r="F133" s="1203" t="s">
        <v>238</v>
      </c>
    </row>
    <row r="134" spans="5:6" x14ac:dyDescent="0.45">
      <c r="E134" s="1203">
        <v>23</v>
      </c>
      <c r="F134" s="1203" t="s">
        <v>205</v>
      </c>
    </row>
    <row r="135" spans="5:6" x14ac:dyDescent="0.45">
      <c r="E135" s="1203">
        <v>24</v>
      </c>
      <c r="F135" s="1203" t="s">
        <v>239</v>
      </c>
    </row>
    <row r="136" spans="5:6" x14ac:dyDescent="0.45">
      <c r="E136" s="1203">
        <v>25</v>
      </c>
      <c r="F136" s="1203" t="s">
        <v>240</v>
      </c>
    </row>
    <row r="137" spans="5:6" x14ac:dyDescent="0.45">
      <c r="E137" s="1203">
        <v>26</v>
      </c>
      <c r="F137" s="1203" t="s">
        <v>241</v>
      </c>
    </row>
    <row r="138" spans="5:6" x14ac:dyDescent="0.45">
      <c r="E138" s="1203">
        <v>27</v>
      </c>
      <c r="F138" s="1203" t="s">
        <v>206</v>
      </c>
    </row>
    <row r="139" spans="5:6" x14ac:dyDescent="0.45">
      <c r="E139" s="1203">
        <v>28</v>
      </c>
      <c r="F139" s="1203" t="s">
        <v>242</v>
      </c>
    </row>
    <row r="140" spans="5:6" x14ac:dyDescent="0.45">
      <c r="E140" s="1203">
        <v>29</v>
      </c>
      <c r="F140" s="1203" t="s">
        <v>243</v>
      </c>
    </row>
    <row r="141" spans="5:6" x14ac:dyDescent="0.45">
      <c r="E141" s="1203">
        <v>30</v>
      </c>
      <c r="F141" s="1203" t="s">
        <v>244</v>
      </c>
    </row>
    <row r="142" spans="5:6" x14ac:dyDescent="0.45">
      <c r="E142" s="1203">
        <v>31</v>
      </c>
      <c r="F142" s="1203" t="s">
        <v>245</v>
      </c>
    </row>
    <row r="143" spans="5:6" x14ac:dyDescent="0.45">
      <c r="E143" s="1203">
        <v>32</v>
      </c>
      <c r="F143" s="1203" t="s">
        <v>246</v>
      </c>
    </row>
    <row r="144" spans="5:6" x14ac:dyDescent="0.45">
      <c r="E144" s="1203">
        <v>33</v>
      </c>
      <c r="F144" s="1203" t="s">
        <v>207</v>
      </c>
    </row>
    <row r="145" spans="5:6" x14ac:dyDescent="0.45">
      <c r="E145" s="1203">
        <f t="shared" si="34"/>
        <v>34</v>
      </c>
      <c r="F145" s="1203" t="s">
        <v>208</v>
      </c>
    </row>
    <row r="146" spans="5:6" x14ac:dyDescent="0.45">
      <c r="E146" s="1203">
        <v>35</v>
      </c>
      <c r="F146" s="1203" t="s">
        <v>247</v>
      </c>
    </row>
    <row r="147" spans="5:6" x14ac:dyDescent="0.45">
      <c r="E147" s="1203">
        <v>36</v>
      </c>
      <c r="F147" s="1203" t="s">
        <v>248</v>
      </c>
    </row>
    <row r="148" spans="5:6" x14ac:dyDescent="0.45">
      <c r="E148" s="1203">
        <v>36</v>
      </c>
      <c r="F148" s="1203" t="s">
        <v>249</v>
      </c>
    </row>
    <row r="149" spans="5:6" x14ac:dyDescent="0.45">
      <c r="E149" s="1203">
        <v>38</v>
      </c>
      <c r="F149" s="1203" t="s">
        <v>250</v>
      </c>
    </row>
    <row r="150" spans="5:6" x14ac:dyDescent="0.45">
      <c r="E150" s="1203">
        <v>39</v>
      </c>
      <c r="F150" s="1203" t="s">
        <v>251</v>
      </c>
    </row>
    <row r="151" spans="5:6" x14ac:dyDescent="0.45">
      <c r="E151" s="1203">
        <v>40</v>
      </c>
      <c r="F151" s="1203" t="s">
        <v>209</v>
      </c>
    </row>
    <row r="152" spans="5:6" x14ac:dyDescent="0.45">
      <c r="E152" s="1203">
        <v>41</v>
      </c>
      <c r="F152" s="1203" t="s">
        <v>264</v>
      </c>
    </row>
    <row r="153" spans="5:6" x14ac:dyDescent="0.45">
      <c r="E153" s="1203">
        <v>42</v>
      </c>
      <c r="F153" s="1203" t="s">
        <v>252</v>
      </c>
    </row>
    <row r="154" spans="5:6" x14ac:dyDescent="0.45">
      <c r="E154" s="1203">
        <v>43</v>
      </c>
      <c r="F154" s="1203" t="s">
        <v>253</v>
      </c>
    </row>
    <row r="155" spans="5:6" x14ac:dyDescent="0.45">
      <c r="E155" s="1203">
        <v>44</v>
      </c>
      <c r="F155" s="1203" t="s">
        <v>254</v>
      </c>
    </row>
    <row r="156" spans="5:6" x14ac:dyDescent="0.45">
      <c r="E156" s="1203">
        <v>45</v>
      </c>
      <c r="F156" s="1203" t="s">
        <v>210</v>
      </c>
    </row>
    <row r="157" spans="5:6" x14ac:dyDescent="0.45">
      <c r="E157" s="1203">
        <v>46</v>
      </c>
      <c r="F157" s="1203" t="s">
        <v>255</v>
      </c>
    </row>
    <row r="158" spans="5:6" x14ac:dyDescent="0.45">
      <c r="E158" s="1203">
        <v>47</v>
      </c>
      <c r="F158" s="1203" t="s">
        <v>211</v>
      </c>
    </row>
    <row r="159" spans="5:6" x14ac:dyDescent="0.45">
      <c r="E159" s="1203">
        <v>48</v>
      </c>
      <c r="F159" s="1203" t="s">
        <v>256</v>
      </c>
    </row>
    <row r="160" spans="5:6" x14ac:dyDescent="0.45">
      <c r="E160" s="1203">
        <v>49</v>
      </c>
      <c r="F160" s="1203" t="s">
        <v>257</v>
      </c>
    </row>
    <row r="161" spans="5:6" x14ac:dyDescent="0.45">
      <c r="E161" s="1203">
        <v>50</v>
      </c>
      <c r="F161" s="1203" t="s">
        <v>260</v>
      </c>
    </row>
    <row r="162" spans="5:6" x14ac:dyDescent="0.45">
      <c r="E162" s="1203">
        <v>51</v>
      </c>
      <c r="F162" s="1203" t="s">
        <v>258</v>
      </c>
    </row>
    <row r="163" spans="5:6" x14ac:dyDescent="0.45">
      <c r="E163" s="1203">
        <v>52</v>
      </c>
      <c r="F163" s="1203" t="s">
        <v>212</v>
      </c>
    </row>
    <row r="164" spans="5:6" x14ac:dyDescent="0.45">
      <c r="E164" s="1203">
        <v>53</v>
      </c>
      <c r="F164" s="1203" t="s">
        <v>259</v>
      </c>
    </row>
    <row r="165" spans="5:6" x14ac:dyDescent="0.45">
      <c r="E165" s="1203">
        <v>54</v>
      </c>
      <c r="F165" s="1203" t="s">
        <v>261</v>
      </c>
    </row>
    <row r="166" spans="5:6" x14ac:dyDescent="0.45">
      <c r="E166" s="1203">
        <v>55</v>
      </c>
      <c r="F166" s="1203" t="s">
        <v>262</v>
      </c>
    </row>
    <row r="167" spans="5:6" x14ac:dyDescent="0.45">
      <c r="E167"/>
      <c r="F167"/>
    </row>
    <row r="168" spans="5:6" x14ac:dyDescent="0.45">
      <c r="E168"/>
      <c r="F168"/>
    </row>
  </sheetData>
  <sheetProtection algorithmName="SHA-512" hashValue="TcsS3y8ImXAWjkXVZmb/AIckTv8uLHyp0Rxuo5Xjh5laQhX6hwYLrK13oDe2Opb+lhCcE+OhNbKmAvliMrrA4A==" saltValue="yODeRywo4vUKltFWcTe0ug=="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10 O69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3E364783-C98C-4341-A407-04576285A3D2}">
      <formula1>$F$112:$F$166</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Aspiration Chart</vt:lpstr>
      <vt:lpstr>Performance by Goal</vt:lpstr>
      <vt:lpstr>Initial Analysis Table</vt:lpstr>
      <vt:lpstr>Continental Level Dashboard</vt:lpstr>
      <vt:lpstr>Continental Dboard Targets</vt:lpstr>
      <vt:lpstr>South Africa</vt:lpstr>
      <vt:lpstr>Namibia</vt:lpstr>
      <vt:lpstr>Zimbabwe</vt:lpstr>
      <vt:lpstr>Botswana</vt:lpstr>
      <vt:lpstr>Mozambique</vt:lpstr>
      <vt:lpstr>Zambia</vt:lpstr>
      <vt:lpstr>Lesotho</vt:lpstr>
      <vt:lpstr>Eswatini</vt:lpstr>
      <vt:lpstr>End</vt:lpstr>
      <vt:lpstr>Madagascar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 Kisira</dc:creator>
  <cp:lastModifiedBy>Andson Nsune</cp:lastModifiedBy>
  <dcterms:created xsi:type="dcterms:W3CDTF">2019-08-26T09:31:19Z</dcterms:created>
  <dcterms:modified xsi:type="dcterms:W3CDTF">2020-01-28T22:08:55Z</dcterms:modified>
</cp:coreProperties>
</file>