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mc:AlternateContent xmlns:mc="http://schemas.openxmlformats.org/markup-compatibility/2006">
    <mc:Choice Requires="x15">
      <x15ac:absPath xmlns:x15ac="http://schemas.microsoft.com/office/spreadsheetml/2010/11/ac" url="C:\Users\Andsonn\Desktop\M_Regional Dashboards\28th Jan Revisions\"/>
    </mc:Choice>
  </mc:AlternateContent>
  <xr:revisionPtr revIDLastSave="0" documentId="13_ncr:1_{E4FFC6CD-AE71-4BAF-92BA-C0B8BF17277B}" xr6:coauthVersionLast="44" xr6:coauthVersionMax="44" xr10:uidLastSave="{00000000-0000-0000-0000-000000000000}"/>
  <bookViews>
    <workbookView xWindow="-98" yWindow="-98" windowWidth="19396" windowHeight="10395" firstSheet="3" activeTab="7" xr2:uid="{00000000-000D-0000-FFFF-FFFF00000000}"/>
  </bookViews>
  <sheets>
    <sheet name="Aspiration Chart" sheetId="24" r:id="rId1"/>
    <sheet name="Performance by Goal" sheetId="25" r:id="rId2"/>
    <sheet name="Initial Analysis Table" sheetId="17" r:id="rId3"/>
    <sheet name="Continental Level Dashboard" sheetId="2" r:id="rId4"/>
    <sheet name="Continental Dboard Targets" sheetId="19" r:id="rId5"/>
    <sheet name="Egypt" sheetId="32" r:id="rId6"/>
    <sheet name="Tunisia" sheetId="51" r:id="rId7"/>
    <sheet name="Algeria" sheetId="52" r:id="rId8"/>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45" i="52" l="1"/>
  <c r="E124" i="52"/>
  <c r="M101" i="52"/>
  <c r="K101" i="52"/>
  <c r="L101" i="52" s="1"/>
  <c r="J101" i="52"/>
  <c r="M100" i="52"/>
  <c r="K100" i="52"/>
  <c r="L100" i="52" s="1"/>
  <c r="J100" i="52"/>
  <c r="M99" i="52"/>
  <c r="K99" i="52"/>
  <c r="L99" i="52" s="1"/>
  <c r="J99" i="52"/>
  <c r="M98" i="52"/>
  <c r="K98" i="52"/>
  <c r="L98" i="52" s="1"/>
  <c r="J98" i="52"/>
  <c r="C98" i="52"/>
  <c r="E98" i="52" s="1"/>
  <c r="G98" i="52" s="1"/>
  <c r="M96" i="52"/>
  <c r="K96" i="52"/>
  <c r="L96" i="52" s="1"/>
  <c r="J96" i="52"/>
  <c r="K95" i="52"/>
  <c r="M95" i="52" s="1"/>
  <c r="J95" i="52"/>
  <c r="L94" i="52"/>
  <c r="K94" i="52"/>
  <c r="M94" i="52" s="1"/>
  <c r="J94" i="52"/>
  <c r="M91" i="52"/>
  <c r="K91" i="52"/>
  <c r="L91" i="52" s="1"/>
  <c r="J91" i="52"/>
  <c r="K90" i="52"/>
  <c r="M90" i="52" s="1"/>
  <c r="J90" i="52"/>
  <c r="M89" i="52"/>
  <c r="L89" i="52"/>
  <c r="K89" i="52"/>
  <c r="J89" i="52"/>
  <c r="M88" i="52"/>
  <c r="K88" i="52"/>
  <c r="L88" i="52" s="1"/>
  <c r="J88" i="52"/>
  <c r="L87" i="52"/>
  <c r="K87" i="52"/>
  <c r="J87" i="52"/>
  <c r="M87" i="52" s="1"/>
  <c r="L85" i="52"/>
  <c r="K85" i="52"/>
  <c r="M85" i="52" s="1"/>
  <c r="J85" i="52"/>
  <c r="M84" i="52"/>
  <c r="L84" i="52"/>
  <c r="K84" i="52"/>
  <c r="J84" i="52"/>
  <c r="K83" i="52"/>
  <c r="M83" i="52" s="1"/>
  <c r="J83" i="52"/>
  <c r="C83" i="52"/>
  <c r="M82" i="52"/>
  <c r="L82" i="52"/>
  <c r="K82" i="52"/>
  <c r="J82" i="52"/>
  <c r="K81" i="52"/>
  <c r="M81" i="52" s="1"/>
  <c r="J81" i="52"/>
  <c r="C81" i="52"/>
  <c r="E84" i="52" s="1"/>
  <c r="G84" i="52" s="1"/>
  <c r="K78" i="52"/>
  <c r="L78" i="52" s="1"/>
  <c r="M78" i="52" s="1"/>
  <c r="J78" i="52"/>
  <c r="C78" i="52"/>
  <c r="E78" i="52" s="1"/>
  <c r="G78" i="52" s="1"/>
  <c r="K75" i="52"/>
  <c r="M75" i="52" s="1"/>
  <c r="J75" i="52"/>
  <c r="C75" i="52"/>
  <c r="E75" i="52" s="1"/>
  <c r="G75" i="52" s="1"/>
  <c r="L73" i="52"/>
  <c r="K73" i="52"/>
  <c r="M73" i="52" s="1"/>
  <c r="J73" i="52"/>
  <c r="M71" i="52"/>
  <c r="K71" i="52"/>
  <c r="L71" i="52" s="1"/>
  <c r="J71" i="52"/>
  <c r="C71" i="52"/>
  <c r="E71" i="52" s="1"/>
  <c r="G71" i="52" s="1"/>
  <c r="M68" i="52"/>
  <c r="K68" i="52"/>
  <c r="L68" i="52" s="1"/>
  <c r="J68" i="52"/>
  <c r="C68" i="52"/>
  <c r="E68" i="52" s="1"/>
  <c r="G68" i="52" s="1"/>
  <c r="K66" i="52"/>
  <c r="M66" i="52" s="1"/>
  <c r="J66" i="52"/>
  <c r="L65" i="52"/>
  <c r="K65" i="52"/>
  <c r="M65" i="52" s="1"/>
  <c r="J65" i="52"/>
  <c r="M64" i="52"/>
  <c r="K64" i="52"/>
  <c r="L64" i="52" s="1"/>
  <c r="J64" i="52"/>
  <c r="M63" i="52"/>
  <c r="K63" i="52"/>
  <c r="L63" i="52" s="1"/>
  <c r="J63" i="52"/>
  <c r="M62" i="52"/>
  <c r="K62" i="52"/>
  <c r="L62" i="52" s="1"/>
  <c r="J62" i="52"/>
  <c r="M61" i="52"/>
  <c r="L61" i="52"/>
  <c r="K61" i="52"/>
  <c r="J61" i="52"/>
  <c r="K58" i="52"/>
  <c r="M58" i="52" s="1"/>
  <c r="J58" i="52"/>
  <c r="L57" i="52"/>
  <c r="K57" i="52"/>
  <c r="M57" i="52" s="1"/>
  <c r="J57" i="52"/>
  <c r="L56" i="52"/>
  <c r="K56" i="52"/>
  <c r="J56" i="52"/>
  <c r="M56" i="52" s="1"/>
  <c r="L55" i="52"/>
  <c r="K55" i="52"/>
  <c r="M55" i="52" s="1"/>
  <c r="J55" i="52"/>
  <c r="L54" i="52"/>
  <c r="K54" i="52"/>
  <c r="J54" i="52"/>
  <c r="M54" i="52" s="1"/>
  <c r="K53" i="52"/>
  <c r="M53" i="52" s="1"/>
  <c r="J53" i="52"/>
  <c r="C53" i="52"/>
  <c r="E56" i="52" s="1"/>
  <c r="G56" i="52" s="1"/>
  <c r="L51" i="52"/>
  <c r="K51" i="52"/>
  <c r="M51" i="52" s="1"/>
  <c r="J51" i="52"/>
  <c r="L49" i="52"/>
  <c r="K49" i="52"/>
  <c r="J49" i="52"/>
  <c r="M49" i="52" s="1"/>
  <c r="K48" i="52"/>
  <c r="M48" i="52" s="1"/>
  <c r="J48" i="52"/>
  <c r="C48" i="52"/>
  <c r="E49" i="52" s="1"/>
  <c r="G49" i="52" s="1"/>
  <c r="M45" i="52"/>
  <c r="L45" i="52"/>
  <c r="K45" i="52"/>
  <c r="J45" i="52"/>
  <c r="E45" i="52"/>
  <c r="G45" i="52" s="1"/>
  <c r="M44" i="52"/>
  <c r="K44" i="52"/>
  <c r="L44" i="52" s="1"/>
  <c r="J44" i="52"/>
  <c r="C44" i="52"/>
  <c r="E44" i="52" s="1"/>
  <c r="G44" i="52" s="1"/>
  <c r="K42" i="52"/>
  <c r="M42" i="52" s="1"/>
  <c r="J42" i="52"/>
  <c r="L41" i="52"/>
  <c r="K41" i="52"/>
  <c r="M41" i="52" s="1"/>
  <c r="J41" i="52"/>
  <c r="E41" i="52"/>
  <c r="G41" i="52" s="1"/>
  <c r="C41" i="52"/>
  <c r="E42" i="52" s="1"/>
  <c r="G42" i="52" s="1"/>
  <c r="L39" i="52"/>
  <c r="K39" i="52"/>
  <c r="J39" i="52"/>
  <c r="M39" i="52" s="1"/>
  <c r="K38" i="52"/>
  <c r="M38" i="52" s="1"/>
  <c r="J38" i="52"/>
  <c r="C38" i="52"/>
  <c r="E39" i="52" s="1"/>
  <c r="G39" i="52" s="1"/>
  <c r="L36" i="52"/>
  <c r="K36" i="52"/>
  <c r="M36" i="52" s="1"/>
  <c r="J36" i="52"/>
  <c r="E36" i="52"/>
  <c r="G36" i="52" s="1"/>
  <c r="C36" i="52"/>
  <c r="L35" i="52"/>
  <c r="K35" i="52"/>
  <c r="J35" i="52"/>
  <c r="M35" i="52" s="1"/>
  <c r="L34" i="52"/>
  <c r="K34" i="52"/>
  <c r="M34" i="52" s="1"/>
  <c r="J34" i="52"/>
  <c r="L33" i="52"/>
  <c r="K33" i="52"/>
  <c r="J33" i="52"/>
  <c r="M33" i="52" s="1"/>
  <c r="L31" i="52"/>
  <c r="K31" i="52"/>
  <c r="M31" i="52" s="1"/>
  <c r="J31" i="52"/>
  <c r="E31" i="52"/>
  <c r="G31" i="52" s="1"/>
  <c r="L30" i="52"/>
  <c r="K30" i="52"/>
  <c r="J30" i="52"/>
  <c r="M30" i="52" s="1"/>
  <c r="K29" i="52"/>
  <c r="M29" i="52" s="1"/>
  <c r="J29" i="52"/>
  <c r="L28" i="52"/>
  <c r="K28" i="52"/>
  <c r="M28" i="52" s="1"/>
  <c r="J28" i="52"/>
  <c r="E28" i="52"/>
  <c r="G29" i="52" s="1"/>
  <c r="L27" i="52"/>
  <c r="K27" i="52"/>
  <c r="J27" i="52"/>
  <c r="M27" i="52" s="1"/>
  <c r="G27" i="52"/>
  <c r="K26" i="52"/>
  <c r="M26" i="52" s="1"/>
  <c r="J26" i="52"/>
  <c r="G26" i="52"/>
  <c r="L25" i="52"/>
  <c r="K25" i="52"/>
  <c r="M25" i="52" s="1"/>
  <c r="J25" i="52"/>
  <c r="G25" i="52"/>
  <c r="L24" i="52"/>
  <c r="K24" i="52"/>
  <c r="M24" i="52" s="1"/>
  <c r="J24" i="52"/>
  <c r="E24" i="52"/>
  <c r="G24" i="52" s="1"/>
  <c r="C24" i="52"/>
  <c r="L22" i="52"/>
  <c r="K22" i="52"/>
  <c r="J22" i="52"/>
  <c r="M22" i="52" s="1"/>
  <c r="M21" i="52"/>
  <c r="L21" i="52"/>
  <c r="K21" i="52"/>
  <c r="J21" i="52"/>
  <c r="L20" i="52"/>
  <c r="K20" i="52"/>
  <c r="J20" i="52"/>
  <c r="M20" i="52" s="1"/>
  <c r="K19" i="52"/>
  <c r="M19" i="52" s="1"/>
  <c r="J19" i="52"/>
  <c r="C19" i="52"/>
  <c r="E22" i="52" s="1"/>
  <c r="G22" i="52" s="1"/>
  <c r="M17" i="52"/>
  <c r="K17" i="52"/>
  <c r="L17" i="52" s="1"/>
  <c r="J17" i="52"/>
  <c r="L16" i="52"/>
  <c r="K16" i="52"/>
  <c r="J16" i="52"/>
  <c r="M16" i="52" s="1"/>
  <c r="L15" i="52"/>
  <c r="K15" i="52"/>
  <c r="J15" i="52"/>
  <c r="M15" i="52" s="1"/>
  <c r="W14" i="52"/>
  <c r="Y13" i="52" s="1"/>
  <c r="L14" i="52"/>
  <c r="K14" i="52"/>
  <c r="M14" i="52" s="1"/>
  <c r="J14" i="52"/>
  <c r="E14" i="52"/>
  <c r="G14" i="52" s="1"/>
  <c r="X13" i="52"/>
  <c r="W13" i="52"/>
  <c r="M13" i="52"/>
  <c r="L13" i="52"/>
  <c r="K13" i="52"/>
  <c r="J13" i="52"/>
  <c r="E13" i="52"/>
  <c r="G13" i="52" s="1"/>
  <c r="C13" i="52"/>
  <c r="M12" i="52"/>
  <c r="K12" i="52"/>
  <c r="L12" i="52" s="1"/>
  <c r="J12" i="52"/>
  <c r="W11" i="52"/>
  <c r="X12" i="52" s="1"/>
  <c r="K11" i="52"/>
  <c r="M11" i="52" s="1"/>
  <c r="J11" i="52"/>
  <c r="C11" i="52"/>
  <c r="M5" i="52"/>
  <c r="C94" i="52" s="1"/>
  <c r="E145" i="51"/>
  <c r="E124" i="51"/>
  <c r="M101" i="51"/>
  <c r="L101" i="51"/>
  <c r="K101" i="51"/>
  <c r="J101" i="51"/>
  <c r="M100" i="51"/>
  <c r="L100" i="51"/>
  <c r="K100" i="51"/>
  <c r="J100" i="51"/>
  <c r="M99" i="51"/>
  <c r="L99" i="51"/>
  <c r="K99" i="51"/>
  <c r="J99" i="51"/>
  <c r="M98" i="51"/>
  <c r="K98" i="51"/>
  <c r="L98" i="51" s="1"/>
  <c r="J98" i="51"/>
  <c r="L96" i="51"/>
  <c r="K96" i="51"/>
  <c r="M96" i="51" s="1"/>
  <c r="J96" i="51"/>
  <c r="K95" i="51"/>
  <c r="L95" i="51" s="1"/>
  <c r="J95" i="51"/>
  <c r="M95" i="51" s="1"/>
  <c r="K94" i="51"/>
  <c r="M94" i="51" s="1"/>
  <c r="J94" i="51"/>
  <c r="M91" i="51"/>
  <c r="L91" i="51"/>
  <c r="K91" i="51"/>
  <c r="J91" i="51"/>
  <c r="M90" i="51"/>
  <c r="L90" i="51"/>
  <c r="K90" i="51"/>
  <c r="J90" i="51"/>
  <c r="K89" i="51"/>
  <c r="M89" i="51" s="1"/>
  <c r="J89" i="51"/>
  <c r="L88" i="51"/>
  <c r="K88" i="51"/>
  <c r="M88" i="51" s="1"/>
  <c r="J88" i="51"/>
  <c r="M87" i="51"/>
  <c r="L87" i="51"/>
  <c r="K87" i="51"/>
  <c r="J87" i="51"/>
  <c r="K85" i="51"/>
  <c r="M85" i="51" s="1"/>
  <c r="J85" i="51"/>
  <c r="M84" i="51"/>
  <c r="L84" i="51"/>
  <c r="K84" i="51"/>
  <c r="J84" i="51"/>
  <c r="K83" i="51"/>
  <c r="L83" i="51" s="1"/>
  <c r="J83" i="51"/>
  <c r="M83" i="51" s="1"/>
  <c r="M82" i="51"/>
  <c r="L82" i="51"/>
  <c r="K82" i="51"/>
  <c r="J82" i="51"/>
  <c r="K81" i="51"/>
  <c r="L81" i="51" s="1"/>
  <c r="J81" i="51"/>
  <c r="M81" i="51" s="1"/>
  <c r="M78" i="51"/>
  <c r="K78" i="51"/>
  <c r="L78" i="51" s="1"/>
  <c r="J78" i="51"/>
  <c r="M75" i="51"/>
  <c r="K75" i="51"/>
  <c r="L75" i="51" s="1"/>
  <c r="J75" i="51"/>
  <c r="M73" i="51"/>
  <c r="K73" i="51"/>
  <c r="L73" i="51" s="1"/>
  <c r="J73" i="51"/>
  <c r="M71" i="51"/>
  <c r="L71" i="51"/>
  <c r="K71" i="51"/>
  <c r="J71" i="51"/>
  <c r="M68" i="51"/>
  <c r="L68" i="51"/>
  <c r="K68" i="51"/>
  <c r="J68" i="51"/>
  <c r="L66" i="51"/>
  <c r="K66" i="51"/>
  <c r="J66" i="51"/>
  <c r="M66" i="51" s="1"/>
  <c r="K65" i="51"/>
  <c r="M65" i="51" s="1"/>
  <c r="J65" i="51"/>
  <c r="L64" i="51"/>
  <c r="K64" i="51"/>
  <c r="M64" i="51" s="1"/>
  <c r="J64" i="51"/>
  <c r="M63" i="51"/>
  <c r="L63" i="51"/>
  <c r="K63" i="51"/>
  <c r="J63" i="51"/>
  <c r="M62" i="51"/>
  <c r="L62" i="51"/>
  <c r="K62" i="51"/>
  <c r="J62" i="51"/>
  <c r="M61" i="51"/>
  <c r="K61" i="51"/>
  <c r="L61" i="51" s="1"/>
  <c r="J61" i="51"/>
  <c r="K58" i="51"/>
  <c r="M58" i="51" s="1"/>
  <c r="J58" i="51"/>
  <c r="M57" i="51"/>
  <c r="K57" i="51"/>
  <c r="L57" i="51" s="1"/>
  <c r="J57" i="51"/>
  <c r="K56" i="51"/>
  <c r="M56" i="51" s="1"/>
  <c r="J56" i="51"/>
  <c r="K55" i="51"/>
  <c r="M55" i="51" s="1"/>
  <c r="J55" i="51"/>
  <c r="M54" i="51"/>
  <c r="L54" i="51"/>
  <c r="K54" i="51"/>
  <c r="J54" i="51"/>
  <c r="K53" i="51"/>
  <c r="M53" i="51" s="1"/>
  <c r="J53" i="51"/>
  <c r="M51" i="51"/>
  <c r="K51" i="51"/>
  <c r="L51" i="51" s="1"/>
  <c r="J51" i="51"/>
  <c r="M49" i="51"/>
  <c r="L49" i="51"/>
  <c r="K49" i="51"/>
  <c r="J49" i="51"/>
  <c r="K48" i="51"/>
  <c r="M48" i="51" s="1"/>
  <c r="J48" i="51"/>
  <c r="M45" i="51"/>
  <c r="K45" i="51"/>
  <c r="L45" i="51" s="1"/>
  <c r="J45" i="51"/>
  <c r="M44" i="51"/>
  <c r="L44" i="51"/>
  <c r="K44" i="51"/>
  <c r="J44" i="51"/>
  <c r="K42" i="51"/>
  <c r="M42" i="51" s="1"/>
  <c r="J42" i="51"/>
  <c r="K41" i="51"/>
  <c r="M41" i="51" s="1"/>
  <c r="J41" i="51"/>
  <c r="K39" i="51"/>
  <c r="M39" i="51" s="1"/>
  <c r="J39" i="51"/>
  <c r="L38" i="51"/>
  <c r="K38" i="51"/>
  <c r="J38" i="51"/>
  <c r="M38" i="51" s="1"/>
  <c r="K36" i="51"/>
  <c r="M36" i="51" s="1"/>
  <c r="J36" i="51"/>
  <c r="K35" i="51"/>
  <c r="M35" i="51" s="1"/>
  <c r="J35" i="51"/>
  <c r="M34" i="51"/>
  <c r="K34" i="51"/>
  <c r="L34" i="51" s="1"/>
  <c r="J34" i="51"/>
  <c r="M33" i="51"/>
  <c r="L33" i="51"/>
  <c r="K33" i="51"/>
  <c r="J33" i="51"/>
  <c r="K31" i="51"/>
  <c r="M31" i="51" s="1"/>
  <c r="J31" i="51"/>
  <c r="M30" i="51"/>
  <c r="K30" i="51"/>
  <c r="L30" i="51" s="1"/>
  <c r="J30" i="51"/>
  <c r="L29" i="51"/>
  <c r="K29" i="51"/>
  <c r="J29" i="51"/>
  <c r="M29" i="51" s="1"/>
  <c r="K28" i="51"/>
  <c r="M28" i="51" s="1"/>
  <c r="J28" i="51"/>
  <c r="M27" i="51"/>
  <c r="K27" i="51"/>
  <c r="L27" i="51" s="1"/>
  <c r="J27" i="51"/>
  <c r="G27" i="51"/>
  <c r="L26" i="51"/>
  <c r="K26" i="51"/>
  <c r="J26" i="51"/>
  <c r="M26" i="51" s="1"/>
  <c r="G26" i="51"/>
  <c r="K25" i="51"/>
  <c r="M25" i="51" s="1"/>
  <c r="J25" i="51"/>
  <c r="G25" i="51"/>
  <c r="K24" i="51"/>
  <c r="M24" i="51" s="1"/>
  <c r="J24" i="51"/>
  <c r="K22" i="51"/>
  <c r="M22" i="51" s="1"/>
  <c r="J22" i="51"/>
  <c r="K21" i="51"/>
  <c r="M21" i="51" s="1"/>
  <c r="J21" i="51"/>
  <c r="M20" i="51"/>
  <c r="K20" i="51"/>
  <c r="L20" i="51" s="1"/>
  <c r="J20" i="51"/>
  <c r="K19" i="51"/>
  <c r="M19" i="51" s="1"/>
  <c r="J19" i="51"/>
  <c r="L17" i="51"/>
  <c r="K17" i="51"/>
  <c r="M17" i="51" s="1"/>
  <c r="J17" i="51"/>
  <c r="M16" i="51"/>
  <c r="K16" i="51"/>
  <c r="L16" i="51" s="1"/>
  <c r="J16" i="51"/>
  <c r="M15" i="51"/>
  <c r="K15" i="51"/>
  <c r="L15" i="51" s="1"/>
  <c r="J15" i="51"/>
  <c r="W14" i="51"/>
  <c r="K14" i="51"/>
  <c r="M14" i="51" s="1"/>
  <c r="J14" i="51"/>
  <c r="Y13" i="51"/>
  <c r="W13" i="51"/>
  <c r="M13" i="51"/>
  <c r="K13" i="51"/>
  <c r="L13" i="51" s="1"/>
  <c r="J13" i="51"/>
  <c r="W12" i="51"/>
  <c r="X14" i="51" s="1"/>
  <c r="L12" i="51"/>
  <c r="K12" i="51"/>
  <c r="M12" i="51" s="1"/>
  <c r="J12" i="51"/>
  <c r="W11" i="51"/>
  <c r="X13" i="51" s="1"/>
  <c r="K11" i="51"/>
  <c r="M11" i="51" s="1"/>
  <c r="J11" i="51"/>
  <c r="M5" i="51"/>
  <c r="C94" i="51" s="1"/>
  <c r="E145" i="32"/>
  <c r="E124" i="32"/>
  <c r="M101" i="32"/>
  <c r="K101" i="32"/>
  <c r="L101" i="32" s="1"/>
  <c r="J101" i="32"/>
  <c r="K100" i="32"/>
  <c r="L100" i="32" s="1"/>
  <c r="J100" i="32"/>
  <c r="M99" i="32"/>
  <c r="L99" i="32"/>
  <c r="K99" i="32"/>
  <c r="J99" i="32"/>
  <c r="M98" i="32"/>
  <c r="L98" i="32"/>
  <c r="K98" i="32"/>
  <c r="J98" i="32"/>
  <c r="C98" i="32"/>
  <c r="E98" i="32" s="1"/>
  <c r="G98" i="32" s="1"/>
  <c r="L96" i="32"/>
  <c r="K96" i="32"/>
  <c r="J96" i="32"/>
  <c r="M96" i="32" s="1"/>
  <c r="M95" i="32"/>
  <c r="K95" i="32"/>
  <c r="L95" i="32" s="1"/>
  <c r="J95" i="32"/>
  <c r="K94" i="32"/>
  <c r="M94" i="32" s="1"/>
  <c r="J94" i="32"/>
  <c r="C94" i="32"/>
  <c r="E96" i="32" s="1"/>
  <c r="G96" i="32" s="1"/>
  <c r="L91" i="32"/>
  <c r="M91" i="32" s="1"/>
  <c r="K91" i="32"/>
  <c r="J91" i="32"/>
  <c r="M90" i="32"/>
  <c r="K90" i="32"/>
  <c r="L90" i="32" s="1"/>
  <c r="J90" i="32"/>
  <c r="K89" i="32"/>
  <c r="M89" i="32" s="1"/>
  <c r="J89" i="32"/>
  <c r="M88" i="32"/>
  <c r="L88" i="32"/>
  <c r="K88" i="32"/>
  <c r="J88" i="32"/>
  <c r="M87" i="32"/>
  <c r="L87" i="32"/>
  <c r="K87" i="32"/>
  <c r="J87" i="32"/>
  <c r="M85" i="32"/>
  <c r="K85" i="32"/>
  <c r="L85" i="32" s="1"/>
  <c r="J85" i="32"/>
  <c r="M84" i="32"/>
  <c r="L84" i="32"/>
  <c r="K84" i="32"/>
  <c r="J84" i="32"/>
  <c r="M83" i="32"/>
  <c r="K83" i="32"/>
  <c r="L83" i="32" s="1"/>
  <c r="J83" i="32"/>
  <c r="C83" i="32"/>
  <c r="M82" i="32"/>
  <c r="L82" i="32"/>
  <c r="K82" i="32"/>
  <c r="J82" i="32"/>
  <c r="M81" i="32"/>
  <c r="K81" i="32"/>
  <c r="L81" i="32" s="1"/>
  <c r="J81" i="32"/>
  <c r="C81" i="32"/>
  <c r="E85" i="32" s="1"/>
  <c r="G85" i="32" s="1"/>
  <c r="K78" i="32"/>
  <c r="L78" i="32" s="1"/>
  <c r="M78" i="32" s="1"/>
  <c r="J78" i="32"/>
  <c r="C78" i="32"/>
  <c r="E78" i="32" s="1"/>
  <c r="G78" i="32" s="1"/>
  <c r="M75" i="32"/>
  <c r="K75" i="32"/>
  <c r="L75" i="32" s="1"/>
  <c r="J75" i="32"/>
  <c r="C75" i="32"/>
  <c r="E75" i="32" s="1"/>
  <c r="G75" i="32" s="1"/>
  <c r="M73" i="32"/>
  <c r="K73" i="32"/>
  <c r="L73" i="32" s="1"/>
  <c r="J73" i="32"/>
  <c r="M71" i="32"/>
  <c r="L71" i="32"/>
  <c r="K71" i="32"/>
  <c r="J71" i="32"/>
  <c r="M68" i="32"/>
  <c r="L68" i="32"/>
  <c r="K68" i="32"/>
  <c r="J68" i="32"/>
  <c r="K66" i="32"/>
  <c r="M66" i="32" s="1"/>
  <c r="J66" i="32"/>
  <c r="L65" i="32"/>
  <c r="K65" i="32"/>
  <c r="M65" i="32" s="1"/>
  <c r="J65" i="32"/>
  <c r="M64" i="32"/>
  <c r="L64" i="32"/>
  <c r="K64" i="32"/>
  <c r="J64" i="32"/>
  <c r="M63" i="32"/>
  <c r="K63" i="32"/>
  <c r="L63" i="32" s="1"/>
  <c r="J63" i="32"/>
  <c r="M62" i="32"/>
  <c r="K62" i="32"/>
  <c r="L62" i="32" s="1"/>
  <c r="J62" i="32"/>
  <c r="M61" i="32"/>
  <c r="L61" i="32"/>
  <c r="K61" i="32"/>
  <c r="J61" i="32"/>
  <c r="K58" i="32"/>
  <c r="M58" i="32" s="1"/>
  <c r="J58" i="32"/>
  <c r="K57" i="32"/>
  <c r="L57" i="32" s="1"/>
  <c r="J57" i="32"/>
  <c r="K56" i="32"/>
  <c r="M56" i="32" s="1"/>
  <c r="J56" i="32"/>
  <c r="L55" i="32"/>
  <c r="K55" i="32"/>
  <c r="M55" i="32" s="1"/>
  <c r="J55" i="32"/>
  <c r="M54" i="32"/>
  <c r="L54" i="32"/>
  <c r="K54" i="32"/>
  <c r="J54" i="32"/>
  <c r="K53" i="32"/>
  <c r="M53" i="32" s="1"/>
  <c r="J53" i="32"/>
  <c r="C53" i="32"/>
  <c r="E56" i="32" s="1"/>
  <c r="G56" i="32" s="1"/>
  <c r="K51" i="32"/>
  <c r="L51" i="32" s="1"/>
  <c r="J51" i="32"/>
  <c r="M49" i="32"/>
  <c r="L49" i="32"/>
  <c r="K49" i="32"/>
  <c r="J49" i="32"/>
  <c r="K48" i="32"/>
  <c r="M48" i="32" s="1"/>
  <c r="J48" i="32"/>
  <c r="C48" i="32"/>
  <c r="E49" i="32" s="1"/>
  <c r="G49" i="32" s="1"/>
  <c r="K45" i="32"/>
  <c r="L45" i="32" s="1"/>
  <c r="J45" i="32"/>
  <c r="M44" i="32"/>
  <c r="K44" i="32"/>
  <c r="L44" i="32" s="1"/>
  <c r="J44" i="32"/>
  <c r="M42" i="32"/>
  <c r="K42" i="32"/>
  <c r="L42" i="32" s="1"/>
  <c r="J42" i="32"/>
  <c r="L41" i="32"/>
  <c r="K41" i="32"/>
  <c r="M41" i="32" s="1"/>
  <c r="J41" i="32"/>
  <c r="C41" i="32"/>
  <c r="E42" i="32" s="1"/>
  <c r="G42" i="32" s="1"/>
  <c r="K39" i="32"/>
  <c r="M39" i="32" s="1"/>
  <c r="J39" i="32"/>
  <c r="K38" i="32"/>
  <c r="M38" i="32" s="1"/>
  <c r="J38" i="32"/>
  <c r="L36" i="32"/>
  <c r="K36" i="32"/>
  <c r="M36" i="32" s="1"/>
  <c r="J36" i="32"/>
  <c r="C36" i="32"/>
  <c r="E36" i="32" s="1"/>
  <c r="G36" i="32" s="1"/>
  <c r="K35" i="32"/>
  <c r="M35" i="32" s="1"/>
  <c r="J35" i="32"/>
  <c r="K34" i="32"/>
  <c r="L34" i="32" s="1"/>
  <c r="J34" i="32"/>
  <c r="M33" i="32"/>
  <c r="L33" i="32"/>
  <c r="K33" i="32"/>
  <c r="J33" i="32"/>
  <c r="L31" i="32"/>
  <c r="K31" i="32"/>
  <c r="M31" i="32" s="1"/>
  <c r="J31" i="32"/>
  <c r="M30" i="32"/>
  <c r="L30" i="32"/>
  <c r="K30" i="32"/>
  <c r="J30" i="32"/>
  <c r="M29" i="32"/>
  <c r="K29" i="32"/>
  <c r="L29" i="32" s="1"/>
  <c r="J29" i="32"/>
  <c r="M28" i="32"/>
  <c r="L28" i="32"/>
  <c r="K28" i="32"/>
  <c r="J28" i="32"/>
  <c r="M27" i="32"/>
  <c r="L27" i="32"/>
  <c r="K27" i="32"/>
  <c r="J27" i="32"/>
  <c r="G27" i="32"/>
  <c r="K26" i="32"/>
  <c r="M26" i="32" s="1"/>
  <c r="J26" i="32"/>
  <c r="G26" i="32"/>
  <c r="M25" i="32"/>
  <c r="L25" i="32"/>
  <c r="K25" i="32"/>
  <c r="J25" i="32"/>
  <c r="G25" i="32"/>
  <c r="M24" i="32"/>
  <c r="L24" i="32"/>
  <c r="K24" i="32"/>
  <c r="J24" i="32"/>
  <c r="C24" i="32"/>
  <c r="E31" i="32" s="1"/>
  <c r="G31" i="32" s="1"/>
  <c r="K22" i="32"/>
  <c r="M22" i="32" s="1"/>
  <c r="J22" i="32"/>
  <c r="E22" i="32"/>
  <c r="G22" i="32" s="1"/>
  <c r="M21" i="32"/>
  <c r="L21" i="32"/>
  <c r="K21" i="32"/>
  <c r="J21" i="32"/>
  <c r="M20" i="32"/>
  <c r="L20" i="32"/>
  <c r="K20" i="32"/>
  <c r="J20" i="32"/>
  <c r="M19" i="32"/>
  <c r="L19" i="32"/>
  <c r="K19" i="32"/>
  <c r="J19" i="32"/>
  <c r="C19" i="32"/>
  <c r="E20" i="32" s="1"/>
  <c r="G20" i="32" s="1"/>
  <c r="M17" i="32"/>
  <c r="K17" i="32"/>
  <c r="L17" i="32" s="1"/>
  <c r="J17" i="32"/>
  <c r="M16" i="32"/>
  <c r="L16" i="32"/>
  <c r="K16" i="32"/>
  <c r="J16" i="32"/>
  <c r="M15" i="32"/>
  <c r="L15" i="32"/>
  <c r="K15" i="32"/>
  <c r="J15" i="32"/>
  <c r="W14" i="32"/>
  <c r="Y13" i="32" s="1"/>
  <c r="M14" i="32"/>
  <c r="L14" i="32"/>
  <c r="K14" i="32"/>
  <c r="J14" i="32"/>
  <c r="X13" i="32"/>
  <c r="W13" i="32"/>
  <c r="K13" i="32"/>
  <c r="L13" i="32" s="1"/>
  <c r="J13" i="32"/>
  <c r="K12" i="32"/>
  <c r="M12" i="32" s="1"/>
  <c r="J12" i="32"/>
  <c r="W11" i="32"/>
  <c r="X12" i="32" s="1"/>
  <c r="M11" i="32"/>
  <c r="L11" i="32"/>
  <c r="K11" i="32"/>
  <c r="J11" i="32"/>
  <c r="C11" i="32"/>
  <c r="E12" i="32" s="1"/>
  <c r="G12" i="32" s="1"/>
  <c r="M5" i="32"/>
  <c r="C71" i="32" s="1"/>
  <c r="E71" i="32" s="1"/>
  <c r="G71" i="32" s="1"/>
  <c r="N98" i="52" l="1"/>
  <c r="O98" i="52"/>
  <c r="O36" i="52"/>
  <c r="P36" i="52" s="1"/>
  <c r="N36" i="52"/>
  <c r="E96" i="52"/>
  <c r="G96" i="52" s="1"/>
  <c r="E95" i="52"/>
  <c r="G95" i="52" s="1"/>
  <c r="E94" i="52"/>
  <c r="G94" i="52" s="1"/>
  <c r="O68" i="52"/>
  <c r="N68" i="52"/>
  <c r="N67" i="52" s="1"/>
  <c r="O13" i="52"/>
  <c r="P13" i="52" s="1"/>
  <c r="N13" i="52"/>
  <c r="O44" i="52"/>
  <c r="N44" i="52"/>
  <c r="N43" i="52" s="1"/>
  <c r="N75" i="52"/>
  <c r="N74" i="52" s="1"/>
  <c r="O75" i="52"/>
  <c r="O71" i="52"/>
  <c r="N71" i="52"/>
  <c r="N70" i="52" s="1"/>
  <c r="O41" i="52"/>
  <c r="N41" i="52"/>
  <c r="N40" i="52" s="1"/>
  <c r="N78" i="52"/>
  <c r="N77" i="52" s="1"/>
  <c r="N76" i="52" s="1"/>
  <c r="O78" i="52"/>
  <c r="E85" i="52"/>
  <c r="G85" i="52" s="1"/>
  <c r="E11" i="52"/>
  <c r="W12" i="52"/>
  <c r="X14" i="52" s="1"/>
  <c r="Y14" i="52" s="1"/>
  <c r="C15" i="52"/>
  <c r="E15" i="52" s="1"/>
  <c r="E19" i="52"/>
  <c r="G19" i="52" s="1"/>
  <c r="L26" i="52"/>
  <c r="G28" i="52"/>
  <c r="O24" i="52" s="1"/>
  <c r="L29" i="52"/>
  <c r="C33" i="52"/>
  <c r="E33" i="52" s="1"/>
  <c r="G33" i="52" s="1"/>
  <c r="L38" i="52"/>
  <c r="E48" i="52"/>
  <c r="G48" i="52" s="1"/>
  <c r="E53" i="52"/>
  <c r="G53" i="52" s="1"/>
  <c r="L66" i="52"/>
  <c r="E81" i="52"/>
  <c r="G81" i="52" s="1"/>
  <c r="E83" i="52"/>
  <c r="G83" i="52" s="1"/>
  <c r="C87" i="52"/>
  <c r="L90" i="52"/>
  <c r="E20" i="52"/>
  <c r="G20" i="52" s="1"/>
  <c r="E54" i="52"/>
  <c r="G54" i="52" s="1"/>
  <c r="E82" i="52"/>
  <c r="G82" i="52" s="1"/>
  <c r="C99" i="52"/>
  <c r="E99" i="52" s="1"/>
  <c r="G99" i="52" s="1"/>
  <c r="E55" i="52"/>
  <c r="G55" i="52" s="1"/>
  <c r="E12" i="52"/>
  <c r="G12" i="52" s="1"/>
  <c r="G30" i="52"/>
  <c r="C34" i="52"/>
  <c r="E34" i="52" s="1"/>
  <c r="G34" i="52" s="1"/>
  <c r="C51" i="52"/>
  <c r="E51" i="52" s="1"/>
  <c r="G51" i="52" s="1"/>
  <c r="C73" i="52"/>
  <c r="E73" i="52" s="1"/>
  <c r="G73" i="52" s="1"/>
  <c r="E57" i="52"/>
  <c r="C100" i="52"/>
  <c r="E100" i="52" s="1"/>
  <c r="E21" i="52"/>
  <c r="G21" i="52" s="1"/>
  <c r="L11" i="52"/>
  <c r="L19" i="52"/>
  <c r="C35" i="52"/>
  <c r="E35" i="52" s="1"/>
  <c r="G35" i="52" s="1"/>
  <c r="E38" i="52"/>
  <c r="G38" i="52" s="1"/>
  <c r="L42" i="52"/>
  <c r="L48" i="52"/>
  <c r="L53" i="52"/>
  <c r="L58" i="52"/>
  <c r="C61" i="52"/>
  <c r="L75" i="52"/>
  <c r="L81" i="52"/>
  <c r="L83" i="52"/>
  <c r="L95" i="52"/>
  <c r="E96" i="51"/>
  <c r="G96" i="51" s="1"/>
  <c r="E95" i="51"/>
  <c r="G95" i="51" s="1"/>
  <c r="E94" i="51"/>
  <c r="G94" i="51" s="1"/>
  <c r="C24" i="51"/>
  <c r="C36" i="51"/>
  <c r="E36" i="51" s="1"/>
  <c r="G36" i="51" s="1"/>
  <c r="C41" i="51"/>
  <c r="C11" i="51"/>
  <c r="Y14" i="51"/>
  <c r="C19" i="51"/>
  <c r="C48" i="51"/>
  <c r="C53" i="51"/>
  <c r="C75" i="51"/>
  <c r="E75" i="51" s="1"/>
  <c r="G75" i="51" s="1"/>
  <c r="C78" i="51"/>
  <c r="E78" i="51" s="1"/>
  <c r="G78" i="51" s="1"/>
  <c r="C81" i="51"/>
  <c r="C83" i="51"/>
  <c r="C98" i="51"/>
  <c r="E98" i="51" s="1"/>
  <c r="G98" i="51" s="1"/>
  <c r="C87" i="51"/>
  <c r="X12" i="51"/>
  <c r="L22" i="51"/>
  <c r="L35" i="51"/>
  <c r="L39" i="51"/>
  <c r="C44" i="51"/>
  <c r="L56" i="51"/>
  <c r="C99" i="51"/>
  <c r="E99" i="51" s="1"/>
  <c r="G99" i="51" s="1"/>
  <c r="C15" i="51"/>
  <c r="E15" i="51" s="1"/>
  <c r="C13" i="51"/>
  <c r="C51" i="51"/>
  <c r="E51" i="51" s="1"/>
  <c r="G51" i="51" s="1"/>
  <c r="C73" i="51"/>
  <c r="E73" i="51" s="1"/>
  <c r="G73" i="51" s="1"/>
  <c r="C33" i="51"/>
  <c r="E33" i="51" s="1"/>
  <c r="G33" i="51" s="1"/>
  <c r="L14" i="51"/>
  <c r="L21" i="51"/>
  <c r="L24" i="51"/>
  <c r="L25" i="51"/>
  <c r="L28" i="51"/>
  <c r="L31" i="51"/>
  <c r="L36" i="51"/>
  <c r="C38" i="51"/>
  <c r="L41" i="51"/>
  <c r="L55" i="51"/>
  <c r="L65" i="51"/>
  <c r="L85" i="51"/>
  <c r="L89" i="51"/>
  <c r="L94" i="51"/>
  <c r="C100" i="51"/>
  <c r="E100" i="51" s="1"/>
  <c r="L11" i="51"/>
  <c r="L19" i="51"/>
  <c r="C35" i="51"/>
  <c r="E35" i="51" s="1"/>
  <c r="G35" i="51" s="1"/>
  <c r="L42" i="51"/>
  <c r="L48" i="51"/>
  <c r="L53" i="51"/>
  <c r="L58" i="51"/>
  <c r="C61" i="51"/>
  <c r="C34" i="51"/>
  <c r="E34" i="51" s="1"/>
  <c r="G34" i="51" s="1"/>
  <c r="C68" i="51"/>
  <c r="E68" i="51" s="1"/>
  <c r="G68" i="51" s="1"/>
  <c r="C71" i="51"/>
  <c r="E71" i="51" s="1"/>
  <c r="G71" i="51" s="1"/>
  <c r="O78" i="32"/>
  <c r="N78" i="32"/>
  <c r="N77" i="32" s="1"/>
  <c r="N76" i="32" s="1"/>
  <c r="O98" i="32"/>
  <c r="N98" i="32"/>
  <c r="O36" i="32"/>
  <c r="P36" i="32" s="1"/>
  <c r="N36" i="32"/>
  <c r="O71" i="32"/>
  <c r="N71" i="32"/>
  <c r="N70" i="32" s="1"/>
  <c r="O75" i="32"/>
  <c r="N75" i="32"/>
  <c r="N74" i="32" s="1"/>
  <c r="L12" i="32"/>
  <c r="E21" i="32"/>
  <c r="G21" i="32" s="1"/>
  <c r="E41" i="32"/>
  <c r="G41" i="32" s="1"/>
  <c r="E11" i="32"/>
  <c r="W12" i="32"/>
  <c r="X14" i="32" s="1"/>
  <c r="Y14" i="32" s="1"/>
  <c r="M13" i="32"/>
  <c r="F14" i="19" s="1"/>
  <c r="C15" i="32"/>
  <c r="E15" i="32" s="1"/>
  <c r="E19" i="32"/>
  <c r="G19" i="32" s="1"/>
  <c r="L26" i="32"/>
  <c r="C33" i="32"/>
  <c r="E33" i="32" s="1"/>
  <c r="G33" i="32" s="1"/>
  <c r="M34" i="32"/>
  <c r="L38" i="32"/>
  <c r="M45" i="32"/>
  <c r="E48" i="32"/>
  <c r="G48" i="32" s="1"/>
  <c r="M51" i="32"/>
  <c r="E53" i="32"/>
  <c r="G53" i="32" s="1"/>
  <c r="M57" i="32"/>
  <c r="L66" i="32"/>
  <c r="E81" i="32"/>
  <c r="G81" i="32" s="1"/>
  <c r="E83" i="32"/>
  <c r="G83" i="32" s="1"/>
  <c r="C87" i="32"/>
  <c r="E95" i="32"/>
  <c r="G95" i="32" s="1"/>
  <c r="E24" i="32"/>
  <c r="G24" i="32" s="1"/>
  <c r="E28" i="32"/>
  <c r="L22" i="32"/>
  <c r="L35" i="32"/>
  <c r="L39" i="32"/>
  <c r="C44" i="32"/>
  <c r="E54" i="32"/>
  <c r="G54" i="32" s="1"/>
  <c r="L56" i="32"/>
  <c r="E82" i="32"/>
  <c r="G82" i="32" s="1"/>
  <c r="E84" i="32"/>
  <c r="G84" i="32" s="1"/>
  <c r="C99" i="32"/>
  <c r="E99" i="32" s="1"/>
  <c r="G99" i="32" s="1"/>
  <c r="C13" i="32"/>
  <c r="C34" i="32"/>
  <c r="E34" i="32" s="1"/>
  <c r="G34" i="32" s="1"/>
  <c r="C51" i="32"/>
  <c r="E51" i="32" s="1"/>
  <c r="G51" i="32" s="1"/>
  <c r="C73" i="32"/>
  <c r="E73" i="32" s="1"/>
  <c r="G73" i="32" s="1"/>
  <c r="E55" i="32"/>
  <c r="G55" i="32" s="1"/>
  <c r="E94" i="32"/>
  <c r="G94" i="32" s="1"/>
  <c r="C38" i="32"/>
  <c r="E57" i="32"/>
  <c r="L89" i="32"/>
  <c r="L94" i="32"/>
  <c r="C100" i="32"/>
  <c r="E100" i="32" s="1"/>
  <c r="C35" i="32"/>
  <c r="E35" i="32" s="1"/>
  <c r="G35" i="32" s="1"/>
  <c r="L48" i="32"/>
  <c r="L53" i="32"/>
  <c r="L58" i="32"/>
  <c r="C61" i="32"/>
  <c r="C68" i="32"/>
  <c r="E68" i="32" s="1"/>
  <c r="G68" i="32" s="1"/>
  <c r="F97" i="19"/>
  <c r="F57" i="19"/>
  <c r="F46" i="19"/>
  <c r="F55" i="19"/>
  <c r="F23" i="19"/>
  <c r="F13" i="19"/>
  <c r="F88" i="19"/>
  <c r="F102" i="19"/>
  <c r="F101" i="19"/>
  <c r="F100" i="19"/>
  <c r="F99" i="19"/>
  <c r="F96" i="19"/>
  <c r="F95" i="19"/>
  <c r="F92" i="19"/>
  <c r="F91" i="19"/>
  <c r="F90" i="19"/>
  <c r="F89" i="19"/>
  <c r="F86" i="19"/>
  <c r="F85" i="19"/>
  <c r="F84" i="19"/>
  <c r="F83" i="19"/>
  <c r="F82" i="19"/>
  <c r="F79" i="19"/>
  <c r="F76" i="19"/>
  <c r="F74" i="19"/>
  <c r="F72" i="19"/>
  <c r="F69" i="19"/>
  <c r="F67" i="19"/>
  <c r="F66" i="19"/>
  <c r="F65" i="19"/>
  <c r="F64" i="19"/>
  <c r="F63" i="19"/>
  <c r="F62" i="19"/>
  <c r="F59" i="19"/>
  <c r="F58" i="19"/>
  <c r="F56" i="19"/>
  <c r="F54" i="19"/>
  <c r="F50" i="19"/>
  <c r="F49" i="19"/>
  <c r="F45" i="19"/>
  <c r="F43" i="19"/>
  <c r="F42" i="19"/>
  <c r="F40" i="19"/>
  <c r="F39" i="19"/>
  <c r="F37" i="19"/>
  <c r="F36" i="19"/>
  <c r="F35" i="19"/>
  <c r="F34" i="19"/>
  <c r="F32" i="19"/>
  <c r="F31" i="19"/>
  <c r="F30" i="19"/>
  <c r="F29" i="19"/>
  <c r="F28" i="19"/>
  <c r="F27" i="19"/>
  <c r="F26" i="19"/>
  <c r="F25" i="19"/>
  <c r="F22" i="19"/>
  <c r="F20" i="19"/>
  <c r="F18" i="19"/>
  <c r="F17" i="19"/>
  <c r="F16" i="19"/>
  <c r="F15" i="19"/>
  <c r="F12" i="19"/>
  <c r="O23" i="52" l="1"/>
  <c r="P23" i="52" s="1"/>
  <c r="P24" i="52"/>
  <c r="O38" i="52"/>
  <c r="N38" i="52"/>
  <c r="N37" i="52" s="1"/>
  <c r="O51" i="52"/>
  <c r="N51" i="52"/>
  <c r="N50" i="52" s="1"/>
  <c r="G11" i="52"/>
  <c r="N24" i="52"/>
  <c r="N23" i="52" s="1"/>
  <c r="E91" i="52"/>
  <c r="G91" i="52" s="1"/>
  <c r="E88" i="52"/>
  <c r="E87" i="52"/>
  <c r="G87" i="52" s="1"/>
  <c r="O77" i="52"/>
  <c r="P78" i="52"/>
  <c r="O74" i="52"/>
  <c r="P74" i="52" s="1"/>
  <c r="P75" i="52"/>
  <c r="O94" i="52"/>
  <c r="N94" i="52"/>
  <c r="N93" i="52" s="1"/>
  <c r="N48" i="52"/>
  <c r="N47" i="52" s="1"/>
  <c r="O48" i="52"/>
  <c r="P98" i="52"/>
  <c r="G101" i="52"/>
  <c r="G100" i="52"/>
  <c r="O99" i="52"/>
  <c r="P99" i="52" s="1"/>
  <c r="N99" i="52"/>
  <c r="N19" i="52"/>
  <c r="N18" i="52" s="1"/>
  <c r="O19" i="52"/>
  <c r="O40" i="52"/>
  <c r="P40" i="52" s="1"/>
  <c r="P41" i="52"/>
  <c r="P44" i="52"/>
  <c r="O43" i="52"/>
  <c r="P43" i="52" s="1"/>
  <c r="P71" i="52"/>
  <c r="O70" i="52"/>
  <c r="E62" i="52"/>
  <c r="G62" i="52" s="1"/>
  <c r="E61" i="52"/>
  <c r="G61" i="52" s="1"/>
  <c r="E63" i="52"/>
  <c r="G63" i="52" s="1"/>
  <c r="E64" i="52"/>
  <c r="N83" i="52"/>
  <c r="O83" i="52"/>
  <c r="P83" i="52" s="1"/>
  <c r="N81" i="52"/>
  <c r="O81" i="52"/>
  <c r="G57" i="52"/>
  <c r="N53" i="52" s="1"/>
  <c r="N52" i="52" s="1"/>
  <c r="G58" i="52"/>
  <c r="O53" i="52" s="1"/>
  <c r="G16" i="52"/>
  <c r="G15" i="52"/>
  <c r="G17" i="52"/>
  <c r="O73" i="52"/>
  <c r="N73" i="52"/>
  <c r="N72" i="52" s="1"/>
  <c r="N69" i="52" s="1"/>
  <c r="O35" i="52"/>
  <c r="P35" i="52" s="1"/>
  <c r="N35" i="52"/>
  <c r="O34" i="52"/>
  <c r="P34" i="52" s="1"/>
  <c r="G35" i="19" s="1"/>
  <c r="N34" i="52"/>
  <c r="O33" i="52"/>
  <c r="N33" i="52"/>
  <c r="P68" i="52"/>
  <c r="O67" i="52"/>
  <c r="P67" i="52" s="1"/>
  <c r="C102" i="52"/>
  <c r="O71" i="51"/>
  <c r="N71" i="51"/>
  <c r="N70" i="51" s="1"/>
  <c r="O99" i="51"/>
  <c r="P99" i="51" s="1"/>
  <c r="N99" i="51"/>
  <c r="N98" i="51"/>
  <c r="O98" i="51"/>
  <c r="E42" i="51"/>
  <c r="G42" i="51" s="1"/>
  <c r="E41" i="51"/>
  <c r="G41" i="51" s="1"/>
  <c r="O34" i="51"/>
  <c r="P34" i="51" s="1"/>
  <c r="N34" i="51"/>
  <c r="E39" i="51"/>
  <c r="G39" i="51" s="1"/>
  <c r="E38" i="51"/>
  <c r="G38" i="51" s="1"/>
  <c r="O33" i="51"/>
  <c r="N33" i="51"/>
  <c r="N78" i="51"/>
  <c r="N77" i="51" s="1"/>
  <c r="N76" i="51" s="1"/>
  <c r="O78" i="51"/>
  <c r="O36" i="51"/>
  <c r="P36" i="51" s="1"/>
  <c r="N36" i="51"/>
  <c r="E11" i="51"/>
  <c r="E12" i="51"/>
  <c r="G12" i="51" s="1"/>
  <c r="C102" i="51"/>
  <c r="O68" i="51"/>
  <c r="N68" i="51"/>
  <c r="N67" i="51" s="1"/>
  <c r="E84" i="51"/>
  <c r="G84" i="51" s="1"/>
  <c r="E82" i="51"/>
  <c r="G82" i="51" s="1"/>
  <c r="E83" i="51"/>
  <c r="G83" i="51" s="1"/>
  <c r="E81" i="51"/>
  <c r="G81" i="51" s="1"/>
  <c r="E85" i="51"/>
  <c r="G85" i="51" s="1"/>
  <c r="E62" i="51"/>
  <c r="G62" i="51" s="1"/>
  <c r="E61" i="51"/>
  <c r="G61" i="51" s="1"/>
  <c r="E63" i="51"/>
  <c r="G63" i="51" s="1"/>
  <c r="E64" i="51"/>
  <c r="G101" i="51"/>
  <c r="G100" i="51"/>
  <c r="O73" i="51"/>
  <c r="N73" i="51"/>
  <c r="N72" i="51" s="1"/>
  <c r="N75" i="51"/>
  <c r="N74" i="51" s="1"/>
  <c r="O75" i="51"/>
  <c r="E31" i="51"/>
  <c r="G31" i="51" s="1"/>
  <c r="E28" i="51"/>
  <c r="E24" i="51"/>
  <c r="G24" i="51" s="1"/>
  <c r="O51" i="51"/>
  <c r="N51" i="51"/>
  <c r="N50" i="51" s="1"/>
  <c r="E56" i="51"/>
  <c r="G56" i="51" s="1"/>
  <c r="E57" i="51"/>
  <c r="E54" i="51"/>
  <c r="G54" i="51" s="1"/>
  <c r="E53" i="51"/>
  <c r="G53" i="51" s="1"/>
  <c r="E55" i="51"/>
  <c r="G55" i="51" s="1"/>
  <c r="O94" i="51"/>
  <c r="N94" i="51"/>
  <c r="N93" i="51" s="1"/>
  <c r="O35" i="51"/>
  <c r="P35" i="51" s="1"/>
  <c r="N35" i="51"/>
  <c r="E45" i="51"/>
  <c r="G45" i="51" s="1"/>
  <c r="E44" i="51"/>
  <c r="G44" i="51" s="1"/>
  <c r="E13" i="51"/>
  <c r="G13" i="51" s="1"/>
  <c r="E14" i="51"/>
  <c r="G14" i="51" s="1"/>
  <c r="E48" i="51"/>
  <c r="G48" i="51" s="1"/>
  <c r="E49" i="51"/>
  <c r="G49" i="51" s="1"/>
  <c r="G16" i="51"/>
  <c r="G15" i="51"/>
  <c r="G17" i="51"/>
  <c r="E91" i="51"/>
  <c r="G91" i="51" s="1"/>
  <c r="E88" i="51"/>
  <c r="E87" i="51"/>
  <c r="G87" i="51" s="1"/>
  <c r="E22" i="51"/>
  <c r="G22" i="51" s="1"/>
  <c r="E19" i="51"/>
  <c r="G19" i="51" s="1"/>
  <c r="E20" i="51"/>
  <c r="G20" i="51" s="1"/>
  <c r="E21" i="51"/>
  <c r="G21" i="51" s="1"/>
  <c r="O35" i="32"/>
  <c r="P35" i="32" s="1"/>
  <c r="N35" i="32"/>
  <c r="O70" i="32"/>
  <c r="P71" i="32"/>
  <c r="O73" i="32"/>
  <c r="N73" i="32"/>
  <c r="N72" i="32" s="1"/>
  <c r="E91" i="32"/>
  <c r="G91" i="32" s="1"/>
  <c r="E88" i="32"/>
  <c r="E87" i="32"/>
  <c r="G87" i="32" s="1"/>
  <c r="O34" i="32"/>
  <c r="P34" i="32" s="1"/>
  <c r="N34" i="32"/>
  <c r="E45" i="32"/>
  <c r="G45" i="32" s="1"/>
  <c r="E44" i="32"/>
  <c r="G44" i="32" s="1"/>
  <c r="O83" i="32"/>
  <c r="P83" i="32" s="1"/>
  <c r="N83" i="32"/>
  <c r="G11" i="32"/>
  <c r="O68" i="32"/>
  <c r="N68" i="32"/>
  <c r="N67" i="32" s="1"/>
  <c r="E13" i="32"/>
  <c r="G13" i="32" s="1"/>
  <c r="E14" i="32"/>
  <c r="G14" i="32" s="1"/>
  <c r="O81" i="32"/>
  <c r="N81" i="32"/>
  <c r="N80" i="32" s="1"/>
  <c r="O41" i="32"/>
  <c r="N41" i="32"/>
  <c r="N40" i="32" s="1"/>
  <c r="O48" i="32"/>
  <c r="N48" i="32"/>
  <c r="N47" i="32" s="1"/>
  <c r="O51" i="32"/>
  <c r="N51" i="32"/>
  <c r="N50" i="32" s="1"/>
  <c r="E61" i="32"/>
  <c r="G61" i="32" s="1"/>
  <c r="E63" i="32"/>
  <c r="G63" i="32" s="1"/>
  <c r="E64" i="32"/>
  <c r="E62" i="32"/>
  <c r="G62" i="32" s="1"/>
  <c r="G57" i="32"/>
  <c r="G58" i="32"/>
  <c r="C102" i="32"/>
  <c r="N33" i="32"/>
  <c r="N32" i="32" s="1"/>
  <c r="O33" i="32"/>
  <c r="E38" i="32"/>
  <c r="G38" i="32" s="1"/>
  <c r="E39" i="32"/>
  <c r="G39" i="32" s="1"/>
  <c r="O99" i="32"/>
  <c r="P99" i="32" s="1"/>
  <c r="N99" i="32"/>
  <c r="P98" i="32"/>
  <c r="N69" i="32"/>
  <c r="G100" i="32"/>
  <c r="G101" i="32"/>
  <c r="N94" i="32"/>
  <c r="N93" i="32" s="1"/>
  <c r="O94" i="32"/>
  <c r="G29" i="32"/>
  <c r="G30" i="32"/>
  <c r="G28" i="32"/>
  <c r="N24" i="32" s="1"/>
  <c r="N23" i="32" s="1"/>
  <c r="O53" i="32"/>
  <c r="N53" i="32"/>
  <c r="N52" i="32" s="1"/>
  <c r="O19" i="32"/>
  <c r="N19" i="32"/>
  <c r="N18" i="32" s="1"/>
  <c r="O24" i="32"/>
  <c r="G17" i="32"/>
  <c r="G16" i="32"/>
  <c r="G15" i="32"/>
  <c r="O74" i="32"/>
  <c r="P74" i="32" s="1"/>
  <c r="P75" i="32"/>
  <c r="O77" i="32"/>
  <c r="P78" i="32"/>
  <c r="G37" i="19"/>
  <c r="F52" i="19"/>
  <c r="F21" i="19"/>
  <c r="G100" i="19"/>
  <c r="G36" i="19"/>
  <c r="O52" i="52" l="1"/>
  <c r="P52" i="52" s="1"/>
  <c r="P53" i="52"/>
  <c r="N11" i="52"/>
  <c r="N10" i="52" s="1"/>
  <c r="O11" i="52"/>
  <c r="G66" i="52"/>
  <c r="G64" i="52"/>
  <c r="G102" i="52" s="1"/>
  <c r="G65" i="52"/>
  <c r="E102" i="52"/>
  <c r="P77" i="52"/>
  <c r="O76" i="52"/>
  <c r="P76" i="52" s="1"/>
  <c r="P51" i="52"/>
  <c r="O50" i="52"/>
  <c r="P50" i="52" s="1"/>
  <c r="P73" i="52"/>
  <c r="O72" i="52"/>
  <c r="P72" i="52" s="1"/>
  <c r="N46" i="52"/>
  <c r="G90" i="52"/>
  <c r="G88" i="52"/>
  <c r="O87" i="52" s="1"/>
  <c r="G89" i="52"/>
  <c r="N32" i="52"/>
  <c r="P70" i="52"/>
  <c r="O69" i="52"/>
  <c r="P69" i="52" s="1"/>
  <c r="P38" i="52"/>
  <c r="O37" i="52"/>
  <c r="P37" i="52" s="1"/>
  <c r="O47" i="52"/>
  <c r="P48" i="52"/>
  <c r="N87" i="52"/>
  <c r="N86" i="52" s="1"/>
  <c r="O80" i="52"/>
  <c r="P81" i="52"/>
  <c r="O32" i="52"/>
  <c r="P32" i="52" s="1"/>
  <c r="G33" i="19" s="1"/>
  <c r="P33" i="52"/>
  <c r="N80" i="52"/>
  <c r="O93" i="52"/>
  <c r="P94" i="52"/>
  <c r="O18" i="52"/>
  <c r="P18" i="52" s="1"/>
  <c r="P19" i="52"/>
  <c r="N15" i="52"/>
  <c r="O15" i="52"/>
  <c r="P15" i="52" s="1"/>
  <c r="O100" i="52"/>
  <c r="P100" i="52" s="1"/>
  <c r="N100" i="52"/>
  <c r="N97" i="52" s="1"/>
  <c r="N92" i="52" s="1"/>
  <c r="O77" i="51"/>
  <c r="P78" i="51"/>
  <c r="G90" i="51"/>
  <c r="G88" i="51"/>
  <c r="G89" i="51"/>
  <c r="O44" i="51"/>
  <c r="N44" i="51"/>
  <c r="N43" i="51" s="1"/>
  <c r="O74" i="51"/>
  <c r="P74" i="51" s="1"/>
  <c r="G75" i="19" s="1"/>
  <c r="P75" i="51"/>
  <c r="P68" i="51"/>
  <c r="O67" i="51"/>
  <c r="P67" i="51" s="1"/>
  <c r="N32" i="51"/>
  <c r="O97" i="51"/>
  <c r="P97" i="51" s="1"/>
  <c r="P98" i="51"/>
  <c r="G99" i="19" s="1"/>
  <c r="O32" i="51"/>
  <c r="P32" i="51" s="1"/>
  <c r="P33" i="51"/>
  <c r="G66" i="51"/>
  <c r="G64" i="51"/>
  <c r="O61" i="51" s="1"/>
  <c r="G65" i="51"/>
  <c r="G57" i="51"/>
  <c r="N53" i="51" s="1"/>
  <c r="N52" i="51" s="1"/>
  <c r="G58" i="51"/>
  <c r="O53" i="51" s="1"/>
  <c r="N15" i="51"/>
  <c r="O15" i="51"/>
  <c r="P15" i="51" s="1"/>
  <c r="O38" i="51"/>
  <c r="N38" i="51"/>
  <c r="N37" i="51" s="1"/>
  <c r="O87" i="51"/>
  <c r="N87" i="51"/>
  <c r="N86" i="51" s="1"/>
  <c r="O41" i="51"/>
  <c r="N41" i="51"/>
  <c r="N40" i="51" s="1"/>
  <c r="P73" i="51"/>
  <c r="O72" i="51"/>
  <c r="P72" i="51" s="1"/>
  <c r="N81" i="51"/>
  <c r="N80" i="51" s="1"/>
  <c r="O81" i="51"/>
  <c r="E102" i="51"/>
  <c r="G11" i="51"/>
  <c r="G29" i="51"/>
  <c r="G30" i="51"/>
  <c r="G28" i="51"/>
  <c r="N19" i="51"/>
  <c r="N18" i="51" s="1"/>
  <c r="O19" i="51"/>
  <c r="O50" i="51"/>
  <c r="P50" i="51" s="1"/>
  <c r="G51" i="19" s="1"/>
  <c r="P51" i="51"/>
  <c r="G52" i="19" s="1"/>
  <c r="O100" i="51"/>
  <c r="P100" i="51" s="1"/>
  <c r="N100" i="51"/>
  <c r="N97" i="51" s="1"/>
  <c r="N92" i="51" s="1"/>
  <c r="N83" i="51"/>
  <c r="O83" i="51"/>
  <c r="P83" i="51" s="1"/>
  <c r="G84" i="19" s="1"/>
  <c r="N69" i="51"/>
  <c r="O13" i="51"/>
  <c r="P13" i="51" s="1"/>
  <c r="N13" i="51"/>
  <c r="N48" i="51"/>
  <c r="N47" i="51" s="1"/>
  <c r="O48" i="51"/>
  <c r="O93" i="51"/>
  <c r="P94" i="51"/>
  <c r="N24" i="51"/>
  <c r="N23" i="51" s="1"/>
  <c r="O24" i="51"/>
  <c r="O70" i="51"/>
  <c r="P71" i="51"/>
  <c r="G72" i="19" s="1"/>
  <c r="G66" i="32"/>
  <c r="G64" i="32"/>
  <c r="G65" i="32"/>
  <c r="O100" i="32"/>
  <c r="P100" i="32" s="1"/>
  <c r="N100" i="32"/>
  <c r="N97" i="32" s="1"/>
  <c r="O52" i="32"/>
  <c r="P52" i="32" s="1"/>
  <c r="P53" i="32"/>
  <c r="O80" i="32"/>
  <c r="P81" i="32"/>
  <c r="O40" i="32"/>
  <c r="P40" i="32" s="1"/>
  <c r="P41" i="32"/>
  <c r="P33" i="32"/>
  <c r="O32" i="32"/>
  <c r="P32" i="32" s="1"/>
  <c r="O44" i="32"/>
  <c r="N44" i="32"/>
  <c r="N43" i="32" s="1"/>
  <c r="P73" i="32"/>
  <c r="O72" i="32"/>
  <c r="P72" i="32" s="1"/>
  <c r="O38" i="32"/>
  <c r="N38" i="32"/>
  <c r="N37" i="32" s="1"/>
  <c r="G90" i="32"/>
  <c r="G88" i="32"/>
  <c r="G89" i="32"/>
  <c r="O61" i="32"/>
  <c r="N61" i="32"/>
  <c r="N60" i="32" s="1"/>
  <c r="N59" i="32" s="1"/>
  <c r="P51" i="32"/>
  <c r="O50" i="32"/>
  <c r="P50" i="32" s="1"/>
  <c r="O13" i="32"/>
  <c r="P13" i="32" s="1"/>
  <c r="N13" i="32"/>
  <c r="O18" i="32"/>
  <c r="P18" i="32" s="1"/>
  <c r="P19" i="32"/>
  <c r="E102" i="32"/>
  <c r="N15" i="32"/>
  <c r="O15" i="32"/>
  <c r="P15" i="32" s="1"/>
  <c r="G16" i="19" s="1"/>
  <c r="N46" i="32"/>
  <c r="P70" i="32"/>
  <c r="O69" i="32"/>
  <c r="P69" i="32" s="1"/>
  <c r="O23" i="32"/>
  <c r="P23" i="32" s="1"/>
  <c r="P24" i="32"/>
  <c r="O93" i="32"/>
  <c r="P94" i="32"/>
  <c r="O47" i="32"/>
  <c r="P48" i="32"/>
  <c r="O67" i="32"/>
  <c r="P67" i="32" s="1"/>
  <c r="P68" i="32"/>
  <c r="O76" i="32"/>
  <c r="P76" i="32" s="1"/>
  <c r="P77" i="32"/>
  <c r="N92" i="32"/>
  <c r="G102" i="32"/>
  <c r="O11" i="32"/>
  <c r="N11" i="32"/>
  <c r="N10" i="32" s="1"/>
  <c r="N87" i="32"/>
  <c r="N86" i="32" s="1"/>
  <c r="N79" i="32" s="1"/>
  <c r="O87" i="32"/>
  <c r="G69" i="19"/>
  <c r="G76" i="19"/>
  <c r="G79" i="19"/>
  <c r="G68" i="19"/>
  <c r="G74" i="19"/>
  <c r="G14" i="19"/>
  <c r="G34" i="19"/>
  <c r="G73" i="19"/>
  <c r="O86" i="52" l="1"/>
  <c r="P86" i="52" s="1"/>
  <c r="P87" i="52"/>
  <c r="N61" i="52"/>
  <c r="N60" i="52" s="1"/>
  <c r="N59" i="52" s="1"/>
  <c r="N79" i="52"/>
  <c r="P47" i="52"/>
  <c r="O46" i="52"/>
  <c r="P46" i="52" s="1"/>
  <c r="O61" i="52"/>
  <c r="O10" i="52"/>
  <c r="P11" i="52"/>
  <c r="P93" i="52"/>
  <c r="N9" i="52"/>
  <c r="O97" i="52"/>
  <c r="P97" i="52" s="1"/>
  <c r="P80" i="52"/>
  <c r="O79" i="52"/>
  <c r="P79" i="52" s="1"/>
  <c r="O52" i="51"/>
  <c r="P52" i="51" s="1"/>
  <c r="P53" i="51"/>
  <c r="P61" i="51"/>
  <c r="O60" i="51"/>
  <c r="O86" i="51"/>
  <c r="P86" i="51" s="1"/>
  <c r="P87" i="51"/>
  <c r="P70" i="51"/>
  <c r="G71" i="19" s="1"/>
  <c r="O69" i="51"/>
  <c r="P69" i="51" s="1"/>
  <c r="O80" i="51"/>
  <c r="P81" i="51"/>
  <c r="P44" i="51"/>
  <c r="O43" i="51"/>
  <c r="P43" i="51" s="1"/>
  <c r="O23" i="51"/>
  <c r="P23" i="51" s="1"/>
  <c r="P24" i="51"/>
  <c r="O18" i="51"/>
  <c r="P18" i="51" s="1"/>
  <c r="G19" i="19" s="1"/>
  <c r="P19" i="51"/>
  <c r="G20" i="19" s="1"/>
  <c r="N79" i="51"/>
  <c r="P38" i="51"/>
  <c r="O37" i="51"/>
  <c r="P37" i="51" s="1"/>
  <c r="N61" i="51"/>
  <c r="N60" i="51" s="1"/>
  <c r="N59" i="51" s="1"/>
  <c r="N46" i="51"/>
  <c r="N11" i="51"/>
  <c r="N10" i="51" s="1"/>
  <c r="N9" i="51" s="1"/>
  <c r="N4" i="51" s="1"/>
  <c r="G102" i="51"/>
  <c r="O11" i="51"/>
  <c r="P93" i="51"/>
  <c r="O92" i="51"/>
  <c r="P92" i="51" s="1"/>
  <c r="O47" i="51"/>
  <c r="P48" i="51"/>
  <c r="O40" i="51"/>
  <c r="P40" i="51" s="1"/>
  <c r="G41" i="19" s="1"/>
  <c r="P41" i="51"/>
  <c r="G42" i="19" s="1"/>
  <c r="P77" i="51"/>
  <c r="G78" i="19" s="1"/>
  <c r="O76" i="51"/>
  <c r="P76" i="51" s="1"/>
  <c r="G77" i="19" s="1"/>
  <c r="P44" i="32"/>
  <c r="O43" i="32"/>
  <c r="P43" i="32" s="1"/>
  <c r="P61" i="32"/>
  <c r="O60" i="32"/>
  <c r="P87" i="32"/>
  <c r="O86" i="32"/>
  <c r="P86" i="32" s="1"/>
  <c r="N9" i="32"/>
  <c r="N4" i="32" s="1"/>
  <c r="P11" i="32"/>
  <c r="O10" i="32"/>
  <c r="O46" i="32"/>
  <c r="P46" i="32" s="1"/>
  <c r="P47" i="32"/>
  <c r="P38" i="32"/>
  <c r="O37" i="32"/>
  <c r="P37" i="32" s="1"/>
  <c r="G38" i="19" s="1"/>
  <c r="O97" i="32"/>
  <c r="P97" i="32" s="1"/>
  <c r="G98" i="19" s="1"/>
  <c r="P93" i="32"/>
  <c r="O92" i="32"/>
  <c r="P92" i="32" s="1"/>
  <c r="O79" i="32"/>
  <c r="P79" i="32" s="1"/>
  <c r="P80" i="32"/>
  <c r="G101" i="19"/>
  <c r="G95" i="19"/>
  <c r="G45" i="19"/>
  <c r="G44" i="19"/>
  <c r="G82" i="19"/>
  <c r="G49" i="19"/>
  <c r="G88" i="19"/>
  <c r="G70" i="19"/>
  <c r="G39" i="19"/>
  <c r="P61" i="52" l="1"/>
  <c r="G62" i="19" s="1"/>
  <c r="O60" i="52"/>
  <c r="P10" i="52"/>
  <c r="O9" i="52"/>
  <c r="N4" i="52"/>
  <c r="O92" i="52"/>
  <c r="P92" i="52" s="1"/>
  <c r="G93" i="19" s="1"/>
  <c r="O10" i="51"/>
  <c r="P11" i="51"/>
  <c r="P60" i="51"/>
  <c r="O59" i="51"/>
  <c r="P59" i="51" s="1"/>
  <c r="O46" i="51"/>
  <c r="P46" i="51" s="1"/>
  <c r="P47" i="51"/>
  <c r="P80" i="51"/>
  <c r="G81" i="19" s="1"/>
  <c r="O79" i="51"/>
  <c r="P79" i="51" s="1"/>
  <c r="G80" i="19" s="1"/>
  <c r="P60" i="32"/>
  <c r="O59" i="32"/>
  <c r="P59" i="32" s="1"/>
  <c r="P10" i="32"/>
  <c r="O9" i="32"/>
  <c r="G24" i="19"/>
  <c r="G25" i="19"/>
  <c r="G94" i="19"/>
  <c r="G53" i="19"/>
  <c r="G54" i="19"/>
  <c r="G87" i="19"/>
  <c r="G12" i="19"/>
  <c r="G48" i="19"/>
  <c r="P9" i="52" l="1"/>
  <c r="P60" i="52"/>
  <c r="G61" i="19" s="1"/>
  <c r="O59" i="52"/>
  <c r="P59" i="52" s="1"/>
  <c r="G60" i="19" s="1"/>
  <c r="O9" i="51"/>
  <c r="P10" i="51"/>
  <c r="P9" i="32"/>
  <c r="O4" i="32"/>
  <c r="P4" i="32" s="1"/>
  <c r="G11" i="19"/>
  <c r="G47" i="19"/>
  <c r="O4" i="52" l="1"/>
  <c r="P4" i="52" s="1"/>
  <c r="O4" i="51"/>
  <c r="P4" i="51" s="1"/>
  <c r="P9" i="51"/>
  <c r="G10" i="19"/>
  <c r="G6" i="19" l="1"/>
  <c r="F101" i="2"/>
  <c r="F100" i="2"/>
  <c r="F99" i="2"/>
  <c r="F98" i="2"/>
  <c r="E21" i="25" s="1"/>
  <c r="F95" i="2"/>
  <c r="F94" i="2"/>
  <c r="E20" i="25" s="1"/>
  <c r="F93" i="2"/>
  <c r="F84" i="2"/>
  <c r="F82" i="2"/>
  <c r="F81" i="2"/>
  <c r="F79" i="2"/>
  <c r="F78" i="2"/>
  <c r="F77" i="2"/>
  <c r="F76" i="2"/>
  <c r="F74" i="2"/>
  <c r="F73" i="2"/>
  <c r="F72" i="2"/>
  <c r="F71" i="2"/>
  <c r="F69" i="2"/>
  <c r="F68" i="2"/>
  <c r="F62" i="2"/>
  <c r="F61" i="2"/>
  <c r="F60" i="2"/>
  <c r="F54" i="2"/>
  <c r="F53" i="2"/>
  <c r="F49" i="2"/>
  <c r="F48" i="2"/>
  <c r="F45" i="2"/>
  <c r="F44" i="2"/>
  <c r="F42" i="2"/>
  <c r="F41" i="2"/>
  <c r="F39" i="2"/>
  <c r="F36" i="2"/>
  <c r="F37" i="2"/>
  <c r="F38" i="2"/>
  <c r="F35" i="2"/>
  <c r="F34" i="2"/>
  <c r="F33" i="2"/>
  <c r="F25" i="2"/>
  <c r="F24" i="2"/>
  <c r="F20" i="2"/>
  <c r="F19" i="2"/>
  <c r="F16" i="2"/>
  <c r="F14" i="2"/>
  <c r="F12" i="2"/>
  <c r="F11" i="2"/>
  <c r="E3" i="17" s="1"/>
  <c r="E2" i="25" s="1"/>
  <c r="F10" i="2"/>
  <c r="E2" i="17" s="1"/>
  <c r="B4" i="24" s="1"/>
  <c r="F75" i="2" l="1"/>
  <c r="F87" i="2" l="1"/>
  <c r="F88" i="2"/>
  <c r="F80" i="2" l="1"/>
  <c r="K15" i="19" l="1"/>
  <c r="K14" i="19"/>
  <c r="K12" i="19"/>
  <c r="L13" i="19" s="1"/>
  <c r="L14" i="19" l="1"/>
  <c r="M14" i="19"/>
  <c r="K13" i="19"/>
  <c r="L15" i="19" s="1"/>
  <c r="M15" i="19" s="1"/>
  <c r="E20" i="17" l="1"/>
  <c r="E16" i="25" s="1"/>
  <c r="J15" i="2"/>
  <c r="J14" i="2"/>
  <c r="J12" i="2"/>
  <c r="K14" i="2" s="1"/>
  <c r="J13" i="2" l="1"/>
  <c r="K15" i="2" s="1"/>
  <c r="L15" i="2" s="1"/>
  <c r="L14" i="2"/>
  <c r="K13" i="2"/>
  <c r="E11" i="17" l="1"/>
  <c r="E9" i="25" s="1"/>
  <c r="E8" i="17" l="1"/>
  <c r="E7" i="25" s="1"/>
  <c r="F51" i="2" l="1"/>
  <c r="F52" i="2"/>
  <c r="F47" i="2" l="1"/>
  <c r="E6" i="17" l="1"/>
  <c r="E5" i="25" s="1"/>
  <c r="E16" i="17" l="1"/>
  <c r="E13" i="25" s="1"/>
  <c r="E7" i="17"/>
  <c r="E6" i="25" s="1"/>
  <c r="E5" i="17"/>
  <c r="E4" i="25" s="1"/>
  <c r="E4" i="17" l="1"/>
  <c r="E3" i="25" s="1"/>
  <c r="E13" i="17" l="1"/>
  <c r="E11" i="25" s="1"/>
  <c r="E19" i="17" l="1"/>
  <c r="E15" i="25" s="1"/>
  <c r="E27" i="17" l="1"/>
  <c r="E22" i="25" s="1"/>
  <c r="E12" i="17"/>
  <c r="E10" i="25" s="1"/>
  <c r="E10" i="17" l="1"/>
  <c r="B5" i="24" s="1"/>
  <c r="E24" i="17" l="1"/>
  <c r="E18" i="25" s="1"/>
  <c r="E18" i="17" l="1"/>
  <c r="E14" i="25" s="1"/>
  <c r="F70" i="2" l="1"/>
  <c r="E17" i="17" s="1"/>
  <c r="B7" i="24" s="1"/>
  <c r="E14" i="17" l="1"/>
  <c r="B6" i="24" s="1"/>
  <c r="E25" i="17"/>
  <c r="E19" i="25" s="1"/>
  <c r="E23" i="17"/>
  <c r="B9" i="24" s="1"/>
  <c r="E28" i="17"/>
  <c r="E23" i="25" s="1"/>
  <c r="E26" i="17"/>
  <c r="B10" i="24" s="1"/>
  <c r="E15" i="17" l="1"/>
  <c r="E12" i="25" s="1"/>
  <c r="E9" i="17"/>
  <c r="E8" i="25" s="1"/>
  <c r="E22" i="17" l="1"/>
  <c r="E17" i="25" s="1"/>
  <c r="F6" i="2"/>
  <c r="E21" i="17"/>
  <c r="B8" i="2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User</author>
  </authors>
  <commentList>
    <comment ref="H11" authorId="0" shapeId="0" xr:uid="{97277431-9817-4A0D-A1B1-56C91C702712}">
      <text>
        <r>
          <rPr>
            <b/>
            <sz val="9"/>
            <color indexed="81"/>
            <rFont val="Tahoma"/>
            <family val="2"/>
          </rPr>
          <t>Windows User:</t>
        </r>
        <r>
          <rPr>
            <sz val="9"/>
            <color indexed="81"/>
            <rFont val="Tahoma"/>
            <family val="2"/>
          </rPr>
          <t xml:space="preserve">
</t>
        </r>
      </text>
    </comment>
  </commentList>
</comments>
</file>

<file path=xl/sharedStrings.xml><?xml version="1.0" encoding="utf-8"?>
<sst xmlns="http://schemas.openxmlformats.org/spreadsheetml/2006/main" count="1844" uniqueCount="491">
  <si>
    <t>ASPIRATION 1:  A PROSPEROUS AFRICA BASED ON INCLUSIVE GROWTH AND SUSTAINABLE DEVELOPMENT</t>
  </si>
  <si>
    <t>Goal 1: A High Standard of Living, Quality of Life and Well Being for All</t>
  </si>
  <si>
    <t>Priority Area</t>
  </si>
  <si>
    <t>Agenda 2063 Target</t>
  </si>
  <si>
    <t>1. Incomes, Jobs and decent work</t>
  </si>
  <si>
    <t>GNI per capita</t>
  </si>
  <si>
    <t>2. Poverty, Inequality and Hunger</t>
  </si>
  <si>
    <t>b) Prevalence of underweight among children under 5</t>
  </si>
  <si>
    <t>% of population with access to safe drinking water</t>
  </si>
  <si>
    <t>3. Modern and Liveable Habitats and Basic Quality Services</t>
  </si>
  <si>
    <t>c)% of population with access to internet</t>
  </si>
  <si>
    <t>Goal 2: Well Educated Citizens and Skills revolution underpinned by Science, Technology and Innovation</t>
  </si>
  <si>
    <t xml:space="preserve">1. Education and STI driven Skills Revolution   </t>
  </si>
  <si>
    <t>Goal 3: Healthy and Well-Nourished Citizens</t>
  </si>
  <si>
    <t>1. Health and Nutrition</t>
  </si>
  <si>
    <t xml:space="preserve">a) Maternal mortality ratio                                                                                 </t>
  </si>
  <si>
    <t>b) Neo-natal mortality rate</t>
  </si>
  <si>
    <t xml:space="preserve">c) Under five mortality rate  </t>
  </si>
  <si>
    <t>Goal 4: Transformed Economies and Job Creation</t>
  </si>
  <si>
    <t xml:space="preserve">1. Sustainable inclusive economic growth </t>
  </si>
  <si>
    <t>2. STI driven Manufacturing / Industrialization and Value Addition</t>
  </si>
  <si>
    <t xml:space="preserve">Manufacturing value added as % of GDP </t>
  </si>
  <si>
    <t>3. Economic diversification and resilience</t>
  </si>
  <si>
    <t>Research and development expenditure as a proportion of GDP</t>
  </si>
  <si>
    <t xml:space="preserve">4. Hospitality / Tourism </t>
  </si>
  <si>
    <t>Tourism value added as a proportion of GDP</t>
  </si>
  <si>
    <t>Goal 5: Modern Agriculture for increased productivity and production</t>
  </si>
  <si>
    <t>1. Agricultural  productivity and production</t>
  </si>
  <si>
    <t>Goal 6: Blue/ ocean economy for accelerated economic growth</t>
  </si>
  <si>
    <t>1. Marine resources  and Energy</t>
  </si>
  <si>
    <t>Fishery Sector value added ( as share of GDP)</t>
  </si>
  <si>
    <t>Marine biotechnology value added as a % of GDP</t>
  </si>
  <si>
    <t>Goal 7: Environmentally sustainable climate resilient economies and communities</t>
  </si>
  <si>
    <t>1. Bio-diversity, conservation and sustainable natural resource management.</t>
  </si>
  <si>
    <t>% of agricultural land placed under sustainable land management practice.</t>
  </si>
  <si>
    <t xml:space="preserve">a) % of terrestrial and inland water areas preserved.                                                         </t>
  </si>
  <si>
    <t>ASPIRATION 2:  AN INTEGRATED CONTINENT, POLITICALLY UNITED AND BASED ON THE IDEALS OF PAN-AFRICANISM AND A VISION OF AFRICAN RENAISSANCE</t>
  </si>
  <si>
    <t>Goal 8:  United Africa (Federal or Confederate)</t>
  </si>
  <si>
    <t>1. Political and economic integration</t>
  </si>
  <si>
    <t>Goal 9: Key Continental Financial and Monetary Institutions established and functional</t>
  </si>
  <si>
    <t>Goal 10: World Class Infrastructure criss-crosses Africa</t>
  </si>
  <si>
    <t>% of the progress made on the implementation of Trans-African Highway Missing link</t>
  </si>
  <si>
    <t xml:space="preserve">%  of the progress made on the implementation the African High Speed Rail Network </t>
  </si>
  <si>
    <t>No. of protocols on African open skies Implemented</t>
  </si>
  <si>
    <t>No. of Mega Watts added into the national grid</t>
  </si>
  <si>
    <t xml:space="preserve"> Proportion of population using mobile phones</t>
  </si>
  <si>
    <t>% of ICT contribution to GDP</t>
  </si>
  <si>
    <t>ASPIRATION 3: AN AFRICA OF GOOD GOVERNANCE, DEMOCRACY, RESPECT FOR HUMAN RIGHTS, JUSTICE AND THE RULE OF LAW</t>
  </si>
  <si>
    <t>Goal 11:  Democratic values, practices, universal principles of human rights, justice and the rule of law entrenched</t>
  </si>
  <si>
    <t>1. Democratic Values and Practices are the Norm</t>
  </si>
  <si>
    <t>% of people who believe that there are effective mechanisms and oversight institutions to hold their leaders accountable</t>
  </si>
  <si>
    <t xml:space="preserve">% of people who believe that the elections are free, fair and transparent.                     </t>
  </si>
  <si>
    <t>- Signed</t>
  </si>
  <si>
    <t>- Ratified</t>
  </si>
  <si>
    <t xml:space="preserve">- Integrated the African Charter on democracy </t>
  </si>
  <si>
    <t>Goal 12: Capable institutions and transformed leadership in place at all levels</t>
  </si>
  <si>
    <t>1. Institutions and Leadership</t>
  </si>
  <si>
    <t>Proportion of persons who had at least one contact with  a public official and who paid a bribe to a public official or were asked for a bribe by these public officials during the previous twelve months</t>
  </si>
  <si>
    <t>ASPIRATION 4.  A PEACEFUL AND SECURE AFRICA</t>
  </si>
  <si>
    <t>Goal 13: Peace, Security and Stability are preserved</t>
  </si>
  <si>
    <t>Maintenance and Restoration of Peace and Security</t>
  </si>
  <si>
    <t xml:space="preserve">Conflict related deaths per 100,000 population </t>
  </si>
  <si>
    <t xml:space="preserve">1. Institutional Structure for AU Instruments on Peace and Security </t>
  </si>
  <si>
    <t xml:space="preserve">Number of armed conflicts </t>
  </si>
  <si>
    <t>Goal 15: A Fully Functional and Operational African Peace and Security Architecture</t>
  </si>
  <si>
    <t>1. Operationalization of APSA Pillars</t>
  </si>
  <si>
    <t>Existence of a national peace council.</t>
  </si>
  <si>
    <t>ASPIRATION 5:   AFRICA WITH A STRONG CULTURAL IDENTITY, COMMON HERITAGE, VALUES AND ETHICS</t>
  </si>
  <si>
    <t>Goal 16: African Cultural Renaissance is pre-eminent</t>
  </si>
  <si>
    <t>1. Values and  Ideals of Pan Africanism</t>
  </si>
  <si>
    <t>Proportion of the content of the curricula on indigenous African culture, values and language in primary and secondary schools</t>
  </si>
  <si>
    <t>ASPIRATION 6. AN AFRICA WHOSE DEVELOPMENT IS PEOPLE DRIVEN, RELYING ON THE POTENTIAL OF THE AFRICAN PEOPLE</t>
  </si>
  <si>
    <t>Goal 17:  Full Gender Equality in All Spheres of Life</t>
  </si>
  <si>
    <t>1. Women Empowerment</t>
  </si>
  <si>
    <t>Proportion of seats held by women in national parliaments, regional and local bodies</t>
  </si>
  <si>
    <t>Goal 18: Engaged and Empowered Youth and Children</t>
  </si>
  <si>
    <t>1. Youth Empowerment and Children’s Rights</t>
  </si>
  <si>
    <t>% of children engaged in  child labour</t>
  </si>
  <si>
    <t>% of children engaged in child marriage</t>
  </si>
  <si>
    <t xml:space="preserve">%  of children who are victims of human trafficking </t>
  </si>
  <si>
    <t xml:space="preserve"> Level of implementation of the provisions of the African Charter on the Rights of the Youth by Member States</t>
  </si>
  <si>
    <t>ASPIRATION 7:   AFRICA AS A STRONG AND INFLUENTIAL GLOBAL PARTNER</t>
  </si>
  <si>
    <t>Goal 19: Africa as a major partner in global affairs and peaceful co-existence</t>
  </si>
  <si>
    <t>1. Africa’s place in global affairs</t>
  </si>
  <si>
    <t>Existence of formal institutional arrangements for the coordination of the compilation of official statistics</t>
  </si>
  <si>
    <t>Goal 20: Africa takes full responsibility for financing her development</t>
  </si>
  <si>
    <t>1. Capital Markets</t>
  </si>
  <si>
    <t xml:space="preserve">2. Fiscal system and Public Sector Revenues </t>
  </si>
  <si>
    <t>3. Development Assistance</t>
  </si>
  <si>
    <t>Total ODA as a percentage of the national budget</t>
  </si>
  <si>
    <t>Resources raised through innovative financing mechanisms as a % of national budget</t>
  </si>
  <si>
    <t xml:space="preserve">Indicator Performance (IP) </t>
  </si>
  <si>
    <t>P- Weight</t>
  </si>
  <si>
    <t>Corresponding SDG Indicator</t>
  </si>
  <si>
    <t>T1 - Weight</t>
  </si>
  <si>
    <t>NIL</t>
  </si>
  <si>
    <t>I1 - Weight</t>
  </si>
  <si>
    <t>8.1.1 Annual growth rate of real GDP per capita</t>
  </si>
  <si>
    <t>8.5.2 Unemployment rate, by sex, age group and persons with disabilities</t>
  </si>
  <si>
    <t>10.2.1 Proportion of people living below 50 per cent of median income, by age, sex and persons with disabilities</t>
  </si>
  <si>
    <t>6.1.1 Percentage of population using safely managed drinking water services</t>
  </si>
  <si>
    <t>7.1.1 Proportion of population with access to electricity</t>
  </si>
  <si>
    <t>A63 Indicators</t>
  </si>
  <si>
    <t>Remarks</t>
  </si>
  <si>
    <t>Expected Performance by 2019</t>
  </si>
  <si>
    <t>Performance Rating</t>
  </si>
  <si>
    <t>Priority Area Dashboard</t>
  </si>
  <si>
    <t>Expected Increase / Reduction by 2019</t>
  </si>
  <si>
    <t>1. Communications and Infrastructure Connectivity</t>
  </si>
  <si>
    <t>Baseline</t>
  </si>
  <si>
    <t>Data Sources</t>
  </si>
  <si>
    <t>1.1.1 Increase 2013 per capita income by at least 30%</t>
  </si>
  <si>
    <t>1.1.2 Reduce 2013 unemployment rate by at least  25%</t>
  </si>
  <si>
    <t>1.3.1 Increase access and use of electricity and internet by at least 50% of the 2013 levels</t>
  </si>
  <si>
    <t>2.1.1 Enrolment rate for early childhood education is at least 300% of the 2013 rate</t>
  </si>
  <si>
    <t xml:space="preserve">3.1.1 Increase 2013 levels of access to sexual and reproductive health services to women by at least 30% </t>
  </si>
  <si>
    <t>3.1.3 Reduce the  2013 incidence  of HIV/AIDs, Malaria and TB by at least 80%</t>
  </si>
  <si>
    <t>3.1.4 Access to Anti-Retroviral (ARV) drugs  is 100%</t>
  </si>
  <si>
    <t>4.2.1 Real value of manufacturing in GDP is 50% more than the 2013 level.</t>
  </si>
  <si>
    <t>4.3.1 At least 1% of GDP is allocated to science, technology and innovation research and STI driven entrepreneurship development.</t>
  </si>
  <si>
    <t>5.1.1 Double  agricultural total factor productivity</t>
  </si>
  <si>
    <t>6.1.1 At least 50% increase in value addition in the fishery sector  in real term is attained by 2023</t>
  </si>
  <si>
    <t>6.1.2 Marine bio-technology contribution to GDP is increased in real terms by at least 50% from the 2013 levels</t>
  </si>
  <si>
    <t>7.1.1 At least 30% of agricultural land is placed under sustainable land management practice</t>
  </si>
  <si>
    <t>7.1.2 At least 17%  of terrestrial and inland water and 10%  of coastal and marine areas are preserved</t>
  </si>
  <si>
    <t>8.1.1 Active member of the African Free Trade Area</t>
  </si>
  <si>
    <t>8.1.2 Volume of intra-African trade is at least three times the 2013 level</t>
  </si>
  <si>
    <t>10.1.1 At least national readiness for implementation of the trans African Highway Missing link is achieved</t>
  </si>
  <si>
    <t>10.1.2 At least national readiness for in country connectivity to the African High Speed Rail Network is achieved by 2019</t>
  </si>
  <si>
    <t xml:space="preserve">10.1.3 Skies fully opened to African airlines </t>
  </si>
  <si>
    <t xml:space="preserve">10.1.4 Increase electricity generation and distribution by at least 50% by 2020  </t>
  </si>
  <si>
    <t>10.1.5 Double ICT penetration and contribution to GDP</t>
  </si>
  <si>
    <t xml:space="preserve">
16.5.1 Proportion of persons who had at least one contact with a public official and who paid a bribe to a public official, or were asked for a bribe by those public officials, during the previous 12 months</t>
  </si>
  <si>
    <t>11.1.1 At least 70% of the people believe that they are empowered and are holding their leaders accountable</t>
  </si>
  <si>
    <t>11.1.2 At least 70% of  the people perceive that the press / information is free and freedom of expression  pertains</t>
  </si>
  <si>
    <t>11.1.3 At least 70% of the public perceive elections are free, fair and transparent</t>
  </si>
  <si>
    <t>11.1.4 African Charter on Democracy is signed, ratified and domesticated by 2020</t>
  </si>
  <si>
    <t>12.1.1 At least 70% of the public acknowledge  the public service to be professional, efficient, responsive, accountable, impartial  and corruption free</t>
  </si>
  <si>
    <t xml:space="preserve">13.1.1 Level of conflict emanating from ethnicity, all forms of exclusion, religious and political differences is at most 50% of 2013 levels. </t>
  </si>
  <si>
    <t>14.1.1 Silence All Guns by 2020</t>
  </si>
  <si>
    <t>15.1.1 National Peace Council is established by 2016</t>
  </si>
  <si>
    <t>16.1.1 At least 60% of content in educational curriculum is on indigenous African culture, values and language targeting primary and secondary schools</t>
  </si>
  <si>
    <t>2. Violence &amp; Discrimination
against Women and Girls</t>
  </si>
  <si>
    <t>Proportion of women and girls subjected to sexual and physical violence</t>
  </si>
  <si>
    <t>Proportion of children whose births are registered in the first year</t>
  </si>
  <si>
    <t>17.2.1 Reduce 2013 levels of violence against women and Girls by at least 20%</t>
  </si>
  <si>
    <t>17.2.2 Reduce by 50% all harmful social norms and customary practices against women and girls and those that promote violence and discrimination against women and girls</t>
  </si>
  <si>
    <t>17.2.3 Eliminate all barriers to quality education, health and social services for Women and Girls by 2020</t>
  </si>
  <si>
    <t>Number of New HIV infections per 1000 population</t>
  </si>
  <si>
    <t>TB incedence per 1000 persons per year</t>
  </si>
  <si>
    <t>Malaria incidence per 1000 per year</t>
  </si>
  <si>
    <t>Calculating expected values for  2% annual decrease</t>
  </si>
  <si>
    <t xml:space="preserve">2.1.2 Enrolment rate for basic education is 100% </t>
  </si>
  <si>
    <t>2.1.3 Increase the number of qualified teachers by at least 30% with focus on STEM</t>
  </si>
  <si>
    <t xml:space="preserve">2.1.4 Universal secondary school (including technical high schools) with enrolment rate of 100% </t>
  </si>
  <si>
    <t xml:space="preserve">Proportion of teachers qualified in Science or Technology or Engineering or Mathematics by Sex and Level (Primary and Secondary)  </t>
  </si>
  <si>
    <t>Secondary school net enrolment rate by Sex</t>
  </si>
  <si>
    <t>5.1.2 At least 10% of small-scale farmers graduate into small-scale commercial farming and those graduating at least 30% should be women.</t>
  </si>
  <si>
    <t>3.1.2 Reduce 2013 maternal mortality rates by at least 50%</t>
  </si>
  <si>
    <t xml:space="preserve">18.1.1 Reduce 2013 rate of youth unemployment by at least 25%; in particular female youth </t>
  </si>
  <si>
    <t>18.1.2 End all forms of violence, child labour exploitation, child marriage and human trafficking</t>
  </si>
  <si>
    <t>18.1.3 Full implementation of the provision of African Charter on the Rights of the Youth is attained</t>
  </si>
  <si>
    <t>17.8.1 Proportion of individuals using the Internet</t>
  </si>
  <si>
    <t>4.2.2 Participation rate in organized learning (one year before the official primary entry age), by sex</t>
  </si>
  <si>
    <t>4.1.1 Proportion of children: (b) at the end of primary; and achieving at least a minimum proficiency level in (i) reading and (ii) mathematics, by sex</t>
  </si>
  <si>
    <t>4.c.1 Proportion of teachers in: (a) pre-primary; (b) primary; (c) lower secondary; and (d) upper secondary education who have received at least the minimum organized teacher training (e.g. pedagogical training) pre-service or in-service required for teaching at the relevant level in a given country</t>
  </si>
  <si>
    <t>3.7.1 Proportion of women of reproductive age (aged 15–49 years) who have their need for family planning satisfied with modern methods</t>
  </si>
  <si>
    <t>3.1.1 Maternal mortality ratio</t>
  </si>
  <si>
    <t>3.2.2 Neonatal mortality rate</t>
  </si>
  <si>
    <t>3.2.1 Under‑5 mortality rate</t>
  </si>
  <si>
    <t>3.3.1 Number of new HIV infections per 1,000 uninfected population, by sex, age and key populations</t>
  </si>
  <si>
    <t>3.3.2 Tuberculosis incidence per 100,000 population</t>
  </si>
  <si>
    <t>3.3.3 Malaria incidence per 1,000 population</t>
  </si>
  <si>
    <t>9.2.1 Manufacturing value added as a proportion of GDP and per capita</t>
  </si>
  <si>
    <t>9.5.1 Research and development expenditure as a proportion of GDP</t>
  </si>
  <si>
    <t>8.9.1 Tourism direct GDP as a proportion of total GDP and in growth rate</t>
  </si>
  <si>
    <t>2.3.1 Volume of production per labour unit by classes of farming/pastoral/forestry enterprise size</t>
  </si>
  <si>
    <t>14.7.1 Sustainable fisheries as a proportion of GDP in small island developing States, least developed countries and all countries</t>
  </si>
  <si>
    <t>2.4.1 Proportion of agricultural area under productive and sustainable agriculture</t>
  </si>
  <si>
    <t>15.1.2 Proportion of important sites for terrestrial and freshwater biodiversity that are covered by protected areas, by ecosystem type</t>
  </si>
  <si>
    <t>5.b.1 Proportion of individuals who own a mobile telephone, by sex</t>
  </si>
  <si>
    <t>16.7.2 Proportion of population who believe decision-making is inclusive and responsive, by sex, age, disability and population group</t>
  </si>
  <si>
    <t>16.10.1 Number of verified cases of killing, kidnapping, enforced disappearance, arbitrary detention and torture of journalists, associated media personnel, trade unionists and human rights advocates in the previous 12 months</t>
  </si>
  <si>
    <t>16.1.2 Conflict-related deaths per 100,000 population, by sex, age and cause</t>
  </si>
  <si>
    <t>5.2.1 Proportion of ever-partnered women and girls aged 15 years and older subjected to physical, sexual or psychological violence by a current or former intimate partner in the previous 12 months, by form of violence and by age</t>
  </si>
  <si>
    <t>5.3.2 Proportion of girls and women aged 15–49 years who have undergone female genital mutilation/cutting, by age</t>
  </si>
  <si>
    <t>8.5.2 Unemployment rate, by sex, age and persons with disabilities</t>
  </si>
  <si>
    <t>8.7.1 Proportion and number of children aged 5–17 years engaged in child labour, by sex and age</t>
  </si>
  <si>
    <t>5.3.1 Proportion of women aged 20–24 years who were married or in a union before age 15 and before age 18</t>
  </si>
  <si>
    <t>16.2.2 Number of victims of human trafficking per 100,000 population, by sex, age and form of exploitation</t>
  </si>
  <si>
    <t>17.18.2 Number of countries that have national statistical legislation that complies with the Fundamental Principles of Official Statistics</t>
  </si>
  <si>
    <t>17.18.3 Number of countries with a national statistical plan that is fully funded and under implementation, by source of funding</t>
  </si>
  <si>
    <t>17.1.2 Proportion of domestic budget funded by domestic taxes</t>
  </si>
  <si>
    <t>17.3.1 Foreign direct investment (FDI), official development assistance and South-South cooperation as a proportion of total domestic budget</t>
  </si>
  <si>
    <t>Total</t>
  </si>
  <si>
    <t>Member State</t>
  </si>
  <si>
    <t>Member States</t>
  </si>
  <si>
    <t>Algeria</t>
  </si>
  <si>
    <t>Burkina Faso</t>
  </si>
  <si>
    <t>Cameroon</t>
  </si>
  <si>
    <t>Central Africa Republic</t>
  </si>
  <si>
    <t>Chad</t>
  </si>
  <si>
    <t>Congo (Republic of the)</t>
  </si>
  <si>
    <t>Cote D'Ivoire</t>
  </si>
  <si>
    <t>Eswatini</t>
  </si>
  <si>
    <t>Ghana</t>
  </si>
  <si>
    <t>Lesotho</t>
  </si>
  <si>
    <t>Mauritania</t>
  </si>
  <si>
    <t>Mauritius</t>
  </si>
  <si>
    <t>Rwanda</t>
  </si>
  <si>
    <t>Sierra Leone</t>
  </si>
  <si>
    <t>South Africa</t>
  </si>
  <si>
    <t>Tunisia</t>
  </si>
  <si>
    <t>Egypt</t>
  </si>
  <si>
    <t>19.1.1 National statistical system fully functional</t>
  </si>
  <si>
    <t xml:space="preserve">20.1.1 National capital market finances  at least 10% of development expenditure </t>
  </si>
  <si>
    <t>20.1.2 Tax and non-tax revenue of all levels of government should cover at least 75% of current and development expenditure</t>
  </si>
  <si>
    <t>20.1.3 Proportion of aid in the national budget is at most  25% of 2013 level</t>
  </si>
  <si>
    <t>Current Indicator Value</t>
  </si>
  <si>
    <t>Base value (2013)</t>
  </si>
  <si>
    <t>b) % of households using electricity</t>
  </si>
  <si>
    <t>a)% of households with access to electricity</t>
  </si>
  <si>
    <t>% of children of pre-school age attending pre school</t>
  </si>
  <si>
    <t>% of eligible population with HIV having access to Anti-Retroviral Treatment</t>
  </si>
  <si>
    <t>Agricultural total factor productivity</t>
  </si>
  <si>
    <t xml:space="preserve">% of small-scale farmers graduating into small-scale commercial farming by Sex </t>
  </si>
  <si>
    <t>1. Financial and Monetary Institutions</t>
  </si>
  <si>
    <t>Angola</t>
  </si>
  <si>
    <t>Benin</t>
  </si>
  <si>
    <t>Botswana</t>
  </si>
  <si>
    <t>Burundi</t>
  </si>
  <si>
    <t>Cabo Verde</t>
  </si>
  <si>
    <t>Comoros</t>
  </si>
  <si>
    <t>Democratic Republic of Congo</t>
  </si>
  <si>
    <t>Djibouti</t>
  </si>
  <si>
    <t>Equatorial Guinea</t>
  </si>
  <si>
    <t>Ethiopia</t>
  </si>
  <si>
    <t>Gabon</t>
  </si>
  <si>
    <t>Gambia</t>
  </si>
  <si>
    <t>Guinea</t>
  </si>
  <si>
    <t>Guinea Bissau</t>
  </si>
  <si>
    <t>Kenya</t>
  </si>
  <si>
    <t>Liberia</t>
  </si>
  <si>
    <t>Libya</t>
  </si>
  <si>
    <t>Madagascar</t>
  </si>
  <si>
    <t>Malawi</t>
  </si>
  <si>
    <t>Mali</t>
  </si>
  <si>
    <t>Morocco</t>
  </si>
  <si>
    <t>Mozambique</t>
  </si>
  <si>
    <t>Namibia</t>
  </si>
  <si>
    <t>Niger</t>
  </si>
  <si>
    <t>Nigeria</t>
  </si>
  <si>
    <t>Sao Tome and Principe</t>
  </si>
  <si>
    <t>Senegal</t>
  </si>
  <si>
    <t>Seychelles</t>
  </si>
  <si>
    <t>Somalia</t>
  </si>
  <si>
    <t>South Sudan</t>
  </si>
  <si>
    <t>Sudan</t>
  </si>
  <si>
    <t>Togo</t>
  </si>
  <si>
    <t>Uganda</t>
  </si>
  <si>
    <t>Tanzania</t>
  </si>
  <si>
    <t>Zambia</t>
  </si>
  <si>
    <t>Zimbabwe</t>
  </si>
  <si>
    <t>Eritrea</t>
  </si>
  <si>
    <t>Sahrawi Arab Democratic Republic</t>
  </si>
  <si>
    <t>Net enrolment rate by sex  and age in primary school</t>
  </si>
  <si>
    <t>Existence of a Continental Free Trade Area  that is ratified by all Member States</t>
  </si>
  <si>
    <t>17.1.1 Equal economic rights for women, including the rights to own and inherit property, sign a contract, save, register and manage a business and own and operate a bank account by 2026</t>
  </si>
  <si>
    <t>17.1.2 At least 30% of all elected officials at local, regional and national levels are Women as well as in judicial institutions</t>
  </si>
  <si>
    <t>Adoption of statistical legislation that complies with fundamental principles of official statistics</t>
  </si>
  <si>
    <t>Proportion of national budget for the implementation of functional statistical system</t>
  </si>
  <si>
    <t>Total tax revenue as a % of GDP</t>
  </si>
  <si>
    <t>9.1.1 Fast Track realization of the Continental Free Trade Area</t>
  </si>
  <si>
    <t>1.2.1 Reduce stunting in children to 10% and underweight to 5%.</t>
  </si>
  <si>
    <t>1.2.2 Reduce 2013 level of proportion of the population without access to safe drinking water by 95%.</t>
  </si>
  <si>
    <t>4.4.1 Contribution of tourism to GDP in real terms is increased by at least 100%.</t>
  </si>
  <si>
    <t xml:space="preserve">% of people who perceive that there is freedom of the press. </t>
  </si>
  <si>
    <r>
      <t>Goal 14:  A Stable and Peaceful Africa</t>
    </r>
    <r>
      <rPr>
        <sz val="9"/>
        <rFont val="Arial"/>
        <family val="2"/>
      </rPr>
      <t xml:space="preserve"> </t>
    </r>
  </si>
  <si>
    <t xml:space="preserve">Proportion of women in total agricultural population with ownership or secure rights over agricultural land             </t>
  </si>
  <si>
    <t>5.a.1 (a) Proportion of total agricultural population with ownership or secure rights over agricultural land by sex and (b) share of women among owners or rights-bearers of agricultural land, by type of tenure</t>
  </si>
  <si>
    <t>% of women aged 15-49 who have access to sexual and reproductive health service in the last 12 months</t>
  </si>
  <si>
    <t>Unemployment rate by age group, by sex</t>
  </si>
  <si>
    <t xml:space="preserve">5.5.1 Proportion of seats held by women in: (a) National Parliements  and (b) Local Governments </t>
  </si>
  <si>
    <t>Proportion of girls and women aged 15-49 years who have undergone female genital mutilation/ cutting by age</t>
  </si>
  <si>
    <t>16.9.1 Proportion of children under 5 years of age whose births have been registered with a civil authority, by age</t>
  </si>
  <si>
    <t>Unemployment rate of youth, by sex</t>
  </si>
  <si>
    <t>Agenda 2063 First Ten Year Implementation Plan (FTYIP) Progress Reporting Template</t>
  </si>
  <si>
    <t>4.1.1 Annual GDP growth rate of  at least 7%</t>
  </si>
  <si>
    <t>Real GDP</t>
  </si>
  <si>
    <t xml:space="preserve">No. of Non-tariff barriers (NTBs) eliminated </t>
  </si>
  <si>
    <t>Change in value of intra-African trade per annum (in US $)</t>
  </si>
  <si>
    <t xml:space="preserve">Proportion of public sector budget funded by national capital markets </t>
  </si>
  <si>
    <t>Overall Rating</t>
  </si>
  <si>
    <t>CAPMAS labor Force survey 2017</t>
  </si>
  <si>
    <t>CAPMAS HICES2015</t>
  </si>
  <si>
    <t>Census 2006/2017</t>
  </si>
  <si>
    <t>ministry of information and communication2017</t>
  </si>
  <si>
    <t>ministry of education 2017/2018</t>
  </si>
  <si>
    <t>DHS 2014</t>
  </si>
  <si>
    <t>MINISTRY OF POP&amp; Heqaalth2017</t>
  </si>
  <si>
    <t>ministry of planning 2016-2017</t>
  </si>
  <si>
    <t>2014/2015</t>
  </si>
  <si>
    <t>2013/2014</t>
  </si>
  <si>
    <t>ministry of planning 2016-2017&amp; Ministry of finance</t>
  </si>
  <si>
    <t>ministry of agriculture2016/2017</t>
  </si>
  <si>
    <t>minstry of planning 2013</t>
  </si>
  <si>
    <t>there isn't methodolgy at the international level.</t>
  </si>
  <si>
    <t>CAPMAS Holding company for egypt electricity</t>
  </si>
  <si>
    <t>No data avilable</t>
  </si>
  <si>
    <t>ministry of health DHS2014</t>
  </si>
  <si>
    <t>ministry of agriculture 2009/2010</t>
  </si>
  <si>
    <t>ministry of interior</t>
  </si>
  <si>
    <t>A percentage of no of M/f</t>
  </si>
  <si>
    <t>The Egypt economic coast of gender based on violence survey 2015</t>
  </si>
  <si>
    <t>It dissagigated by age groups and types of violences so I use (mean)</t>
  </si>
  <si>
    <t>It dissagigated by age groups 2015</t>
  </si>
  <si>
    <t>Labor Force Survey2018</t>
  </si>
  <si>
    <t>Base year 2015</t>
  </si>
  <si>
    <t>Children labour 2014</t>
  </si>
  <si>
    <t>The calculated value is for women between 18-64</t>
  </si>
  <si>
    <t>Statisticsal system  working under the low which control statistical work .</t>
  </si>
  <si>
    <t>Egypt has SDS for developing statistics whole funded from international &amp; African Bank as a partnership with Egyptian government till May 2020.</t>
  </si>
  <si>
    <t>RGS</t>
  </si>
  <si>
    <t>Agenda 2063 First Ten Year Implementation Plan (FTYIP) Progress Report</t>
  </si>
  <si>
    <t>A63 Targets</t>
  </si>
  <si>
    <t xml:space="preserve">Dashbaord </t>
  </si>
  <si>
    <t>2014/2015, Is zero percent correct for 2013</t>
  </si>
  <si>
    <t>Updated based on the AU portal on AfCFTA</t>
  </si>
  <si>
    <t>Completed using AU treatie data , no MS information on domestication</t>
  </si>
  <si>
    <t>No Data provided by MS</t>
  </si>
  <si>
    <t>Aspiration</t>
  </si>
  <si>
    <t>Achievement</t>
  </si>
  <si>
    <t>Goal</t>
  </si>
  <si>
    <t>Asipiration 1</t>
  </si>
  <si>
    <t>Asipiration 2</t>
  </si>
  <si>
    <t>Asipiration 3</t>
  </si>
  <si>
    <t>Asipiration 4</t>
  </si>
  <si>
    <t>Asipiration 5</t>
  </si>
  <si>
    <t>Asipiration 6</t>
  </si>
  <si>
    <t>Asipiration 7</t>
  </si>
  <si>
    <t>Goal 1</t>
  </si>
  <si>
    <t>Goal 2</t>
  </si>
  <si>
    <t>Goal 3</t>
  </si>
  <si>
    <t>Goal 4</t>
  </si>
  <si>
    <t>Goal 5</t>
  </si>
  <si>
    <t>Goal 6</t>
  </si>
  <si>
    <t>Goal 7</t>
  </si>
  <si>
    <t>Goal 8</t>
  </si>
  <si>
    <t>Goal 9</t>
  </si>
  <si>
    <t>Goal 10</t>
  </si>
  <si>
    <t>Goal 11</t>
  </si>
  <si>
    <t>Goal 12</t>
  </si>
  <si>
    <t>Goal 13</t>
  </si>
  <si>
    <t>Goal 14</t>
  </si>
  <si>
    <t>Goal 15</t>
  </si>
  <si>
    <t>Goal 16</t>
  </si>
  <si>
    <t>Goal 17</t>
  </si>
  <si>
    <t>Goal 18</t>
  </si>
  <si>
    <t>Decription</t>
  </si>
  <si>
    <t>Level of Result</t>
  </si>
  <si>
    <t>Goal/Aspriration</t>
  </si>
  <si>
    <t>Row Labels</t>
  </si>
  <si>
    <t>Indicator Performance</t>
  </si>
  <si>
    <t>Aspiration 1:  A PROSPEROUS AFRICA BASED ON INCLUSIVE GROWTH AND SUSTAINABLE DEVELOPMENT</t>
  </si>
  <si>
    <t xml:space="preserve"> Aspiration 2:  AN INTEGRATED CONTINENT, POLITICALLY UNITED AND BASED ON THE IDEALS OF PAN-AFRICANISM AND A VISION OF AFRICAN RENAISSANCE</t>
  </si>
  <si>
    <t>Aspiration 3: AN AFRICA OF GOOD GOVERNANCE, DEMOCRACY, RESPECT FOR HUMAN RIGHTS, JUSTICE AND THE RULE OF LAW</t>
  </si>
  <si>
    <t xml:space="preserve"> Goal 12: Capable institutions and transformed leadership in place at all levels</t>
  </si>
  <si>
    <t xml:space="preserve"> Apriration 4.  A PEACEFUL AND SECURE AFRICA</t>
  </si>
  <si>
    <t xml:space="preserve">Goal 14:  A Stable and Peaceful Africa </t>
  </si>
  <si>
    <t>Aspiration 5:   AFRICA WITH A STRONG CULTURAL IDENTITY, COMMON HERITAGE, VALUES AND ETHICS</t>
  </si>
  <si>
    <t xml:space="preserve"> Goal 16: African Cultural Renaissance is pre-eminent</t>
  </si>
  <si>
    <t>Aspiration 6. AN AFRICA WHOSE DEVELOPMENT IS PEOPLE DRIVEN, RELYING ON THE POTENTIAL OF THE AFRICAN PEOPLE</t>
  </si>
  <si>
    <t xml:space="preserve"> Aspitation 7:   AFRICA AS A STRONG AND INFLUENTIAL GLOBAL PARTNER</t>
  </si>
  <si>
    <t xml:space="preserve"> Goal 20: Africa takes full responsibility for financing her development</t>
  </si>
  <si>
    <t>Apriration 1:  A properous Africa based on inclusive growth and sustainable development</t>
  </si>
  <si>
    <t xml:space="preserve"> Aspiration 2:  An integrated continent, politically united and based on the ideals of Pan - Africanism and a Vision of the African Renaissance</t>
  </si>
  <si>
    <t>Aspiration 3: An African of good governance, democracy, respect for human rigjhts and the rule of law</t>
  </si>
  <si>
    <t xml:space="preserve"> Aspiration 4. A peaceful and secure Africa</t>
  </si>
  <si>
    <t>Aspiration 5: African with a strong cultural identity, common heritage, value and beliefs</t>
  </si>
  <si>
    <t>Aspiration 6 An Africa whose development of people driven, relying on the potential of the African People</t>
  </si>
  <si>
    <t xml:space="preserve"> Aspiration 7: Africa as a strong and influential global partner</t>
  </si>
  <si>
    <t>Overall Performance Rating/Score</t>
  </si>
  <si>
    <t xml:space="preserve">Priority Area Scores </t>
  </si>
  <si>
    <t>Indexed Priority Area Dashboard</t>
  </si>
  <si>
    <t>No data provided for this indicator, the performance rating for this indicators will be set to zero if data is not provided.</t>
  </si>
  <si>
    <t>The Indicator does not have a baseline value. If baseline data is not provided, the indicator performance rating will be set to 0%.</t>
  </si>
  <si>
    <t xml:space="preserve">2015/2016. The data used is in hectares but we are asking for is a percentage (baseline- 9101204 and current value is 9133259
If approcpaite data  is provided for this indicator, the performance rating for this indicators will be set to zero.
</t>
  </si>
  <si>
    <t>Updated  using the AfCFTA data portal</t>
  </si>
  <si>
    <t>No data provided for this indicator, the performance rating for this indicators will be set to zero if data is not provided. 
Please verify if there are no Trans-Africa Highway projects being implemented by Egypt</t>
  </si>
  <si>
    <t>No data provided for this indicator, the performance rating for this indicators will be set to zero if data is not provided. 
Please verify if there are no high spead rail projects being implemented by Egypt</t>
  </si>
  <si>
    <t xml:space="preserve">CAPMAS use another classification for this indicator as apercentage according to each type of punishment . No data provided
No data provided for this indicator, the performance rating for this indicators will be set to zero if data is not provided.
</t>
  </si>
  <si>
    <t>Please verify the status of these indicators. Egypt may have these requirements given the investment into statistics. 
No data provided for this indicator, the performance rating for this indicators will be set to zero if data is not provided.</t>
  </si>
  <si>
    <t>0%</t>
  </si>
  <si>
    <t>Goal 19</t>
  </si>
  <si>
    <t>Goal 20</t>
  </si>
  <si>
    <t>9104 ( valeur  2018)</t>
  </si>
  <si>
    <t xml:space="preserve">equete de l'emlpoi  </t>
  </si>
  <si>
    <t>MICS4 2012 et MICS6 2018</t>
  </si>
  <si>
    <t xml:space="preserve">Ministere de l'Education </t>
  </si>
  <si>
    <t>val 2013 non disponible</t>
  </si>
  <si>
    <t>Enquete 2008 (44,8/100000) et estimation etude de contextualisation de l'odd réductiomn MM  2018( 25,9/100000)</t>
  </si>
  <si>
    <t>Ministère de la santé DSSB</t>
  </si>
  <si>
    <r>
      <rPr>
        <sz val="12"/>
        <color theme="10"/>
        <rFont val="Calibri"/>
        <family val="2"/>
        <scheme val="minor"/>
      </rPr>
      <t>N</t>
    </r>
    <r>
      <rPr>
        <sz val="12"/>
        <color rgb="FF0070C0"/>
        <rFont val="Calibri"/>
        <family val="2"/>
      </rPr>
      <t>.C</t>
    </r>
  </si>
  <si>
    <t>2,5 (valeur 2018)</t>
  </si>
  <si>
    <t>valeur 2018</t>
  </si>
  <si>
    <t>Dépenses de recherche scientifique en pourcentage du PIB),</t>
  </si>
  <si>
    <t>Consommation Intermidiaire/VA net</t>
  </si>
  <si>
    <t>No data provided; Indicator performance to be set to 0% if data is not provided</t>
  </si>
  <si>
    <t>la majorité des exploitations tunisiennes pratiquent une agriculture commerciale</t>
  </si>
  <si>
    <t>Institut National de la Statistique</t>
  </si>
  <si>
    <t>valeur 2014 et  valeur 2018 (en Millions de dinars )</t>
  </si>
  <si>
    <t>institut National de la Statistique</t>
  </si>
  <si>
    <t>en kw</t>
  </si>
  <si>
    <t>c'est la densité telephonique/habitatnt</t>
  </si>
  <si>
    <t> Enquête nationale sur "la perception des citoyens envers la sécurité, liberté et la gouvernance locale en Tunisie (2014 et 2017)</t>
  </si>
  <si>
    <t>Needs verification  and for the country to provide evidence</t>
  </si>
  <si>
    <t>c'est le pourcentage des Sièges occupés par des femmes dans L'Assemblée des représentants du peuple ARP                                                          La Proportion des femmes  dans les organes régionaux et locaux : 43%</t>
  </si>
  <si>
    <t>2019 : enquete nationale sur le trvail des enfants 2017  et 2013 : mics4</t>
  </si>
  <si>
    <t>valeur 2013: concerne la tranche d'age 5-14 ans</t>
  </si>
  <si>
    <t>No baseline data provided; Indicator performance to be set to 0% if data is not provided</t>
  </si>
  <si>
    <t>Banque centrale Tunisie</t>
  </si>
  <si>
    <t>31,2 : Valeur 2017</t>
  </si>
  <si>
    <t>val 2013 et val 2017</t>
  </si>
  <si>
    <t>Overall Performance Rating</t>
  </si>
  <si>
    <t>ministry of planning2014-2015 / 2016-2017 (2014/205)</t>
  </si>
  <si>
    <t>CAPMAS - Holding company for Egypt elactrivity 2016/2017</t>
  </si>
  <si>
    <t>In the previous version, the current value indicated was 79.3 and the baseline was 72.9</t>
  </si>
  <si>
    <t>Data for this indicator not provided in the revised template submitted on the 8th of January 2020.</t>
  </si>
  <si>
    <t xml:space="preserve">Zero does not sound like a realistic baseline for thiis indicator . This needs further review. </t>
  </si>
  <si>
    <t>No data provided for this indicator in revised version, the performance rating for this indicators will be set to zero if data is not provided. Data provided in previous version but not as a percentage.</t>
  </si>
  <si>
    <t>2013/2014. Data provided uses the % access to electricity  and not the Mega Watts of generated power</t>
  </si>
  <si>
    <t>No data provided in the revised version but the previous version contained values of 1 for baseline and 1 for current value</t>
  </si>
  <si>
    <t xml:space="preserve">No baseline data provided for this indicator. The indicator performance rating set to Zero (0). </t>
  </si>
  <si>
    <t>No data provided for this indicator. In the previuous version, the baseline and current values were inficated as 0% which led to an indicator perfornace rating of 100%</t>
  </si>
  <si>
    <t>ministry of fainance2018/2019, baseline value set at 2014/2015</t>
  </si>
  <si>
    <t xml:space="preserve">No baseline data provided for this indicator. The indicator performance rating set to Zero (0). In the previous version, a baseline value of 31.1% was provided. </t>
  </si>
  <si>
    <t>Office National des Statistiques, comptes natioaux 2013-2018</t>
  </si>
  <si>
    <t>Les chiffres sont libellés en dinars algériens.</t>
  </si>
  <si>
    <t>Office National des Statistiques : Enquête Emploi auprès des ménages septembre 2013 et Mai 2019</t>
  </si>
  <si>
    <t xml:space="preserve">1,176,000 chomeurs en septembre 2013 pour une population active de 11,964,000 soit un taux de chômage de  9,8% et 1,449,000 chômeurs en mai 2019 pour une population active de 12,730,000 soit un taux de chômage de 11,4% </t>
  </si>
  <si>
    <t>Ministère des Ressources en Eau</t>
  </si>
  <si>
    <t>le taux fourni est le taux de raccordement au réseau d'eau potable, à l'echelle nationale il est de 98 % et il est de 100 % en zone urbaine, concernant les 2 % ils ont accés à l'eau potable à travers divers sources(sources d'eau, puits, citernage) un programme est en cours pour raccorder ceux qui peuvent etre raccordé et identifier la conformité des sources d'eau restantes conformément au normes d'accecibilité et de potabilité</t>
  </si>
  <si>
    <t xml:space="preserve"> Commission de Régulation de l'Eléctricité et Gaz (CREG)</t>
  </si>
  <si>
    <t>le taux de raccordement de la population à l’électricité qui a atteint 99% à fin 2019 contre 97% à fin 2013</t>
  </si>
  <si>
    <t>Données exprimées en Millions, Le nombre d’abonnés au réseau électrique est passé de 7,7 millions d’abonnés en 2013 à plus de 10 millions en 2019, avec une forte augmentation (+20%) de la consommation moyenne par client sur la période</t>
  </si>
  <si>
    <t>estimation sur la base de l'enquete ménage</t>
  </si>
  <si>
    <t>l'indicateur A1-G1-T4-I8 Pourcentage de la population utilisant internet (12 derniers mois, par fréquence, ne figure pas sur le présent modèle de calcul</t>
  </si>
  <si>
    <t>Enquete exaustives MEN et rapport volentaire sur les ODD MAE 2019</t>
  </si>
  <si>
    <t>ONS - Démograhie algérienne 2013 et 2018</t>
  </si>
  <si>
    <t>Institut National de la Santé Publique (INSP)</t>
  </si>
  <si>
    <t>L'incidence est calculée par rapport à 1000, il a été pris en considération le nombre de cas de SIDA maladie plus le nombre de cas HIV séropositif</t>
  </si>
  <si>
    <t>L'incidence est calculée par rapport à 1000, Toutes les formes de tuberculose ont été comptabilisées (- tuberculose pulmonaire (TP), tuberculose extra pulmonaires,tuberculose  à localisation non précisée)</t>
  </si>
  <si>
    <t>L'incidence est calculée par rapport à 1000, y compris le paludisme importé</t>
  </si>
  <si>
    <t>ONS - Comptes Nationaux 2013 à 2018</t>
  </si>
  <si>
    <t>Office National des Statistqiues (ONS) : Comptes nationaux 2013-2018</t>
  </si>
  <si>
    <t>C'est la branche des Hôtels-Cafés-Restaurants qui a été prise en considération</t>
  </si>
  <si>
    <t>Office National des Statistiques (ONS) Enquête emploi 2013 et 2018 pour la population occupée agricole et comptes nationaux 2013 et 2018 pour les valeurs ajoutées agricoles</t>
  </si>
  <si>
    <t>L'indicateur est exprimé en millions de DA, C'est le rapport de la Valeur ajoutée agricole à la population occupée agricole, pour l'année 2018, la VA agricole est en volume au prix de 2013</t>
  </si>
  <si>
    <t>No data provided. Indicator pefrormance to be set to 0% if data is not provided</t>
  </si>
  <si>
    <t>MINAGRI, Administrative Data</t>
  </si>
  <si>
    <t>Direction Générale des Douanes</t>
  </si>
  <si>
    <t>Le taux est en %, il représente la part des exportations de marchandises vers l'Afrique sur l'ensemble des exportations de marchandises</t>
  </si>
  <si>
    <t>Algeria just signed the AfCFTA treaty in 2018 and has not ratified it.</t>
  </si>
  <si>
    <t>This indicated may need to be clarified once the number of protocoles under the SATAM protocol is clarified.</t>
  </si>
  <si>
    <t>Commission de Régulation d'éléctricité et du Gaz (CREG)</t>
  </si>
  <si>
    <t>la capacité installée de l’énergie électrique, tous réseaux confondus, a fortement augmenté pour atteindre à fin 2019 près de 21 600 MW, contre 15 097 MW à fin 2013, soit une capacité additionnelle de 6 500 MW sur la période. Elle était à seulement 5 900 MW en 2000</t>
  </si>
  <si>
    <t>Enquête auprès des ménages</t>
  </si>
  <si>
    <t>This data may need to be validated</t>
  </si>
  <si>
    <t>Office National des Statistiques</t>
  </si>
  <si>
    <t>Il s'agit de la part de la population agricole féminine (occupée) dans l'ensemble de la population aoccupée agricole</t>
  </si>
  <si>
    <t>Office National des Statistiques (ONS) : enquêtes Emploo auprès des ménages septembre 2013 et mai 2019</t>
  </si>
  <si>
    <t>En 2013 le taux de chômage des jeunes 16-24 ans) es de 24,8% se déclinant à 25,6% pour les hommes et 39,7% pour les femmes, en 2019, il passe à 26,9% pour l'ensemble avec une déclinaison en 23,6% pour les hommes et 45,1% pour les femmes</t>
  </si>
  <si>
    <t>Inspection du travail</t>
  </si>
  <si>
    <t>Ce taux n'a jamais atteint 1% ces dix dernières année</t>
  </si>
  <si>
    <t>Office National des Statistqiues (ONS) : décret legsilatif 94,01 de 1994</t>
  </si>
  <si>
    <t>La loi statistique algérienne est conforme aux principes fondamentaux de la Statistique Officielle des Nations Unies</t>
  </si>
  <si>
    <t>Office National des Statistiques (ONS)</t>
  </si>
  <si>
    <t>L'indicateur est donné en % et représente le budget de l'Institution Centrale de la Statistique (ONS) dans le budegte global de l'Etat</t>
  </si>
  <si>
    <t>Office National des Statistqiues (ONS)</t>
  </si>
  <si>
    <t>Existence d'un Conseil National de la Statistique</t>
  </si>
  <si>
    <t>RRA Annual activity report 2018/19</t>
  </si>
  <si>
    <t>Note that what was captured is not conclusive e.g. contributions from PPPs are not captured. This contribution includes; Umuganda, Agaciro Development Fund, Innovative Taxes e.g. Infrastructure levy, Strategic reserves levy, CBHI membership contributions and Road maintance fund</t>
  </si>
  <si>
    <t>North Africa Dashboard</t>
  </si>
  <si>
    <t xml:space="preserve">Tunisia signed the AfCFTA in March 2018 but has not ratified the agreement. </t>
  </si>
  <si>
    <t>Ministère de l'Education Nationale. Les recrutements se font sur la base de qualifications et de diplômes</t>
  </si>
  <si>
    <t xml:space="preserve">The indicator has been updated by a 100% does not seem realistic as there are always teachers specialised in other non-scientific subjects. This needs to be validated. </t>
  </si>
  <si>
    <t xml:space="preserve">Data provided alhoutgh the 100% for land under sustsianble management preactice may need to be validated. </t>
  </si>
  <si>
    <t>Data provided during the final review.</t>
  </si>
  <si>
    <t>Data provided but no source or evidence of domstication provided.</t>
  </si>
  <si>
    <t xml:space="preserve">The correct data for this indicator is percentage data but the country has provided absolute data of reported cases of women and girls subjected to abuse. No source documents indicated. </t>
  </si>
  <si>
    <t>Data provided no source documents indicated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</si>
</sst>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00"/>
  </numFmts>
  <fonts count="61"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Arial"/>
      <family val="2"/>
    </font>
    <font>
      <b/>
      <sz val="8"/>
      <color theme="1"/>
      <name val="Arial"/>
      <family val="2"/>
    </font>
    <font>
      <sz val="8"/>
      <color rgb="FF000000"/>
      <name val="Arial"/>
      <family val="2"/>
    </font>
    <font>
      <b/>
      <sz val="8"/>
      <color rgb="FF1F3864"/>
      <name val="Arial"/>
      <family val="2"/>
    </font>
    <font>
      <sz val="14"/>
      <color rgb="FFFF0000"/>
      <name val="Calibri"/>
      <family val="2"/>
      <scheme val="minor"/>
    </font>
    <font>
      <sz val="16"/>
      <color rgb="FFFF0000"/>
      <name val="Calibri"/>
      <family val="2"/>
      <scheme val="minor"/>
    </font>
    <font>
      <u/>
      <sz val="11"/>
      <color theme="10"/>
      <name val="Calibri"/>
      <family val="2"/>
      <scheme val="minor"/>
    </font>
    <font>
      <b/>
      <sz val="8"/>
      <name val="Arial"/>
      <family val="2"/>
    </font>
    <font>
      <b/>
      <sz val="12"/>
      <color theme="1"/>
      <name val="Calibri"/>
      <family val="2"/>
      <scheme val="minor"/>
    </font>
    <font>
      <b/>
      <sz val="8"/>
      <color rgb="FF000000"/>
      <name val="Arial"/>
      <family val="2"/>
    </font>
    <font>
      <b/>
      <i/>
      <sz val="11"/>
      <color theme="1"/>
      <name val="Calibri"/>
      <family val="2"/>
      <scheme val="minor"/>
    </font>
    <font>
      <b/>
      <sz val="10"/>
      <color theme="1"/>
      <name val="Arial Narrow"/>
      <family val="2"/>
    </font>
    <font>
      <sz val="9"/>
      <color theme="1"/>
      <name val="Calibri"/>
      <family val="2"/>
      <scheme val="minor"/>
    </font>
    <font>
      <sz val="11"/>
      <name val="Calibri"/>
      <family val="2"/>
      <scheme val="minor"/>
    </font>
    <font>
      <sz val="11"/>
      <color theme="0" tint="-4.9989318521683403E-2"/>
      <name val="Calibri"/>
      <family val="2"/>
      <scheme val="minor"/>
    </font>
    <font>
      <b/>
      <sz val="16"/>
      <name val="Calibri"/>
      <family val="2"/>
      <scheme val="minor"/>
    </font>
    <font>
      <b/>
      <sz val="16"/>
      <color theme="1"/>
      <name val="Calibri"/>
      <family val="2"/>
      <scheme val="minor"/>
    </font>
    <font>
      <sz val="11"/>
      <color theme="8" tint="-0.249977111117893"/>
      <name val="Calibri"/>
      <family val="2"/>
      <scheme val="minor"/>
    </font>
    <font>
      <sz val="20"/>
      <color theme="0"/>
      <name val="Arial Black"/>
      <family val="2"/>
    </font>
    <font>
      <sz val="9"/>
      <color theme="1"/>
      <name val="Arial"/>
      <family val="2"/>
    </font>
    <font>
      <b/>
      <sz val="9"/>
      <color theme="1"/>
      <name val="Arial"/>
      <family val="2"/>
    </font>
    <font>
      <sz val="9"/>
      <color rgb="FF000000"/>
      <name val="Arial"/>
      <family val="2"/>
    </font>
    <font>
      <b/>
      <sz val="9"/>
      <color rgb="FF000000"/>
      <name val="Arial"/>
      <family val="2"/>
    </font>
    <font>
      <b/>
      <sz val="9"/>
      <name val="Arial"/>
      <family val="2"/>
    </font>
    <font>
      <sz val="9"/>
      <name val="Arial"/>
      <family val="2"/>
    </font>
    <font>
      <b/>
      <sz val="9"/>
      <color theme="1"/>
      <name val="Calibri"/>
      <family val="2"/>
      <scheme val="minor"/>
    </font>
    <font>
      <b/>
      <sz val="14"/>
      <name val="Calibri"/>
      <family val="2"/>
      <scheme val="minor"/>
    </font>
    <font>
      <b/>
      <sz val="9"/>
      <color rgb="FF1F3864"/>
      <name val="Arial"/>
      <family val="2"/>
    </font>
    <font>
      <sz val="8"/>
      <color rgb="FF1F3864"/>
      <name val="Arial"/>
      <family val="2"/>
    </font>
    <font>
      <sz val="8"/>
      <name val="Arial"/>
      <family val="2"/>
    </font>
    <font>
      <b/>
      <sz val="11"/>
      <name val="Calibri"/>
      <family val="2"/>
      <scheme val="minor"/>
    </font>
    <font>
      <u/>
      <sz val="8"/>
      <color theme="10"/>
      <name val="Calibri"/>
      <family val="2"/>
      <scheme val="minor"/>
    </font>
    <font>
      <u/>
      <sz val="9"/>
      <color theme="10"/>
      <name val="Calibri"/>
      <family val="2"/>
      <scheme val="minor"/>
    </font>
    <font>
      <b/>
      <u/>
      <sz val="9"/>
      <color theme="10"/>
      <name val="Calibri"/>
      <family val="2"/>
      <scheme val="minor"/>
    </font>
    <font>
      <b/>
      <sz val="16"/>
      <color theme="1"/>
      <name val="Arial"/>
      <family val="2"/>
    </font>
    <font>
      <b/>
      <sz val="9"/>
      <color rgb="FFFF0000"/>
      <name val="Arial"/>
      <family val="2"/>
    </font>
    <font>
      <sz val="8"/>
      <color theme="1"/>
      <name val="Calibri"/>
      <family val="2"/>
      <scheme val="minor"/>
    </font>
    <font>
      <sz val="9"/>
      <name val="Calibri"/>
      <family val="2"/>
      <scheme val="minor"/>
    </font>
    <font>
      <b/>
      <sz val="9"/>
      <name val="Calibri"/>
      <family val="2"/>
      <scheme val="minor"/>
    </font>
    <font>
      <b/>
      <sz val="9"/>
      <color indexed="81"/>
      <name val="Tahoma"/>
      <family val="2"/>
    </font>
    <font>
      <sz val="9"/>
      <color indexed="81"/>
      <name val="Tahoma"/>
      <family val="2"/>
    </font>
    <font>
      <b/>
      <sz val="20"/>
      <color theme="1"/>
      <name val="Calibri"/>
      <family val="2"/>
      <scheme val="minor"/>
    </font>
    <font>
      <sz val="20"/>
      <color theme="1"/>
      <name val="Calibri"/>
      <family val="2"/>
      <scheme val="minor"/>
    </font>
    <font>
      <b/>
      <sz val="18"/>
      <color theme="1"/>
      <name val="Calibri"/>
      <family val="2"/>
      <scheme val="minor"/>
    </font>
    <font>
      <b/>
      <sz val="14"/>
      <color theme="1"/>
      <name val="Calibri"/>
      <family val="2"/>
      <scheme val="minor"/>
    </font>
    <font>
      <sz val="9"/>
      <color rgb="FFFF0000"/>
      <name val="Arial"/>
      <family val="2"/>
    </font>
    <font>
      <b/>
      <sz val="9"/>
      <color rgb="FF0000CC"/>
      <name val="Arial"/>
      <family val="2"/>
    </font>
    <font>
      <sz val="14"/>
      <color theme="1"/>
      <name val="Calibri"/>
      <family val="2"/>
      <scheme val="minor"/>
    </font>
    <font>
      <sz val="9"/>
      <color theme="10"/>
      <name val="Calibri"/>
      <family val="2"/>
      <scheme val="minor"/>
    </font>
    <font>
      <sz val="12"/>
      <color theme="10"/>
      <name val="Calibri"/>
      <family val="2"/>
      <scheme val="minor"/>
    </font>
    <font>
      <sz val="12"/>
      <color rgb="FF0070C0"/>
      <name val="Calibri"/>
      <family val="2"/>
    </font>
    <font>
      <u/>
      <sz val="8"/>
      <name val="Calibri"/>
      <family val="2"/>
      <scheme val="minor"/>
    </font>
    <font>
      <sz val="8"/>
      <name val="Calibri"/>
      <family val="2"/>
      <scheme val="minor"/>
    </font>
    <font>
      <u/>
      <sz val="9"/>
      <name val="Calibri"/>
      <family val="2"/>
      <scheme val="minor"/>
    </font>
    <font>
      <b/>
      <u/>
      <sz val="9"/>
      <name val="Calibri"/>
      <family val="2"/>
      <scheme val="minor"/>
    </font>
    <font>
      <b/>
      <sz val="12"/>
      <color theme="1"/>
      <name val="Arial"/>
      <family val="2"/>
    </font>
    <font>
      <b/>
      <sz val="12"/>
      <color theme="0" tint="-4.9989318521683403E-2"/>
      <name val="Calibri"/>
      <family val="2"/>
      <scheme val="minor"/>
    </font>
    <font>
      <b/>
      <sz val="12"/>
      <color rgb="FF000000"/>
      <name val="Arial"/>
      <family val="2"/>
    </font>
  </fonts>
  <fills count="31">
    <fill>
      <patternFill patternType="none"/>
    </fill>
    <fill>
      <patternFill patternType="gray125"/>
    </fill>
    <fill>
      <patternFill patternType="solid">
        <fgColor rgb="FFF2F2F2"/>
        <bgColor indexed="64"/>
      </patternFill>
    </fill>
    <fill>
      <patternFill patternType="solid">
        <fgColor rgb="FFBDD6EE"/>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92FB4B"/>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33CCFF"/>
        <bgColor indexed="64"/>
      </patternFill>
    </fill>
    <fill>
      <patternFill patternType="solid">
        <fgColor rgb="FF002060"/>
        <bgColor indexed="64"/>
      </patternFill>
    </fill>
    <fill>
      <patternFill patternType="solid">
        <fgColor rgb="FFFFFF00"/>
        <bgColor indexed="64"/>
      </patternFill>
    </fill>
    <fill>
      <patternFill patternType="solid">
        <fgColor rgb="FFFF0000"/>
        <bgColor indexed="64"/>
      </patternFill>
    </fill>
    <fill>
      <patternFill patternType="solid">
        <fgColor rgb="FF000066"/>
        <bgColor indexed="64"/>
      </patternFill>
    </fill>
    <fill>
      <patternFill patternType="solid">
        <fgColor theme="9" tint="0.39997558519241921"/>
        <bgColor indexed="64"/>
      </patternFill>
    </fill>
    <fill>
      <patternFill patternType="solid">
        <fgColor rgb="FFFF99FF"/>
        <bgColor indexed="64"/>
      </patternFill>
    </fill>
    <fill>
      <patternFill patternType="solid">
        <fgColor rgb="FFFFFF99"/>
        <bgColor indexed="64"/>
      </patternFill>
    </fill>
  </fills>
  <borders count="7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top style="medium">
        <color indexed="64"/>
      </top>
      <bottom style="thin">
        <color auto="1"/>
      </bottom>
      <diagonal/>
    </border>
    <border>
      <left/>
      <right/>
      <top style="thin">
        <color auto="1"/>
      </top>
      <bottom style="thin">
        <color auto="1"/>
      </bottom>
      <diagonal/>
    </border>
    <border>
      <left/>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auto="1"/>
      </left>
      <right style="medium">
        <color indexed="64"/>
      </right>
      <top style="thin">
        <color auto="1"/>
      </top>
      <bottom/>
      <diagonal/>
    </border>
    <border>
      <left/>
      <right/>
      <top style="thin">
        <color auto="1"/>
      </top>
      <bottom/>
      <diagonal/>
    </border>
    <border>
      <left style="medium">
        <color indexed="64"/>
      </left>
      <right style="medium">
        <color indexed="64"/>
      </right>
      <top style="thin">
        <color auto="1"/>
      </top>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right style="thin">
        <color auto="1"/>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bottom style="thin">
        <color auto="1"/>
      </bottom>
      <diagonal/>
    </border>
    <border>
      <left style="medium">
        <color indexed="64"/>
      </left>
      <right style="thin">
        <color auto="1"/>
      </right>
      <top/>
      <bottom style="thin">
        <color auto="1"/>
      </bottom>
      <diagonal/>
    </border>
    <border>
      <left style="thin">
        <color auto="1"/>
      </left>
      <right/>
      <top style="thin">
        <color auto="1"/>
      </top>
      <bottom/>
      <diagonal/>
    </border>
    <border>
      <left style="medium">
        <color indexed="64"/>
      </left>
      <right style="thin">
        <color indexed="64"/>
      </right>
      <top/>
      <bottom style="medium">
        <color indexed="64"/>
      </bottom>
      <diagonal/>
    </border>
    <border>
      <left style="thin">
        <color auto="1"/>
      </left>
      <right style="medium">
        <color indexed="64"/>
      </right>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top/>
      <bottom style="thin">
        <color indexed="64"/>
      </bottom>
      <diagonal/>
    </border>
    <border>
      <left/>
      <right style="medium">
        <color indexed="64"/>
      </right>
      <top/>
      <bottom style="thin">
        <color auto="1"/>
      </bottom>
      <diagonal/>
    </border>
    <border>
      <left/>
      <right style="thin">
        <color indexed="64"/>
      </right>
      <top style="thin">
        <color indexed="64"/>
      </top>
      <bottom/>
      <diagonal/>
    </border>
    <border>
      <left/>
      <right style="medium">
        <color indexed="64"/>
      </right>
      <top style="thin">
        <color auto="1"/>
      </top>
      <bottom/>
      <diagonal/>
    </border>
    <border>
      <left style="thin">
        <color auto="1"/>
      </left>
      <right/>
      <top/>
      <bottom style="medium">
        <color indexed="64"/>
      </bottom>
      <diagonal/>
    </border>
    <border>
      <left style="medium">
        <color indexed="64"/>
      </left>
      <right/>
      <top/>
      <bottom style="thin">
        <color auto="1"/>
      </bottom>
      <diagonal/>
    </border>
    <border>
      <left style="thin">
        <color auto="1"/>
      </left>
      <right style="thin">
        <color auto="1"/>
      </right>
      <top/>
      <bottom style="medium">
        <color indexed="64"/>
      </bottom>
      <diagonal/>
    </border>
    <border>
      <left style="thin">
        <color auto="1"/>
      </left>
      <right style="thin">
        <color auto="1"/>
      </right>
      <top/>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style="medium">
        <color indexed="64"/>
      </top>
      <bottom/>
      <diagonal/>
    </border>
    <border>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0" fontId="9" fillId="0" borderId="0" applyNumberFormat="0" applyFill="0" applyBorder="0" applyAlignment="0" applyProtection="0"/>
  </cellStyleXfs>
  <cellXfs count="1458">
    <xf numFmtId="0" fontId="0" fillId="0" borderId="0" xfId="0"/>
    <xf numFmtId="0" fontId="0" fillId="24" borderId="0" xfId="0" applyFill="1" applyProtection="1">
      <protection locked="0"/>
    </xf>
    <xf numFmtId="0" fontId="20" fillId="24" borderId="42" xfId="0" applyFont="1" applyFill="1" applyBorder="1" applyProtection="1">
      <protection locked="0"/>
    </xf>
    <xf numFmtId="0" fontId="20" fillId="24" borderId="44" xfId="0" applyFont="1" applyFill="1" applyBorder="1" applyProtection="1">
      <protection locked="0"/>
    </xf>
    <xf numFmtId="0" fontId="20" fillId="24" borderId="45" xfId="0" applyFont="1" applyFill="1" applyBorder="1" applyProtection="1">
      <protection locked="0"/>
    </xf>
    <xf numFmtId="0" fontId="0" fillId="0" borderId="0" xfId="0" applyProtection="1">
      <protection locked="0"/>
    </xf>
    <xf numFmtId="0" fontId="20" fillId="24" borderId="9" xfId="0" applyFont="1" applyFill="1" applyBorder="1" applyProtection="1">
      <protection locked="0"/>
    </xf>
    <xf numFmtId="0" fontId="17" fillId="24" borderId="9" xfId="0" applyFont="1" applyFill="1" applyBorder="1" applyProtection="1">
      <protection locked="0"/>
    </xf>
    <xf numFmtId="0" fontId="18" fillId="12" borderId="1" xfId="0" applyFont="1" applyFill="1" applyBorder="1" applyAlignment="1" applyProtection="1">
      <alignment horizontal="center" vertical="center"/>
      <protection locked="0"/>
    </xf>
    <xf numFmtId="0" fontId="17" fillId="24" borderId="6" xfId="0" applyFont="1" applyFill="1" applyBorder="1" applyProtection="1">
      <protection locked="0"/>
    </xf>
    <xf numFmtId="0" fontId="17" fillId="24" borderId="7" xfId="0" applyFont="1" applyFill="1" applyBorder="1" applyProtection="1">
      <protection locked="0"/>
    </xf>
    <xf numFmtId="0" fontId="0" fillId="2" borderId="3" xfId="0" applyFill="1" applyBorder="1" applyAlignment="1" applyProtection="1">
      <alignment vertical="center" wrapText="1"/>
      <protection locked="0"/>
    </xf>
    <xf numFmtId="0" fontId="0" fillId="9" borderId="3" xfId="0" applyFill="1" applyBorder="1" applyProtection="1">
      <protection locked="0"/>
    </xf>
    <xf numFmtId="0" fontId="0" fillId="9" borderId="1" xfId="0" applyFill="1" applyBorder="1" applyProtection="1">
      <protection locked="0"/>
    </xf>
    <xf numFmtId="0" fontId="8" fillId="0" borderId="0" xfId="0" applyFont="1" applyProtection="1">
      <protection locked="0"/>
    </xf>
    <xf numFmtId="0" fontId="7"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0" fillId="14" borderId="3" xfId="0" applyFill="1" applyBorder="1" applyProtection="1">
      <protection locked="0"/>
    </xf>
    <xf numFmtId="0" fontId="0" fillId="14" borderId="4" xfId="0" applyFill="1" applyBorder="1" applyProtection="1">
      <protection locked="0"/>
    </xf>
    <xf numFmtId="0" fontId="11" fillId="0" borderId="0" xfId="0" applyFont="1" applyProtection="1">
      <protection locked="0"/>
    </xf>
    <xf numFmtId="0" fontId="9" fillId="0" borderId="0" xfId="3" applyProtection="1">
      <protection locked="0"/>
    </xf>
    <xf numFmtId="0" fontId="0" fillId="0" borderId="0" xfId="0" applyProtection="1"/>
    <xf numFmtId="0" fontId="2" fillId="5" borderId="15" xfId="0" applyFont="1" applyFill="1" applyBorder="1" applyProtection="1"/>
    <xf numFmtId="2" fontId="2" fillId="5" borderId="11" xfId="0" applyNumberFormat="1" applyFont="1" applyFill="1" applyBorder="1" applyProtection="1"/>
    <xf numFmtId="0" fontId="0" fillId="5" borderId="11" xfId="0" applyFill="1" applyBorder="1" applyProtection="1"/>
    <xf numFmtId="0" fontId="0" fillId="5" borderId="20" xfId="0" applyFill="1" applyBorder="1" applyProtection="1"/>
    <xf numFmtId="0" fontId="13" fillId="5" borderId="15" xfId="0" applyFont="1" applyFill="1" applyBorder="1" applyAlignment="1" applyProtection="1">
      <alignment vertical="center"/>
    </xf>
    <xf numFmtId="2" fontId="14" fillId="5" borderId="11" xfId="0" applyNumberFormat="1" applyFont="1" applyFill="1" applyBorder="1" applyAlignment="1" applyProtection="1">
      <alignment horizontal="center" vertical="center"/>
    </xf>
    <xf numFmtId="9" fontId="0" fillId="5" borderId="11" xfId="1" applyFont="1" applyFill="1" applyBorder="1" applyProtection="1"/>
    <xf numFmtId="0" fontId="13" fillId="5" borderId="21" xfId="0" applyFont="1" applyFill="1" applyBorder="1" applyAlignment="1" applyProtection="1">
      <alignment vertical="center"/>
    </xf>
    <xf numFmtId="2" fontId="14" fillId="5" borderId="22" xfId="0" applyNumberFormat="1" applyFont="1" applyFill="1" applyBorder="1" applyAlignment="1" applyProtection="1">
      <alignment horizontal="center" vertical="center"/>
    </xf>
    <xf numFmtId="2" fontId="0" fillId="5" borderId="22" xfId="0" applyNumberFormat="1" applyFill="1" applyBorder="1" applyProtection="1"/>
    <xf numFmtId="0" fontId="0" fillId="5" borderId="23" xfId="0" applyFill="1" applyBorder="1" applyProtection="1"/>
    <xf numFmtId="0" fontId="3" fillId="3" borderId="0" xfId="0" applyFont="1" applyFill="1" applyBorder="1" applyAlignment="1" applyProtection="1">
      <alignment vertical="center" wrapText="1"/>
    </xf>
    <xf numFmtId="0" fontId="3" fillId="3" borderId="2" xfId="0" applyFont="1" applyFill="1" applyBorder="1" applyAlignment="1" applyProtection="1">
      <alignment vertical="center" wrapText="1"/>
    </xf>
    <xf numFmtId="0" fontId="3" fillId="3" borderId="3" xfId="0" applyFont="1" applyFill="1" applyBorder="1" applyAlignment="1" applyProtection="1">
      <alignment vertical="center" wrapText="1"/>
    </xf>
    <xf numFmtId="0" fontId="6" fillId="3" borderId="2" xfId="0" applyFont="1" applyFill="1" applyBorder="1" applyAlignment="1" applyProtection="1">
      <alignment vertical="center" wrapText="1"/>
    </xf>
    <xf numFmtId="0" fontId="6" fillId="3" borderId="3" xfId="0" applyFont="1" applyFill="1" applyBorder="1" applyAlignment="1" applyProtection="1">
      <alignment vertical="center" wrapText="1"/>
    </xf>
    <xf numFmtId="0" fontId="0" fillId="2" borderId="16" xfId="0" applyFill="1" applyBorder="1" applyAlignment="1" applyProtection="1">
      <alignment vertical="center" wrapText="1"/>
    </xf>
    <xf numFmtId="0" fontId="0" fillId="3" borderId="0" xfId="0" applyFill="1" applyBorder="1" applyAlignment="1" applyProtection="1">
      <alignment vertical="center" wrapText="1"/>
    </xf>
    <xf numFmtId="0" fontId="0" fillId="9" borderId="3" xfId="0" applyFill="1" applyBorder="1" applyAlignment="1" applyProtection="1">
      <alignment vertical="center" wrapText="1"/>
    </xf>
    <xf numFmtId="0" fontId="0" fillId="2" borderId="2" xfId="0" applyFill="1" applyBorder="1" applyAlignment="1" applyProtection="1">
      <alignment vertical="center" wrapText="1"/>
    </xf>
    <xf numFmtId="0" fontId="3" fillId="3" borderId="44" xfId="0" applyFont="1" applyFill="1" applyBorder="1" applyAlignment="1" applyProtection="1">
      <alignment vertical="center" wrapText="1"/>
    </xf>
    <xf numFmtId="0" fontId="2" fillId="5" borderId="17" xfId="0" applyFont="1" applyFill="1" applyBorder="1" applyProtection="1"/>
    <xf numFmtId="0" fontId="0" fillId="5" borderId="18" xfId="0" applyFill="1" applyBorder="1" applyProtection="1"/>
    <xf numFmtId="0" fontId="0" fillId="5" borderId="19" xfId="0" applyFill="1" applyBorder="1" applyProtection="1"/>
    <xf numFmtId="0" fontId="3" fillId="3" borderId="16" xfId="0" applyFont="1" applyFill="1" applyBorder="1" applyAlignment="1" applyProtection="1">
      <alignment vertical="center" wrapText="1"/>
    </xf>
    <xf numFmtId="0" fontId="24" fillId="0" borderId="31" xfId="0" applyFont="1" applyFill="1" applyBorder="1" applyAlignment="1" applyProtection="1">
      <alignment vertical="center" wrapText="1"/>
    </xf>
    <xf numFmtId="0" fontId="15" fillId="0" borderId="34" xfId="0" applyFont="1" applyBorder="1" applyProtection="1">
      <protection locked="0"/>
    </xf>
    <xf numFmtId="0" fontId="24" fillId="0" borderId="32" xfId="0" applyFont="1" applyFill="1" applyBorder="1" applyAlignment="1" applyProtection="1">
      <alignment vertical="center" wrapText="1"/>
    </xf>
    <xf numFmtId="0" fontId="24" fillId="0" borderId="19" xfId="0" applyFont="1" applyFill="1" applyBorder="1" applyAlignment="1" applyProtection="1">
      <alignment vertical="center" wrapText="1"/>
    </xf>
    <xf numFmtId="0" fontId="15" fillId="0" borderId="32" xfId="0" applyFont="1" applyBorder="1" applyProtection="1">
      <protection locked="0"/>
    </xf>
    <xf numFmtId="0" fontId="24" fillId="0" borderId="20" xfId="0" applyFont="1" applyFill="1" applyBorder="1" applyAlignment="1" applyProtection="1">
      <alignment vertical="center" wrapText="1"/>
    </xf>
    <xf numFmtId="0" fontId="15" fillId="0" borderId="33" xfId="0" applyFont="1" applyBorder="1" applyProtection="1">
      <protection locked="0"/>
    </xf>
    <xf numFmtId="0" fontId="3" fillId="3" borderId="42" xfId="0" applyFont="1" applyFill="1" applyBorder="1" applyAlignment="1" applyProtection="1">
      <alignment vertical="center" wrapText="1"/>
    </xf>
    <xf numFmtId="0" fontId="24" fillId="0" borderId="34" xfId="0" applyFont="1" applyFill="1" applyBorder="1" applyAlignment="1" applyProtection="1">
      <alignment vertical="center" wrapText="1"/>
    </xf>
    <xf numFmtId="0" fontId="24" fillId="0" borderId="2" xfId="0" applyFont="1" applyFill="1" applyBorder="1" applyAlignment="1" applyProtection="1">
      <alignment vertical="center" wrapText="1"/>
    </xf>
    <xf numFmtId="0" fontId="24" fillId="12" borderId="2" xfId="0" applyFont="1" applyFill="1" applyBorder="1" applyAlignment="1" applyProtection="1">
      <alignment vertical="center" wrapText="1"/>
    </xf>
    <xf numFmtId="0" fontId="22" fillId="0" borderId="2" xfId="0" applyFont="1" applyFill="1" applyBorder="1" applyAlignment="1" applyProtection="1">
      <alignment vertical="center" wrapText="1"/>
    </xf>
    <xf numFmtId="0" fontId="16" fillId="24" borderId="6" xfId="0" applyFont="1" applyFill="1" applyBorder="1" applyProtection="1">
      <protection locked="0"/>
    </xf>
    <xf numFmtId="0" fontId="15" fillId="0" borderId="24" xfId="0" applyFont="1" applyBorder="1" applyProtection="1">
      <protection locked="0"/>
    </xf>
    <xf numFmtId="0" fontId="27" fillId="0" borderId="32" xfId="0" applyFont="1" applyBorder="1" applyAlignment="1" applyProtection="1">
      <alignment vertical="center" wrapText="1"/>
    </xf>
    <xf numFmtId="0" fontId="24" fillId="12" borderId="32" xfId="0" applyFont="1" applyFill="1" applyBorder="1" applyAlignment="1" applyProtection="1">
      <alignment vertical="center" wrapText="1"/>
    </xf>
    <xf numFmtId="0" fontId="24" fillId="12" borderId="29" xfId="0" applyFont="1" applyFill="1" applyBorder="1" applyAlignment="1" applyProtection="1">
      <alignment vertical="center" wrapText="1"/>
    </xf>
    <xf numFmtId="0" fontId="24" fillId="0" borderId="30" xfId="0" applyFont="1" applyFill="1" applyBorder="1" applyAlignment="1" applyProtection="1">
      <alignment vertical="center" wrapText="1"/>
    </xf>
    <xf numFmtId="0" fontId="22" fillId="0" borderId="33" xfId="0" applyFont="1" applyBorder="1" applyAlignment="1" applyProtection="1">
      <alignment vertical="center" wrapText="1"/>
    </xf>
    <xf numFmtId="0" fontId="22" fillId="0" borderId="34" xfId="0" applyFont="1" applyBorder="1" applyAlignment="1" applyProtection="1">
      <alignment vertical="center" wrapText="1"/>
    </xf>
    <xf numFmtId="0" fontId="22" fillId="0" borderId="1" xfId="0" applyFont="1" applyBorder="1" applyAlignment="1" applyProtection="1">
      <alignment vertical="center" wrapText="1"/>
    </xf>
    <xf numFmtId="0" fontId="24" fillId="0" borderId="1" xfId="0" applyFont="1" applyFill="1" applyBorder="1" applyAlignment="1" applyProtection="1">
      <alignment vertical="center" wrapText="1"/>
    </xf>
    <xf numFmtId="0" fontId="24" fillId="12" borderId="1" xfId="0" applyFont="1" applyFill="1" applyBorder="1" applyAlignment="1" applyProtection="1">
      <alignment vertical="center" wrapText="1"/>
    </xf>
    <xf numFmtId="0" fontId="24" fillId="0" borderId="5" xfId="0" applyFont="1" applyBorder="1" applyAlignment="1" applyProtection="1">
      <alignment vertical="center" wrapText="1"/>
    </xf>
    <xf numFmtId="0" fontId="24" fillId="12" borderId="7" xfId="0" applyFont="1" applyFill="1" applyBorder="1" applyAlignment="1" applyProtection="1">
      <alignment vertical="center" wrapText="1"/>
    </xf>
    <xf numFmtId="0" fontId="24" fillId="0" borderId="7" xfId="0" applyFont="1" applyBorder="1" applyAlignment="1" applyProtection="1">
      <alignment vertical="center" wrapText="1"/>
    </xf>
    <xf numFmtId="0" fontId="24" fillId="12" borderId="30" xfId="0" applyFont="1" applyFill="1" applyBorder="1" applyAlignment="1" applyProtection="1">
      <alignment vertical="center" wrapText="1"/>
    </xf>
    <xf numFmtId="0" fontId="24" fillId="12" borderId="31" xfId="0" applyFont="1" applyFill="1" applyBorder="1" applyAlignment="1" applyProtection="1">
      <alignment vertical="center" wrapText="1"/>
    </xf>
    <xf numFmtId="0" fontId="24" fillId="0" borderId="26" xfId="0" applyFont="1" applyFill="1" applyBorder="1" applyAlignment="1" applyProtection="1">
      <alignment vertical="center" wrapText="1"/>
    </xf>
    <xf numFmtId="0" fontId="24" fillId="0" borderId="23" xfId="0" applyFont="1" applyFill="1" applyBorder="1" applyAlignment="1" applyProtection="1">
      <alignment vertical="center" wrapText="1"/>
    </xf>
    <xf numFmtId="0" fontId="24" fillId="0" borderId="2" xfId="0" applyFont="1" applyBorder="1" applyAlignment="1" applyProtection="1">
      <alignment vertical="center" wrapText="1"/>
    </xf>
    <xf numFmtId="0" fontId="24" fillId="0" borderId="1" xfId="0" applyFont="1" applyBorder="1" applyAlignment="1" applyProtection="1">
      <alignment vertical="center" wrapText="1"/>
    </xf>
    <xf numFmtId="0" fontId="24" fillId="0" borderId="24" xfId="0" applyFont="1" applyFill="1" applyBorder="1" applyAlignment="1" applyProtection="1">
      <alignment vertical="center" wrapText="1"/>
    </xf>
    <xf numFmtId="0" fontId="24" fillId="0" borderId="58" xfId="0" applyFont="1" applyFill="1" applyBorder="1" applyAlignment="1" applyProtection="1">
      <alignment vertical="center" wrapText="1"/>
    </xf>
    <xf numFmtId="0" fontId="24" fillId="12" borderId="45" xfId="0" applyFont="1" applyFill="1" applyBorder="1" applyAlignment="1" applyProtection="1">
      <alignment vertical="center" wrapText="1"/>
    </xf>
    <xf numFmtId="0" fontId="22" fillId="0" borderId="52" xfId="0" applyFont="1" applyBorder="1" applyAlignment="1" applyProtection="1">
      <alignment horizontal="left" vertical="center" wrapText="1"/>
    </xf>
    <xf numFmtId="0" fontId="24" fillId="12" borderId="33" xfId="0" applyFont="1" applyFill="1" applyBorder="1" applyAlignment="1" applyProtection="1">
      <alignment vertical="center" wrapText="1"/>
    </xf>
    <xf numFmtId="0" fontId="24" fillId="12" borderId="34" xfId="0" applyFont="1" applyFill="1" applyBorder="1" applyAlignment="1" applyProtection="1">
      <alignment vertical="center" wrapText="1"/>
    </xf>
    <xf numFmtId="0" fontId="0" fillId="11" borderId="0" xfId="0" applyFill="1" applyProtection="1">
      <protection locked="0"/>
    </xf>
    <xf numFmtId="0" fontId="15" fillId="0" borderId="1" xfId="0" applyFont="1" applyBorder="1" applyAlignment="1" applyProtection="1">
      <alignment vertical="top" wrapText="1"/>
      <protection locked="0"/>
    </xf>
    <xf numFmtId="0" fontId="15" fillId="0" borderId="32" xfId="0" applyFont="1" applyBorder="1" applyAlignment="1" applyProtection="1">
      <alignment horizontal="left" vertical="center" wrapText="1"/>
      <protection locked="0"/>
    </xf>
    <xf numFmtId="0" fontId="34" fillId="0" borderId="41" xfId="3" applyFont="1" applyBorder="1" applyAlignment="1" applyProtection="1">
      <alignment wrapText="1"/>
      <protection locked="0"/>
    </xf>
    <xf numFmtId="0" fontId="35" fillId="0" borderId="58" xfId="3" applyFont="1" applyBorder="1" applyAlignment="1" applyProtection="1">
      <alignment vertical="top" wrapText="1"/>
      <protection locked="0"/>
    </xf>
    <xf numFmtId="0" fontId="15" fillId="0" borderId="2" xfId="0" applyFont="1" applyBorder="1" applyProtection="1">
      <protection locked="0"/>
    </xf>
    <xf numFmtId="0" fontId="35" fillId="0" borderId="2" xfId="3" applyFont="1" applyBorder="1" applyAlignment="1" applyProtection="1">
      <alignment wrapText="1"/>
      <protection locked="0"/>
    </xf>
    <xf numFmtId="0" fontId="0" fillId="0" borderId="32" xfId="0" applyBorder="1" applyProtection="1">
      <protection locked="0"/>
    </xf>
    <xf numFmtId="0" fontId="0" fillId="0" borderId="26" xfId="0" applyBorder="1" applyProtection="1">
      <protection locked="0"/>
    </xf>
    <xf numFmtId="0" fontId="0" fillId="0" borderId="34" xfId="0" applyBorder="1" applyProtection="1">
      <protection locked="0"/>
    </xf>
    <xf numFmtId="0" fontId="0" fillId="0" borderId="33" xfId="0" applyBorder="1" applyProtection="1">
      <protection locked="0"/>
    </xf>
    <xf numFmtId="0" fontId="15" fillId="12" borderId="25" xfId="0" applyFont="1" applyFill="1" applyBorder="1" applyProtection="1">
      <protection locked="0"/>
    </xf>
    <xf numFmtId="0" fontId="0" fillId="0" borderId="2" xfId="0" applyBorder="1" applyProtection="1">
      <protection locked="0"/>
    </xf>
    <xf numFmtId="0" fontId="22" fillId="12" borderId="1" xfId="0" applyFont="1" applyFill="1" applyBorder="1" applyAlignment="1" applyProtection="1">
      <alignment vertical="center" wrapText="1"/>
    </xf>
    <xf numFmtId="0" fontId="24" fillId="12" borderId="6" xfId="0" applyFont="1" applyFill="1" applyBorder="1" applyAlignment="1" applyProtection="1">
      <alignment vertical="center" wrapText="1"/>
    </xf>
    <xf numFmtId="0" fontId="4" fillId="0" borderId="44" xfId="0" applyFont="1" applyBorder="1" applyAlignment="1" applyProtection="1">
      <alignment vertical="center" wrapText="1"/>
    </xf>
    <xf numFmtId="0" fontId="2" fillId="5" borderId="54" xfId="0" applyFont="1" applyFill="1" applyBorder="1" applyProtection="1"/>
    <xf numFmtId="0" fontId="0" fillId="5" borderId="14" xfId="0" applyFill="1" applyBorder="1" applyProtection="1"/>
    <xf numFmtId="0" fontId="0" fillId="5" borderId="74" xfId="0" applyFill="1" applyBorder="1" applyProtection="1"/>
    <xf numFmtId="0" fontId="4" fillId="11" borderId="44" xfId="0" applyFont="1" applyFill="1" applyBorder="1" applyAlignment="1" applyProtection="1">
      <alignment vertical="center" wrapText="1"/>
    </xf>
    <xf numFmtId="0" fontId="0" fillId="11" borderId="0" xfId="0" applyFill="1" applyProtection="1"/>
    <xf numFmtId="0" fontId="2" fillId="11" borderId="54" xfId="0" applyFont="1" applyFill="1" applyBorder="1" applyProtection="1"/>
    <xf numFmtId="0" fontId="0" fillId="11" borderId="14" xfId="0" applyFill="1" applyBorder="1" applyProtection="1"/>
    <xf numFmtId="0" fontId="0" fillId="11" borderId="74" xfId="0" applyFill="1" applyBorder="1" applyProtection="1"/>
    <xf numFmtId="0" fontId="15" fillId="25" borderId="1" xfId="0" applyFont="1" applyFill="1" applyBorder="1" applyAlignment="1" applyProtection="1">
      <alignment vertical="top" wrapText="1"/>
      <protection locked="0"/>
    </xf>
    <xf numFmtId="9" fontId="23" fillId="11" borderId="1" xfId="1" applyFont="1" applyFill="1" applyBorder="1" applyAlignment="1" applyProtection="1">
      <alignment horizontal="center" vertical="center" wrapText="1"/>
    </xf>
    <xf numFmtId="0" fontId="2" fillId="2" borderId="16" xfId="0" applyFont="1" applyFill="1" applyBorder="1" applyAlignment="1" applyProtection="1">
      <alignment vertical="center" wrapText="1"/>
    </xf>
    <xf numFmtId="0" fontId="24" fillId="0" borderId="32"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33" xfId="0" applyFont="1" applyBorder="1" applyAlignment="1" applyProtection="1">
      <alignment vertical="center" wrapText="1"/>
    </xf>
    <xf numFmtId="0" fontId="8" fillId="0" borderId="0" xfId="0" applyFont="1" applyBorder="1" applyAlignment="1" applyProtection="1">
      <alignment horizontal="center" vertical="center"/>
      <protection locked="0"/>
    </xf>
    <xf numFmtId="0" fontId="24" fillId="0" borderId="32" xfId="0" applyFont="1" applyBorder="1" applyAlignment="1" applyProtection="1">
      <alignment vertical="center" wrapText="1"/>
    </xf>
    <xf numFmtId="0" fontId="24" fillId="0" borderId="33"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0" fontId="24" fillId="0" borderId="33" xfId="0" applyFont="1" applyFill="1" applyBorder="1" applyAlignment="1" applyProtection="1">
      <alignment vertical="center" wrapText="1"/>
    </xf>
    <xf numFmtId="0" fontId="0" fillId="9" borderId="0" xfId="0" applyFill="1" applyProtection="1">
      <protection locked="0"/>
    </xf>
    <xf numFmtId="0" fontId="0" fillId="0" borderId="64" xfId="0" applyBorder="1" applyProtection="1">
      <protection locked="0"/>
    </xf>
    <xf numFmtId="0" fontId="35" fillId="0" borderId="25" xfId="3" applyFont="1" applyBorder="1" applyAlignment="1" applyProtection="1">
      <alignment vertical="top" wrapText="1"/>
      <protection locked="0"/>
    </xf>
    <xf numFmtId="0" fontId="35" fillId="0" borderId="2" xfId="3" applyFont="1" applyBorder="1" applyAlignment="1" applyProtection="1">
      <alignment horizontal="left" vertical="center" wrapText="1"/>
      <protection locked="0"/>
    </xf>
    <xf numFmtId="0" fontId="0" fillId="2" borderId="5" xfId="0" applyFill="1" applyBorder="1" applyAlignment="1" applyProtection="1">
      <alignment vertical="center" wrapText="1"/>
      <protection locked="0"/>
    </xf>
    <xf numFmtId="0" fontId="10" fillId="11" borderId="2" xfId="0" applyFont="1" applyFill="1" applyBorder="1" applyAlignment="1" applyProtection="1">
      <alignment vertical="center" wrapText="1"/>
    </xf>
    <xf numFmtId="0" fontId="34" fillId="0" borderId="53" xfId="3" applyFont="1" applyBorder="1" applyAlignment="1" applyProtection="1">
      <alignment vertical="top" wrapText="1"/>
      <protection locked="0"/>
    </xf>
    <xf numFmtId="0" fontId="39" fillId="0" borderId="29" xfId="0" applyFont="1" applyBorder="1" applyProtection="1">
      <protection locked="0"/>
    </xf>
    <xf numFmtId="0" fontId="39" fillId="0" borderId="30" xfId="0" applyFont="1" applyBorder="1" applyAlignment="1" applyProtection="1">
      <alignment horizontal="left" vertical="center" wrapText="1"/>
      <protection locked="0"/>
    </xf>
    <xf numFmtId="0" fontId="0" fillId="0" borderId="31" xfId="0" applyBorder="1" applyProtection="1">
      <protection locked="0"/>
    </xf>
    <xf numFmtId="0" fontId="15" fillId="25" borderId="33" xfId="0" applyFont="1" applyFill="1" applyBorder="1" applyAlignment="1" applyProtection="1">
      <alignment vertical="top" wrapText="1"/>
      <protection locked="0"/>
    </xf>
    <xf numFmtId="0" fontId="15" fillId="25" borderId="32" xfId="0" applyFont="1" applyFill="1" applyBorder="1" applyAlignment="1" applyProtection="1">
      <alignment vertical="top" wrapText="1"/>
      <protection locked="0"/>
    </xf>
    <xf numFmtId="0" fontId="15" fillId="0" borderId="25" xfId="0" applyFont="1" applyBorder="1" applyAlignment="1" applyProtection="1">
      <alignment vertical="top" wrapText="1"/>
      <protection locked="0"/>
    </xf>
    <xf numFmtId="0" fontId="35" fillId="0" borderId="26" xfId="3" applyFont="1" applyBorder="1" applyAlignment="1" applyProtection="1">
      <alignment vertical="top" wrapText="1"/>
      <protection locked="0"/>
    </xf>
    <xf numFmtId="0" fontId="35" fillId="0" borderId="2" xfId="3" applyFont="1" applyBorder="1" applyAlignment="1" applyProtection="1">
      <alignment vertical="top" wrapText="1"/>
      <protection locked="0"/>
    </xf>
    <xf numFmtId="0" fontId="15" fillId="12" borderId="34" xfId="0" applyFont="1" applyFill="1" applyBorder="1" applyProtection="1">
      <protection locked="0"/>
    </xf>
    <xf numFmtId="0" fontId="15" fillId="0" borderId="32" xfId="0" applyFont="1" applyBorder="1" applyAlignment="1" applyProtection="1">
      <alignment vertical="top" wrapText="1"/>
      <protection locked="0"/>
    </xf>
    <xf numFmtId="0" fontId="40" fillId="0" borderId="32" xfId="0" applyFont="1" applyBorder="1" applyAlignment="1" applyProtection="1">
      <alignment vertical="top" wrapText="1"/>
      <protection locked="0"/>
    </xf>
    <xf numFmtId="0" fontId="40" fillId="0" borderId="34" xfId="0" applyFont="1" applyBorder="1" applyAlignment="1" applyProtection="1">
      <alignment vertical="top" wrapText="1"/>
      <protection locked="0"/>
    </xf>
    <xf numFmtId="0" fontId="40" fillId="0" borderId="53" xfId="3" applyFont="1" applyBorder="1" applyAlignment="1" applyProtection="1">
      <alignment vertical="top" wrapText="1"/>
      <protection locked="0"/>
    </xf>
    <xf numFmtId="0" fontId="40" fillId="0" borderId="41" xfId="3" applyFont="1" applyBorder="1" applyAlignment="1" applyProtection="1">
      <alignment vertical="top" wrapText="1"/>
      <protection locked="0"/>
    </xf>
    <xf numFmtId="0" fontId="40" fillId="0" borderId="64" xfId="0" applyFont="1" applyBorder="1" applyAlignment="1" applyProtection="1">
      <alignment vertical="top" wrapText="1"/>
      <protection locked="0"/>
    </xf>
    <xf numFmtId="0" fontId="40" fillId="0" borderId="29" xfId="0" applyFont="1" applyBorder="1" applyAlignment="1" applyProtection="1">
      <alignment vertical="top" wrapText="1"/>
      <protection locked="0"/>
    </xf>
    <xf numFmtId="0" fontId="40" fillId="0" borderId="30" xfId="0" applyFont="1" applyBorder="1" applyAlignment="1" applyProtection="1">
      <alignment horizontal="left" vertical="top" wrapText="1"/>
      <protection locked="0"/>
    </xf>
    <xf numFmtId="0" fontId="40" fillId="0" borderId="33" xfId="0" applyFont="1" applyBorder="1" applyAlignment="1" applyProtection="1">
      <alignment vertical="top" wrapText="1"/>
      <protection locked="0"/>
    </xf>
    <xf numFmtId="0" fontId="40" fillId="0" borderId="31" xfId="0" applyFont="1" applyBorder="1" applyAlignment="1" applyProtection="1">
      <alignment vertical="top" wrapText="1"/>
      <protection locked="0"/>
    </xf>
    <xf numFmtId="0" fontId="40" fillId="11" borderId="5" xfId="0" applyFont="1" applyFill="1" applyBorder="1" applyAlignment="1" applyProtection="1">
      <alignment vertical="top" wrapText="1"/>
      <protection locked="0"/>
    </xf>
    <xf numFmtId="0" fontId="40" fillId="11" borderId="8" xfId="0" applyFont="1" applyFill="1" applyBorder="1" applyAlignment="1" applyProtection="1">
      <alignment vertical="top" wrapText="1"/>
      <protection locked="0"/>
    </xf>
    <xf numFmtId="0" fontId="40" fillId="0" borderId="58" xfId="3" applyFont="1" applyBorder="1" applyAlignment="1" applyProtection="1">
      <alignment vertical="top" wrapText="1"/>
      <protection locked="0"/>
    </xf>
    <xf numFmtId="0" fontId="40" fillId="0" borderId="0" xfId="0" applyFont="1" applyAlignment="1" applyProtection="1">
      <alignment vertical="top" wrapText="1"/>
      <protection locked="0"/>
    </xf>
    <xf numFmtId="0" fontId="40" fillId="0" borderId="60" xfId="3" applyFont="1" applyBorder="1" applyAlignment="1" applyProtection="1">
      <alignment vertical="top" wrapText="1"/>
      <protection locked="0"/>
    </xf>
    <xf numFmtId="0" fontId="40" fillId="11" borderId="10" xfId="0" applyFont="1" applyFill="1" applyBorder="1" applyAlignment="1" applyProtection="1">
      <alignment vertical="top" wrapText="1"/>
      <protection locked="0"/>
    </xf>
    <xf numFmtId="0" fontId="40" fillId="0" borderId="24" xfId="3" applyFont="1" applyBorder="1" applyAlignment="1" applyProtection="1">
      <alignment vertical="top" wrapText="1"/>
      <protection locked="0"/>
    </xf>
    <xf numFmtId="0" fontId="40" fillId="0" borderId="25" xfId="3" applyFont="1" applyBorder="1" applyAlignment="1" applyProtection="1">
      <alignment vertical="top" wrapText="1"/>
      <protection locked="0"/>
    </xf>
    <xf numFmtId="0" fontId="40" fillId="0" borderId="25" xfId="0" applyFont="1" applyBorder="1" applyAlignment="1" applyProtection="1">
      <alignment vertical="top" wrapText="1"/>
      <protection locked="0"/>
    </xf>
    <xf numFmtId="0" fontId="40" fillId="0" borderId="26" xfId="3" applyFont="1" applyBorder="1" applyAlignment="1" applyProtection="1">
      <alignment vertical="top" wrapText="1"/>
      <protection locked="0"/>
    </xf>
    <xf numFmtId="0" fontId="40" fillId="0" borderId="2" xfId="3" applyFont="1" applyBorder="1" applyAlignment="1" applyProtection="1">
      <alignment horizontal="left" vertical="top" wrapText="1"/>
      <protection locked="0"/>
    </xf>
    <xf numFmtId="0" fontId="40" fillId="0" borderId="24" xfId="0" applyFont="1" applyBorder="1" applyAlignment="1" applyProtection="1">
      <alignment vertical="top" wrapText="1"/>
      <protection locked="0"/>
    </xf>
    <xf numFmtId="0" fontId="40" fillId="11" borderId="42" xfId="0" applyFont="1" applyFill="1" applyBorder="1" applyAlignment="1" applyProtection="1">
      <alignment vertical="top" wrapText="1"/>
      <protection locked="0"/>
    </xf>
    <xf numFmtId="0" fontId="40" fillId="0" borderId="26" xfId="0" applyFont="1" applyBorder="1" applyAlignment="1" applyProtection="1">
      <alignment vertical="top" wrapText="1"/>
      <protection locked="0"/>
    </xf>
    <xf numFmtId="0" fontId="40" fillId="0" borderId="5" xfId="0" applyFont="1" applyBorder="1" applyAlignment="1" applyProtection="1">
      <alignment vertical="top" wrapText="1"/>
      <protection locked="0"/>
    </xf>
    <xf numFmtId="0" fontId="40" fillId="11" borderId="1" xfId="0" applyFont="1" applyFill="1" applyBorder="1" applyAlignment="1" applyProtection="1">
      <alignment vertical="top" wrapText="1"/>
      <protection locked="0"/>
    </xf>
    <xf numFmtId="0" fontId="40" fillId="12" borderId="10" xfId="0" applyFont="1" applyFill="1" applyBorder="1" applyAlignment="1" applyProtection="1">
      <alignment vertical="top" wrapText="1"/>
      <protection locked="0"/>
    </xf>
    <xf numFmtId="0" fontId="40" fillId="12" borderId="32" xfId="0" applyFont="1" applyFill="1" applyBorder="1" applyAlignment="1" applyProtection="1">
      <alignment vertical="top" wrapText="1"/>
      <protection locked="0"/>
    </xf>
    <xf numFmtId="0" fontId="41" fillId="0" borderId="5" xfId="0" applyFont="1" applyBorder="1" applyAlignment="1" applyProtection="1">
      <alignment vertical="top" wrapText="1"/>
      <protection locked="0"/>
    </xf>
    <xf numFmtId="0" fontId="41" fillId="0" borderId="7" xfId="0" applyFont="1" applyBorder="1" applyAlignment="1" applyProtection="1">
      <alignment vertical="top" wrapText="1"/>
      <protection locked="0"/>
    </xf>
    <xf numFmtId="0" fontId="40" fillId="25" borderId="32" xfId="0" applyFont="1" applyFill="1" applyBorder="1" applyAlignment="1" applyProtection="1">
      <alignment vertical="top" wrapText="1"/>
      <protection locked="0"/>
    </xf>
    <xf numFmtId="0" fontId="40" fillId="11" borderId="0" xfId="0" applyFont="1" applyFill="1" applyAlignment="1" applyProtection="1">
      <alignment vertical="top" wrapText="1"/>
      <protection locked="0"/>
    </xf>
    <xf numFmtId="0" fontId="40" fillId="9" borderId="3" xfId="0" applyFont="1" applyFill="1" applyBorder="1" applyAlignment="1" applyProtection="1">
      <alignment vertical="top" wrapText="1"/>
      <protection locked="0"/>
    </xf>
    <xf numFmtId="0" fontId="40" fillId="9" borderId="1" xfId="0" applyFont="1" applyFill="1" applyBorder="1" applyAlignment="1" applyProtection="1">
      <alignment vertical="top" wrapText="1"/>
      <protection locked="0"/>
    </xf>
    <xf numFmtId="0" fontId="40" fillId="0" borderId="1" xfId="0" applyFont="1" applyBorder="1" applyAlignment="1" applyProtection="1">
      <alignment vertical="top" wrapText="1"/>
      <protection locked="0"/>
    </xf>
    <xf numFmtId="0" fontId="40" fillId="0" borderId="46" xfId="3" applyFont="1" applyBorder="1" applyAlignment="1" applyProtection="1">
      <alignment vertical="top" wrapText="1"/>
      <protection locked="0"/>
    </xf>
    <xf numFmtId="0" fontId="40" fillId="0" borderId="48" xfId="3" applyFont="1" applyBorder="1" applyAlignment="1" applyProtection="1">
      <alignment vertical="top" wrapText="1"/>
      <protection locked="0"/>
    </xf>
    <xf numFmtId="0" fontId="40" fillId="12" borderId="66" xfId="3" applyFont="1" applyFill="1" applyBorder="1" applyAlignment="1" applyProtection="1">
      <alignment vertical="top" wrapText="1"/>
      <protection locked="0"/>
    </xf>
    <xf numFmtId="0" fontId="40" fillId="12" borderId="33" xfId="0" applyFont="1" applyFill="1" applyBorder="1" applyAlignment="1" applyProtection="1">
      <alignment vertical="top" wrapText="1"/>
      <protection locked="0"/>
    </xf>
    <xf numFmtId="0" fontId="40" fillId="12" borderId="37" xfId="0" applyFont="1" applyFill="1" applyBorder="1" applyAlignment="1" applyProtection="1">
      <alignment vertical="top" wrapText="1"/>
      <protection locked="0"/>
    </xf>
    <xf numFmtId="0" fontId="40" fillId="12" borderId="34" xfId="0" applyFont="1" applyFill="1" applyBorder="1" applyAlignment="1" applyProtection="1">
      <alignment vertical="top" wrapText="1"/>
      <protection locked="0"/>
    </xf>
    <xf numFmtId="0" fontId="41" fillId="0" borderId="66" xfId="0" applyFont="1" applyBorder="1" applyAlignment="1" applyProtection="1">
      <alignment vertical="top" wrapText="1"/>
      <protection locked="0"/>
    </xf>
    <xf numFmtId="0" fontId="40" fillId="0" borderId="53" xfId="0" applyFont="1" applyBorder="1" applyAlignment="1" applyProtection="1">
      <alignment vertical="top" wrapText="1"/>
      <protection locked="0"/>
    </xf>
    <xf numFmtId="0" fontId="41" fillId="0" borderId="25" xfId="3" applyFont="1" applyBorder="1" applyAlignment="1" applyProtection="1">
      <alignment vertical="top" wrapText="1"/>
      <protection locked="0"/>
    </xf>
    <xf numFmtId="0" fontId="41" fillId="0" borderId="26" xfId="3" applyFont="1" applyBorder="1" applyAlignment="1" applyProtection="1">
      <alignment vertical="top" wrapText="1"/>
      <protection locked="0"/>
    </xf>
    <xf numFmtId="0" fontId="40" fillId="0" borderId="2" xfId="0" applyFont="1" applyBorder="1" applyAlignment="1" applyProtection="1">
      <alignment vertical="top" wrapText="1"/>
      <protection locked="0"/>
    </xf>
    <xf numFmtId="0" fontId="15" fillId="0" borderId="34" xfId="0" applyFont="1" applyBorder="1" applyAlignment="1" applyProtection="1">
      <alignment vertical="top" wrapText="1"/>
      <protection locked="0"/>
    </xf>
    <xf numFmtId="0" fontId="15" fillId="0" borderId="33" xfId="0" applyFont="1" applyBorder="1" applyAlignment="1" applyProtection="1">
      <alignment vertical="top" wrapText="1"/>
      <protection locked="0"/>
    </xf>
    <xf numFmtId="0" fontId="15" fillId="0" borderId="53" xfId="0" applyFont="1" applyBorder="1" applyAlignment="1" applyProtection="1">
      <alignment vertical="top" wrapText="1"/>
      <protection locked="0"/>
    </xf>
    <xf numFmtId="0" fontId="15" fillId="0" borderId="0" xfId="0" applyFont="1" applyAlignment="1" applyProtection="1">
      <alignment vertical="top" wrapText="1"/>
      <protection locked="0"/>
    </xf>
    <xf numFmtId="0" fontId="0" fillId="0" borderId="62" xfId="0" applyBorder="1" applyProtection="1">
      <protection locked="0"/>
    </xf>
    <xf numFmtId="0" fontId="15" fillId="12" borderId="32" xfId="0" applyFont="1" applyFill="1" applyBorder="1" applyProtection="1">
      <protection locked="0"/>
    </xf>
    <xf numFmtId="0" fontId="17" fillId="27" borderId="43" xfId="0" applyFont="1" applyFill="1" applyBorder="1" applyProtection="1"/>
    <xf numFmtId="0" fontId="17" fillId="27" borderId="0" xfId="0" applyFont="1" applyFill="1" applyBorder="1" applyProtection="1"/>
    <xf numFmtId="0" fontId="17" fillId="27" borderId="0" xfId="0" applyFont="1" applyFill="1" applyBorder="1" applyProtection="1">
      <protection locked="0"/>
    </xf>
    <xf numFmtId="0" fontId="29" fillId="27" borderId="43" xfId="0" applyFont="1" applyFill="1" applyBorder="1" applyAlignment="1" applyProtection="1">
      <alignment horizontal="center"/>
      <protection locked="0"/>
    </xf>
    <xf numFmtId="0" fontId="29" fillId="27" borderId="0" xfId="0" applyFont="1" applyFill="1" applyBorder="1" applyAlignment="1" applyProtection="1">
      <alignment horizontal="center"/>
      <protection locked="0"/>
    </xf>
    <xf numFmtId="0" fontId="29" fillId="27" borderId="16" xfId="0" applyFont="1" applyFill="1" applyBorder="1" applyAlignment="1" applyProtection="1">
      <alignment horizontal="center"/>
      <protection locked="0"/>
    </xf>
    <xf numFmtId="0" fontId="29" fillId="27" borderId="6" xfId="0" applyFont="1" applyFill="1" applyBorder="1" applyAlignment="1" applyProtection="1">
      <alignment horizontal="center"/>
      <protection locked="0"/>
    </xf>
    <xf numFmtId="0" fontId="17" fillId="27" borderId="6" xfId="0" applyFont="1" applyFill="1" applyBorder="1" applyProtection="1"/>
    <xf numFmtId="0" fontId="46" fillId="9" borderId="0" xfId="0" applyFont="1" applyFill="1" applyBorder="1" applyAlignment="1" applyProtection="1">
      <alignment horizontal="center"/>
    </xf>
    <xf numFmtId="0" fontId="47" fillId="0" borderId="1" xfId="0" applyFont="1" applyBorder="1" applyAlignment="1" applyProtection="1">
      <alignment horizontal="center" vertical="center" wrapText="1"/>
    </xf>
    <xf numFmtId="0" fontId="0" fillId="28" borderId="6" xfId="0" applyFill="1" applyBorder="1" applyAlignment="1" applyProtection="1">
      <alignment vertical="center" wrapText="1"/>
    </xf>
    <xf numFmtId="0" fontId="0" fillId="27" borderId="42" xfId="0" applyFill="1" applyBorder="1" applyProtection="1">
      <protection locked="0"/>
    </xf>
    <xf numFmtId="0" fontId="0" fillId="27" borderId="44" xfId="0" applyFill="1" applyBorder="1" applyProtection="1">
      <protection locked="0"/>
    </xf>
    <xf numFmtId="0" fontId="0" fillId="27" borderId="44" xfId="0" applyFill="1" applyBorder="1" applyProtection="1"/>
    <xf numFmtId="0" fontId="22" fillId="0" borderId="43" xfId="0" applyFont="1" applyBorder="1" applyAlignment="1" applyProtection="1">
      <alignment wrapText="1"/>
    </xf>
    <xf numFmtId="0" fontId="22" fillId="0" borderId="0" xfId="0" applyFont="1" applyBorder="1" applyAlignment="1" applyProtection="1">
      <alignment vertical="center"/>
    </xf>
    <xf numFmtId="0" fontId="24" fillId="10" borderId="24" xfId="0" applyFont="1" applyFill="1" applyBorder="1" applyAlignment="1" applyProtection="1">
      <alignment vertical="center" wrapText="1"/>
    </xf>
    <xf numFmtId="0" fontId="24" fillId="10" borderId="26" xfId="0" applyFont="1" applyFill="1" applyBorder="1" applyAlignment="1" applyProtection="1">
      <alignment vertical="center" wrapText="1"/>
    </xf>
    <xf numFmtId="0" fontId="27" fillId="22" borderId="24" xfId="0" applyFont="1" applyFill="1" applyBorder="1" applyAlignment="1" applyProtection="1">
      <alignment vertical="center" wrapText="1"/>
    </xf>
    <xf numFmtId="0" fontId="27" fillId="22" borderId="25" xfId="0" applyFont="1" applyFill="1" applyBorder="1" applyAlignment="1" applyProtection="1">
      <alignment vertical="center" wrapText="1"/>
    </xf>
    <xf numFmtId="0" fontId="27" fillId="22" borderId="26" xfId="0" applyFont="1" applyFill="1" applyBorder="1" applyAlignment="1" applyProtection="1">
      <alignment vertical="center" wrapText="1"/>
    </xf>
    <xf numFmtId="0" fontId="24" fillId="8" borderId="24" xfId="0" applyFont="1" applyFill="1" applyBorder="1" applyAlignment="1" applyProtection="1">
      <alignment vertical="center" wrapText="1"/>
    </xf>
    <xf numFmtId="0" fontId="24" fillId="8" borderId="25" xfId="0" applyFont="1" applyFill="1" applyBorder="1" applyAlignment="1" applyProtection="1">
      <alignment vertical="center" wrapText="1"/>
    </xf>
    <xf numFmtId="0" fontId="24" fillId="8" borderId="26" xfId="0" applyFont="1" applyFill="1" applyBorder="1" applyAlignment="1" applyProtection="1">
      <alignment vertical="center" wrapText="1"/>
    </xf>
    <xf numFmtId="0" fontId="24" fillId="4" borderId="52" xfId="0" applyFont="1" applyFill="1" applyBorder="1" applyAlignment="1" applyProtection="1">
      <alignment vertical="center" wrapText="1"/>
    </xf>
    <xf numFmtId="0" fontId="22" fillId="4" borderId="52" xfId="0" applyFont="1" applyFill="1" applyBorder="1" applyAlignment="1" applyProtection="1">
      <alignment vertical="center" wrapText="1"/>
    </xf>
    <xf numFmtId="0" fontId="24" fillId="22" borderId="24" xfId="0" applyFont="1" applyFill="1" applyBorder="1" applyAlignment="1" applyProtection="1">
      <alignment vertical="center" wrapText="1"/>
    </xf>
    <xf numFmtId="0" fontId="24" fillId="22" borderId="25" xfId="0" applyFont="1" applyFill="1" applyBorder="1" applyAlignment="1" applyProtection="1">
      <alignment vertical="center" wrapText="1"/>
    </xf>
    <xf numFmtId="0" fontId="5" fillId="12" borderId="42" xfId="0" applyFont="1" applyFill="1" applyBorder="1" applyAlignment="1" applyProtection="1">
      <alignment vertical="center" wrapText="1"/>
    </xf>
    <xf numFmtId="0" fontId="24" fillId="19" borderId="24" xfId="0" applyFont="1" applyFill="1" applyBorder="1" applyAlignment="1" applyProtection="1">
      <alignment vertical="center" wrapText="1"/>
    </xf>
    <xf numFmtId="0" fontId="24" fillId="19" borderId="25" xfId="0" applyFont="1" applyFill="1" applyBorder="1" applyAlignment="1" applyProtection="1">
      <alignment vertical="center" wrapText="1"/>
    </xf>
    <xf numFmtId="0" fontId="24" fillId="19" borderId="26" xfId="0" applyFont="1" applyFill="1" applyBorder="1" applyAlignment="1" applyProtection="1">
      <alignment vertical="center" wrapText="1"/>
    </xf>
    <xf numFmtId="0" fontId="24" fillId="22" borderId="26" xfId="0" applyFont="1" applyFill="1" applyBorder="1" applyAlignment="1" applyProtection="1">
      <alignment vertical="center" wrapText="1"/>
    </xf>
    <xf numFmtId="0" fontId="22" fillId="9" borderId="47" xfId="0" applyFont="1" applyFill="1" applyBorder="1" applyAlignment="1" applyProtection="1">
      <alignment vertical="center" wrapText="1"/>
    </xf>
    <xf numFmtId="0" fontId="24" fillId="21" borderId="2" xfId="0" applyFont="1" applyFill="1" applyBorder="1" applyAlignment="1" applyProtection="1">
      <alignment vertical="center" wrapText="1"/>
    </xf>
    <xf numFmtId="0" fontId="24" fillId="17" borderId="47" xfId="0" applyFont="1" applyFill="1" applyBorder="1" applyAlignment="1" applyProtection="1">
      <alignment vertical="center" wrapText="1"/>
    </xf>
    <xf numFmtId="0" fontId="24" fillId="8" borderId="47" xfId="0" applyFont="1" applyFill="1" applyBorder="1" applyAlignment="1" applyProtection="1">
      <alignment vertical="center" wrapText="1"/>
    </xf>
    <xf numFmtId="0" fontId="3" fillId="11" borderId="42" xfId="0" applyFont="1" applyFill="1" applyBorder="1" applyAlignment="1" applyProtection="1">
      <alignment vertical="center" wrapText="1"/>
    </xf>
    <xf numFmtId="0" fontId="24" fillId="9" borderId="46" xfId="0" applyFont="1" applyFill="1" applyBorder="1" applyAlignment="1" applyProtection="1">
      <alignment vertical="center" wrapText="1"/>
    </xf>
    <xf numFmtId="0" fontId="24" fillId="9" borderId="48" xfId="0" applyFont="1" applyFill="1" applyBorder="1" applyAlignment="1" applyProtection="1">
      <alignment vertical="center" wrapText="1"/>
    </xf>
    <xf numFmtId="0" fontId="24" fillId="9" borderId="24" xfId="0" applyFont="1" applyFill="1" applyBorder="1" applyAlignment="1" applyProtection="1">
      <alignment vertical="center" wrapText="1"/>
    </xf>
    <xf numFmtId="0" fontId="24" fillId="9" borderId="25" xfId="0" applyFont="1" applyFill="1" applyBorder="1" applyAlignment="1" applyProtection="1">
      <alignment vertical="center" wrapText="1"/>
    </xf>
    <xf numFmtId="0" fontId="24" fillId="9" borderId="26" xfId="0" applyFont="1" applyFill="1" applyBorder="1" applyAlignment="1" applyProtection="1">
      <alignment vertical="center" wrapText="1"/>
    </xf>
    <xf numFmtId="0" fontId="24" fillId="16" borderId="25" xfId="0" applyFont="1" applyFill="1" applyBorder="1" applyAlignment="1" applyProtection="1">
      <alignment vertical="center" wrapText="1"/>
    </xf>
    <xf numFmtId="0" fontId="22" fillId="16" borderId="25" xfId="0" applyFont="1" applyFill="1" applyBorder="1" applyAlignment="1" applyProtection="1">
      <alignment vertical="center" wrapText="1"/>
    </xf>
    <xf numFmtId="0" fontId="24" fillId="16" borderId="26" xfId="0" applyFont="1" applyFill="1" applyBorder="1" applyAlignment="1" applyProtection="1">
      <alignment vertical="center" wrapText="1"/>
    </xf>
    <xf numFmtId="0" fontId="24" fillId="18" borderId="24" xfId="0" applyFont="1" applyFill="1" applyBorder="1" applyAlignment="1" applyProtection="1">
      <alignment vertical="center" wrapText="1"/>
    </xf>
    <xf numFmtId="0" fontId="24" fillId="18" borderId="25" xfId="0" applyFont="1" applyFill="1" applyBorder="1" applyAlignment="1" applyProtection="1">
      <alignment vertical="center" wrapText="1"/>
    </xf>
    <xf numFmtId="0" fontId="24" fillId="18" borderId="26" xfId="0" applyFont="1" applyFill="1" applyBorder="1" applyAlignment="1" applyProtection="1">
      <alignment vertical="center" wrapText="1"/>
    </xf>
    <xf numFmtId="0" fontId="5" fillId="5" borderId="2" xfId="0" applyFont="1" applyFill="1" applyBorder="1" applyAlignment="1" applyProtection="1">
      <alignment vertical="center" wrapText="1"/>
    </xf>
    <xf numFmtId="0" fontId="5" fillId="5" borderId="24" xfId="0" applyFont="1" applyFill="1" applyBorder="1" applyAlignment="1" applyProtection="1">
      <alignment vertical="center" wrapText="1"/>
    </xf>
    <xf numFmtId="0" fontId="5" fillId="5" borderId="26" xfId="0" applyFont="1" applyFill="1" applyBorder="1" applyAlignment="1" applyProtection="1">
      <alignment vertical="center" wrapText="1"/>
    </xf>
    <xf numFmtId="0" fontId="24" fillId="0" borderId="60" xfId="0" applyFont="1" applyFill="1" applyBorder="1" applyAlignment="1" applyProtection="1">
      <alignment vertical="center" wrapText="1"/>
    </xf>
    <xf numFmtId="0" fontId="24" fillId="5" borderId="46" xfId="0" applyFont="1" applyFill="1" applyBorder="1" applyAlignment="1" applyProtection="1">
      <alignment vertical="center" wrapText="1"/>
    </xf>
    <xf numFmtId="0" fontId="24" fillId="5" borderId="48" xfId="0" applyFont="1" applyFill="1" applyBorder="1" applyAlignment="1" applyProtection="1">
      <alignment vertical="center" wrapText="1"/>
    </xf>
    <xf numFmtId="0" fontId="24" fillId="0" borderId="29" xfId="0" applyFont="1" applyBorder="1" applyAlignment="1" applyProtection="1">
      <alignment vertical="center" wrapText="1"/>
    </xf>
    <xf numFmtId="0" fontId="24" fillId="16" borderId="24" xfId="0" applyFont="1" applyFill="1" applyBorder="1" applyAlignment="1" applyProtection="1">
      <alignment vertical="center" wrapText="1"/>
    </xf>
    <xf numFmtId="0" fontId="0" fillId="12" borderId="10" xfId="0" applyFill="1" applyBorder="1" applyAlignment="1" applyProtection="1">
      <alignment vertical="top" wrapText="1"/>
      <protection locked="0"/>
    </xf>
    <xf numFmtId="9" fontId="23" fillId="11" borderId="23" xfId="1" applyFont="1" applyFill="1" applyBorder="1" applyAlignment="1" applyProtection="1">
      <alignment horizontal="center" vertical="center" wrapText="1"/>
    </xf>
    <xf numFmtId="0" fontId="0" fillId="0" borderId="33" xfId="0" applyBorder="1" applyAlignment="1" applyProtection="1">
      <alignment vertical="top" wrapText="1"/>
      <protection locked="0"/>
    </xf>
    <xf numFmtId="0" fontId="0" fillId="0" borderId="34" xfId="0" applyBorder="1" applyAlignment="1" applyProtection="1">
      <alignment vertical="top" wrapText="1"/>
      <protection locked="0"/>
    </xf>
    <xf numFmtId="0" fontId="41" fillId="25" borderId="1" xfId="0" applyFont="1" applyFill="1" applyBorder="1" applyAlignment="1" applyProtection="1">
      <alignment vertical="top" wrapText="1"/>
      <protection locked="0"/>
    </xf>
    <xf numFmtId="0" fontId="40" fillId="25" borderId="1" xfId="0" applyFont="1" applyFill="1" applyBorder="1" applyAlignment="1" applyProtection="1">
      <alignment vertical="top" wrapText="1"/>
      <protection locked="0"/>
    </xf>
    <xf numFmtId="0" fontId="0" fillId="0" borderId="24" xfId="0" applyBorder="1" applyAlignment="1" applyProtection="1">
      <alignment vertical="top"/>
      <protection locked="0"/>
    </xf>
    <xf numFmtId="0" fontId="0" fillId="0" borderId="26" xfId="0" applyBorder="1" applyAlignment="1" applyProtection="1">
      <alignment vertical="top"/>
      <protection locked="0"/>
    </xf>
    <xf numFmtId="0" fontId="0" fillId="0" borderId="25" xfId="0" applyBorder="1" applyProtection="1">
      <protection locked="0"/>
    </xf>
    <xf numFmtId="0" fontId="15" fillId="29" borderId="34" xfId="0" applyFont="1" applyFill="1" applyBorder="1" applyAlignment="1" applyProtection="1">
      <alignment vertical="center" wrapText="1"/>
      <protection locked="0"/>
    </xf>
    <xf numFmtId="0" fontId="40" fillId="25" borderId="34" xfId="0" applyFont="1" applyFill="1" applyBorder="1" applyAlignment="1" applyProtection="1">
      <alignment vertical="top" wrapText="1"/>
      <protection locked="0"/>
    </xf>
    <xf numFmtId="0" fontId="11" fillId="0" borderId="10" xfId="0" applyFont="1" applyBorder="1" applyProtection="1">
      <protection locked="0"/>
    </xf>
    <xf numFmtId="0" fontId="0" fillId="0" borderId="0" xfId="0" applyBorder="1" applyAlignment="1" applyProtection="1">
      <alignment vertical="top" wrapText="1"/>
      <protection locked="0"/>
    </xf>
    <xf numFmtId="0" fontId="0" fillId="0" borderId="0" xfId="0" applyBorder="1" applyProtection="1">
      <protection locked="0"/>
    </xf>
    <xf numFmtId="0" fontId="0" fillId="0" borderId="32" xfId="0" applyBorder="1" applyAlignment="1" applyProtection="1">
      <alignment vertical="top" wrapText="1"/>
      <protection locked="0"/>
    </xf>
    <xf numFmtId="0" fontId="2" fillId="0" borderId="2" xfId="0" applyFont="1" applyBorder="1" applyProtection="1">
      <protection locked="0"/>
    </xf>
    <xf numFmtId="0" fontId="2" fillId="0" borderId="2" xfId="0" applyFont="1" applyBorder="1" applyAlignment="1" applyProtection="1">
      <alignment vertical="top"/>
      <protection locked="0"/>
    </xf>
    <xf numFmtId="0" fontId="0" fillId="0" borderId="12" xfId="0" applyBorder="1" applyAlignment="1" applyProtection="1">
      <alignment vertical="top"/>
      <protection locked="0"/>
    </xf>
    <xf numFmtId="0" fontId="0" fillId="0" borderId="47" xfId="0" applyBorder="1" applyAlignment="1" applyProtection="1">
      <alignment vertical="top"/>
      <protection locked="0"/>
    </xf>
    <xf numFmtId="0" fontId="0" fillId="0" borderId="55" xfId="0" applyBorder="1" applyAlignment="1" applyProtection="1">
      <alignment vertical="top"/>
      <protection locked="0"/>
    </xf>
    <xf numFmtId="0" fontId="0" fillId="0" borderId="76" xfId="0" applyBorder="1" applyAlignment="1" applyProtection="1">
      <alignment vertical="top"/>
      <protection locked="0"/>
    </xf>
    <xf numFmtId="0" fontId="11" fillId="0" borderId="44" xfId="0" applyFont="1" applyBorder="1" applyProtection="1">
      <protection locked="0"/>
    </xf>
    <xf numFmtId="0" fontId="2" fillId="0" borderId="1" xfId="0" applyFont="1" applyBorder="1" applyAlignment="1" applyProtection="1">
      <alignment vertical="top" wrapText="1"/>
      <protection locked="0"/>
    </xf>
    <xf numFmtId="0" fontId="0" fillId="0" borderId="53" xfId="0" applyBorder="1" applyAlignment="1" applyProtection="1">
      <alignment vertical="top" wrapText="1"/>
      <protection locked="0"/>
    </xf>
    <xf numFmtId="0" fontId="0" fillId="0" borderId="41" xfId="0" applyBorder="1" applyAlignment="1" applyProtection="1">
      <alignment vertical="top" wrapText="1"/>
      <protection locked="0"/>
    </xf>
    <xf numFmtId="0" fontId="0" fillId="0" borderId="8" xfId="0" applyBorder="1" applyAlignment="1" applyProtection="1">
      <alignment vertical="top" wrapText="1"/>
      <protection locked="0"/>
    </xf>
    <xf numFmtId="0" fontId="29" fillId="27" borderId="43" xfId="0" applyFont="1" applyFill="1" applyBorder="1" applyAlignment="1" applyProtection="1">
      <alignment horizontal="center"/>
      <protection locked="0"/>
    </xf>
    <xf numFmtId="0" fontId="29" fillId="27" borderId="0" xfId="0" applyFont="1" applyFill="1" applyBorder="1" applyAlignment="1" applyProtection="1">
      <alignment horizontal="center"/>
      <protection locked="0"/>
    </xf>
    <xf numFmtId="0" fontId="8" fillId="0" borderId="0" xfId="0" applyFont="1" applyBorder="1" applyAlignment="1" applyProtection="1">
      <alignment horizontal="center" vertical="center"/>
      <protection locked="0"/>
    </xf>
    <xf numFmtId="0" fontId="24" fillId="0" borderId="33" xfId="0" applyFont="1" applyBorder="1" applyAlignment="1" applyProtection="1">
      <alignment vertical="center" wrapText="1"/>
    </xf>
    <xf numFmtId="0" fontId="24" fillId="0" borderId="33" xfId="0" applyFont="1" applyFill="1" applyBorder="1" applyAlignment="1" applyProtection="1">
      <alignment vertical="center" wrapText="1"/>
    </xf>
    <xf numFmtId="0" fontId="24" fillId="0" borderId="32" xfId="0" applyFont="1" applyBorder="1" applyAlignment="1" applyProtection="1">
      <alignment vertical="center" wrapText="1"/>
    </xf>
    <xf numFmtId="0" fontId="24" fillId="0" borderId="34" xfId="0" applyFont="1" applyBorder="1" applyAlignment="1" applyProtection="1">
      <alignment vertical="center" wrapText="1"/>
    </xf>
    <xf numFmtId="0" fontId="2" fillId="2" borderId="16" xfId="0" applyFont="1" applyFill="1" applyBorder="1" applyAlignment="1" applyProtection="1">
      <alignment vertical="center" wrapText="1"/>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0" fontId="24" fillId="8" borderId="31" xfId="0" applyFont="1" applyFill="1" applyBorder="1" applyAlignment="1" applyProtection="1">
      <alignment vertical="center" wrapText="1"/>
    </xf>
    <xf numFmtId="0" fontId="24" fillId="9" borderId="29" xfId="0" applyFont="1" applyFill="1" applyBorder="1" applyAlignment="1" applyProtection="1">
      <alignment vertical="center" wrapText="1"/>
    </xf>
    <xf numFmtId="0" fontId="24" fillId="9" borderId="31" xfId="0" applyFont="1" applyFill="1" applyBorder="1" applyAlignment="1" applyProtection="1">
      <alignment vertical="center" wrapText="1"/>
    </xf>
    <xf numFmtId="0" fontId="46" fillId="27" borderId="0" xfId="0" applyFont="1" applyFill="1" applyBorder="1" applyAlignment="1" applyProtection="1">
      <alignment horizontal="center"/>
    </xf>
    <xf numFmtId="0" fontId="4" fillId="11" borderId="11" xfId="0" applyFont="1" applyFill="1" applyBorder="1" applyAlignment="1" applyProtection="1">
      <alignment vertical="center" wrapText="1"/>
    </xf>
    <xf numFmtId="0" fontId="24" fillId="8" borderId="61" xfId="0" applyFont="1" applyFill="1" applyBorder="1" applyAlignment="1" applyProtection="1">
      <alignment vertical="center" wrapText="1"/>
    </xf>
    <xf numFmtId="0" fontId="24" fillId="10" borderId="29" xfId="0" applyFont="1" applyFill="1" applyBorder="1" applyAlignment="1" applyProtection="1">
      <alignment vertical="center" wrapText="1"/>
    </xf>
    <xf numFmtId="0" fontId="24" fillId="10" borderId="30" xfId="0" applyFont="1" applyFill="1" applyBorder="1" applyAlignment="1" applyProtection="1">
      <alignment vertical="center" wrapText="1"/>
    </xf>
    <xf numFmtId="0" fontId="24" fillId="10" borderId="31" xfId="0" applyFont="1" applyFill="1" applyBorder="1" applyAlignment="1" applyProtection="1">
      <alignment vertical="center" wrapText="1"/>
    </xf>
    <xf numFmtId="0" fontId="22" fillId="0" borderId="17" xfId="0" applyFont="1" applyFill="1" applyBorder="1" applyAlignment="1" applyProtection="1">
      <alignment vertical="center" wrapText="1"/>
    </xf>
    <xf numFmtId="0" fontId="22" fillId="0" borderId="15" xfId="0" applyFont="1" applyFill="1" applyBorder="1" applyAlignment="1" applyProtection="1">
      <alignment vertical="center" wrapText="1"/>
    </xf>
    <xf numFmtId="0" fontId="22" fillId="0" borderId="15" xfId="0" applyFont="1" applyBorder="1" applyAlignment="1" applyProtection="1">
      <alignment vertical="center" wrapText="1"/>
    </xf>
    <xf numFmtId="0" fontId="24" fillId="0" borderId="20" xfId="0" applyFont="1" applyBorder="1" applyAlignment="1" applyProtection="1">
      <alignment vertical="center" wrapText="1"/>
    </xf>
    <xf numFmtId="0" fontId="22" fillId="0" borderId="15" xfId="0" applyFont="1" applyBorder="1" applyAlignment="1" applyProtection="1">
      <alignment vertical="center" wrapText="1"/>
    </xf>
    <xf numFmtId="0" fontId="24" fillId="0" borderId="23" xfId="0" applyFont="1" applyBorder="1" applyAlignment="1" applyProtection="1">
      <alignment vertical="center" wrapText="1"/>
    </xf>
    <xf numFmtId="0" fontId="35" fillId="0" borderId="24" xfId="3" applyFont="1" applyBorder="1" applyAlignment="1" applyProtection="1">
      <alignment vertical="top" wrapText="1"/>
      <protection locked="0"/>
    </xf>
    <xf numFmtId="0" fontId="0" fillId="12" borderId="0" xfId="0" applyFill="1" applyProtection="1"/>
    <xf numFmtId="0" fontId="28" fillId="0" borderId="1" xfId="0" applyFont="1" applyBorder="1" applyAlignment="1" applyProtection="1">
      <alignment vertical="top" wrapText="1"/>
      <protection locked="0"/>
    </xf>
    <xf numFmtId="0" fontId="15" fillId="0" borderId="41" xfId="0" applyFont="1" applyBorder="1" applyAlignment="1" applyProtection="1">
      <alignment vertical="top" wrapText="1"/>
      <protection locked="0"/>
    </xf>
    <xf numFmtId="0" fontId="15" fillId="0" borderId="8" xfId="0" applyFont="1" applyBorder="1" applyAlignment="1" applyProtection="1">
      <alignment vertical="top" wrapText="1"/>
      <protection locked="0"/>
    </xf>
    <xf numFmtId="0" fontId="15" fillId="0" borderId="0" xfId="0" applyFont="1" applyAlignment="1">
      <alignment wrapText="1"/>
    </xf>
    <xf numFmtId="9" fontId="0" fillId="0" borderId="0" xfId="1" applyFont="1" applyAlignment="1">
      <alignment horizontal="center" vertical="center"/>
    </xf>
    <xf numFmtId="0" fontId="0" fillId="0" borderId="66" xfId="0" applyBorder="1" applyAlignment="1" applyProtection="1">
      <alignment vertical="top"/>
      <protection locked="0"/>
    </xf>
    <xf numFmtId="9" fontId="23" fillId="11" borderId="5" xfId="1" applyFont="1" applyFill="1" applyBorder="1" applyAlignment="1" applyProtection="1">
      <alignment horizontal="center" vertical="center" wrapText="1"/>
    </xf>
    <xf numFmtId="0" fontId="0" fillId="0" borderId="11" xfId="0" applyBorder="1" applyAlignment="1" applyProtection="1">
      <alignment vertical="top" wrapText="1"/>
      <protection locked="0"/>
    </xf>
    <xf numFmtId="0" fontId="15" fillId="0" borderId="11" xfId="0" applyFont="1" applyBorder="1" applyAlignment="1" applyProtection="1">
      <alignment vertical="top" wrapText="1"/>
      <protection locked="0"/>
    </xf>
    <xf numFmtId="0" fontId="0" fillId="0" borderId="17" xfId="0" applyBorder="1" applyAlignment="1" applyProtection="1">
      <alignment vertical="top"/>
      <protection locked="0"/>
    </xf>
    <xf numFmtId="0" fontId="0" fillId="0" borderId="18" xfId="0" applyBorder="1" applyAlignment="1" applyProtection="1">
      <alignment vertical="top" wrapText="1"/>
      <protection locked="0"/>
    </xf>
    <xf numFmtId="0" fontId="15" fillId="0" borderId="18" xfId="0" applyFont="1" applyBorder="1" applyAlignment="1" applyProtection="1">
      <alignment vertical="top" wrapText="1"/>
      <protection locked="0"/>
    </xf>
    <xf numFmtId="9" fontId="23" fillId="11" borderId="19" xfId="1" applyFont="1" applyFill="1" applyBorder="1" applyAlignment="1" applyProtection="1">
      <alignment horizontal="center" vertical="center" wrapText="1"/>
    </xf>
    <xf numFmtId="0" fontId="0" fillId="0" borderId="15" xfId="0" applyBorder="1" applyAlignment="1" applyProtection="1">
      <alignment vertical="top"/>
      <protection locked="0"/>
    </xf>
    <xf numFmtId="9" fontId="23" fillId="11" borderId="20" xfId="1" applyFont="1" applyFill="1" applyBorder="1" applyAlignment="1" applyProtection="1">
      <alignment horizontal="center" vertical="center" wrapText="1"/>
    </xf>
    <xf numFmtId="0" fontId="0" fillId="0" borderId="21" xfId="0" applyBorder="1" applyAlignment="1" applyProtection="1">
      <alignment vertical="top"/>
      <protection locked="0"/>
    </xf>
    <xf numFmtId="0" fontId="0" fillId="0" borderId="22" xfId="0" applyBorder="1" applyAlignment="1" applyProtection="1">
      <alignment vertical="top" wrapText="1"/>
      <protection locked="0"/>
    </xf>
    <xf numFmtId="0" fontId="15" fillId="0" borderId="22" xfId="0" applyFont="1" applyBorder="1" applyAlignment="1" applyProtection="1">
      <alignment vertical="top" wrapText="1"/>
      <protection locked="0"/>
    </xf>
    <xf numFmtId="0" fontId="2" fillId="0" borderId="42" xfId="0" applyFont="1" applyBorder="1" applyProtection="1">
      <protection locked="0"/>
    </xf>
    <xf numFmtId="2" fontId="17" fillId="24" borderId="6" xfId="0" applyNumberFormat="1" applyFont="1" applyFill="1" applyBorder="1" applyProtection="1">
      <protection locked="0"/>
    </xf>
    <xf numFmtId="0" fontId="40" fillId="26" borderId="32" xfId="0" applyFont="1" applyFill="1" applyBorder="1" applyAlignment="1" applyProtection="1">
      <alignment vertical="top" wrapText="1"/>
      <protection locked="0"/>
    </xf>
    <xf numFmtId="0" fontId="40" fillId="29" borderId="10" xfId="0" applyFont="1" applyFill="1" applyBorder="1" applyAlignment="1" applyProtection="1">
      <alignment vertical="top" wrapText="1"/>
      <protection locked="0"/>
    </xf>
    <xf numFmtId="0" fontId="0" fillId="0" borderId="1" xfId="0" applyBorder="1" applyAlignment="1" applyProtection="1">
      <alignment vertical="top" wrapText="1"/>
      <protection locked="0"/>
    </xf>
    <xf numFmtId="0" fontId="0" fillId="11" borderId="42" xfId="0" applyFill="1" applyBorder="1" applyAlignment="1" applyProtection="1">
      <alignment vertical="top" wrapText="1"/>
      <protection locked="0"/>
    </xf>
    <xf numFmtId="0" fontId="0" fillId="11" borderId="10" xfId="0" applyFill="1" applyBorder="1" applyAlignment="1" applyProtection="1">
      <alignment vertical="top" wrapText="1"/>
      <protection locked="0"/>
    </xf>
    <xf numFmtId="0" fontId="15" fillId="0" borderId="26" xfId="0" applyFont="1" applyBorder="1" applyAlignment="1" applyProtection="1">
      <alignment vertical="top" wrapText="1"/>
      <protection locked="0"/>
    </xf>
    <xf numFmtId="0" fontId="0" fillId="0" borderId="5" xfId="0" applyBorder="1" applyAlignment="1" applyProtection="1">
      <alignment vertical="top" wrapText="1"/>
      <protection locked="0"/>
    </xf>
    <xf numFmtId="0" fontId="10" fillId="11" borderId="43" xfId="0" applyFont="1" applyFill="1" applyBorder="1" applyAlignment="1" applyProtection="1">
      <alignment vertical="center" wrapText="1"/>
    </xf>
    <xf numFmtId="0" fontId="0" fillId="11" borderId="5" xfId="0" applyFill="1" applyBorder="1" applyAlignment="1" applyProtection="1">
      <alignment vertical="top" wrapText="1"/>
      <protection locked="0"/>
    </xf>
    <xf numFmtId="0" fontId="0" fillId="11" borderId="8" xfId="0" applyFill="1" applyBorder="1" applyAlignment="1" applyProtection="1">
      <alignment vertical="top" wrapText="1"/>
      <protection locked="0"/>
    </xf>
    <xf numFmtId="0" fontId="0" fillId="11" borderId="1" xfId="0" applyFill="1" applyBorder="1" applyAlignment="1" applyProtection="1">
      <alignment vertical="top" wrapText="1"/>
      <protection locked="0"/>
    </xf>
    <xf numFmtId="0" fontId="0" fillId="0" borderId="0" xfId="0" applyAlignment="1" applyProtection="1">
      <alignment vertical="top" wrapText="1"/>
      <protection locked="0"/>
    </xf>
    <xf numFmtId="0" fontId="2" fillId="0" borderId="5"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0" fillId="9" borderId="2" xfId="0" applyFill="1" applyBorder="1" applyAlignment="1" applyProtection="1">
      <alignment vertical="top" wrapText="1"/>
      <protection locked="0"/>
    </xf>
    <xf numFmtId="0" fontId="0" fillId="9" borderId="1" xfId="0" applyFill="1" applyBorder="1" applyAlignment="1" applyProtection="1">
      <alignment vertical="top" wrapText="1"/>
      <protection locked="0"/>
    </xf>
    <xf numFmtId="0" fontId="16" fillId="11" borderId="10" xfId="0" applyFont="1" applyFill="1" applyBorder="1" applyAlignment="1" applyProtection="1">
      <alignment vertical="top" wrapText="1"/>
      <protection locked="0"/>
    </xf>
    <xf numFmtId="0" fontId="51" fillId="0" borderId="25" xfId="3" applyFont="1" applyBorder="1" applyAlignment="1" applyProtection="1">
      <alignment vertical="center" wrapText="1"/>
      <protection locked="0"/>
    </xf>
    <xf numFmtId="0" fontId="52" fillId="0" borderId="25" xfId="3" applyFont="1" applyBorder="1" applyAlignment="1" applyProtection="1">
      <alignment horizontal="center" vertical="center" wrapText="1"/>
      <protection locked="0"/>
    </xf>
    <xf numFmtId="0" fontId="51" fillId="0" borderId="1" xfId="3" applyFont="1" applyBorder="1" applyAlignment="1" applyProtection="1">
      <alignment vertical="center" wrapText="1"/>
      <protection locked="0"/>
    </xf>
    <xf numFmtId="0" fontId="0" fillId="0" borderId="17" xfId="0" applyBorder="1" applyProtection="1">
      <protection locked="0"/>
    </xf>
    <xf numFmtId="0" fontId="51" fillId="0" borderId="19" xfId="3" applyFont="1" applyBorder="1" applyAlignment="1" applyProtection="1">
      <alignment vertical="center" wrapText="1"/>
      <protection locked="0"/>
    </xf>
    <xf numFmtId="0" fontId="0" fillId="0" borderId="21" xfId="0" applyBorder="1" applyProtection="1">
      <protection locked="0"/>
    </xf>
    <xf numFmtId="0" fontId="51" fillId="0" borderId="23" xfId="3" applyFont="1" applyBorder="1" applyAlignment="1" applyProtection="1">
      <alignment vertical="center" wrapText="1"/>
      <protection locked="0"/>
    </xf>
    <xf numFmtId="0" fontId="22" fillId="29" borderId="1" xfId="0" applyFont="1" applyFill="1" applyBorder="1" applyAlignment="1" applyProtection="1">
      <alignment vertical="top" wrapText="1"/>
      <protection locked="0"/>
    </xf>
    <xf numFmtId="0" fontId="0" fillId="12" borderId="17" xfId="0" applyFill="1" applyBorder="1" applyProtection="1">
      <protection locked="0"/>
    </xf>
    <xf numFmtId="0" fontId="0" fillId="12" borderId="69" xfId="0" applyFill="1" applyBorder="1" applyProtection="1">
      <protection locked="0"/>
    </xf>
    <xf numFmtId="0" fontId="51" fillId="0" borderId="33" xfId="3" applyFont="1" applyBorder="1" applyAlignment="1" applyProtection="1">
      <alignment vertical="center" wrapText="1"/>
      <protection locked="0"/>
    </xf>
    <xf numFmtId="0" fontId="15" fillId="29" borderId="11" xfId="0" applyFont="1" applyFill="1" applyBorder="1" applyAlignment="1" applyProtection="1">
      <alignment vertical="top" wrapText="1"/>
      <protection locked="0"/>
    </xf>
    <xf numFmtId="0" fontId="0" fillId="25" borderId="0" xfId="0" applyFill="1" applyAlignment="1" applyProtection="1">
      <alignment vertical="top" wrapText="1"/>
      <protection locked="0"/>
    </xf>
    <xf numFmtId="0" fontId="51" fillId="0" borderId="34" xfId="3" applyFont="1" applyBorder="1" applyAlignment="1" applyProtection="1">
      <alignment vertical="center" wrapText="1"/>
      <protection locked="0"/>
    </xf>
    <xf numFmtId="0" fontId="35" fillId="12" borderId="24" xfId="3" applyFont="1" applyFill="1" applyBorder="1" applyAlignment="1" applyProtection="1">
      <alignment vertical="top" wrapText="1"/>
      <protection locked="0"/>
    </xf>
    <xf numFmtId="0" fontId="15" fillId="12" borderId="26" xfId="0" applyFont="1" applyFill="1" applyBorder="1" applyProtection="1">
      <protection locked="0"/>
    </xf>
    <xf numFmtId="0" fontId="28" fillId="0" borderId="17" xfId="0" applyFont="1" applyBorder="1" applyAlignment="1" applyProtection="1">
      <alignment vertical="top" wrapText="1"/>
      <protection locked="0"/>
    </xf>
    <xf numFmtId="0" fontId="15" fillId="0" borderId="19" xfId="0" applyFont="1" applyBorder="1" applyProtection="1">
      <protection locked="0"/>
    </xf>
    <xf numFmtId="0" fontId="36" fillId="0" borderId="15" xfId="3" applyFont="1" applyBorder="1" applyAlignment="1" applyProtection="1">
      <alignment vertical="top" wrapText="1"/>
      <protection locked="0"/>
    </xf>
    <xf numFmtId="0" fontId="36" fillId="0" borderId="20" xfId="3" applyFont="1" applyBorder="1" applyAlignment="1" applyProtection="1">
      <alignment vertical="top" wrapText="1"/>
      <protection locked="0"/>
    </xf>
    <xf numFmtId="0" fontId="36" fillId="0" borderId="21" xfId="3" applyFont="1" applyBorder="1" applyAlignment="1" applyProtection="1">
      <alignment vertical="top" wrapText="1"/>
      <protection locked="0"/>
    </xf>
    <xf numFmtId="0" fontId="15" fillId="29" borderId="34" xfId="0" applyFont="1" applyFill="1" applyBorder="1" applyAlignment="1" applyProtection="1">
      <alignment vertical="top" wrapText="1"/>
      <protection locked="0"/>
    </xf>
    <xf numFmtId="0" fontId="39" fillId="0" borderId="42" xfId="0" applyFont="1" applyBorder="1" applyAlignment="1" applyProtection="1">
      <alignment vertical="top" wrapText="1"/>
      <protection locked="0"/>
    </xf>
    <xf numFmtId="0" fontId="51" fillId="0" borderId="10" xfId="3" applyFont="1" applyBorder="1" applyAlignment="1" applyProtection="1">
      <alignment vertical="center" wrapText="1"/>
      <protection locked="0"/>
    </xf>
    <xf numFmtId="0" fontId="34" fillId="0" borderId="17" xfId="3" applyFont="1" applyBorder="1" applyProtection="1">
      <protection locked="0"/>
    </xf>
    <xf numFmtId="0" fontId="34" fillId="0" borderId="21" xfId="3" applyFont="1" applyBorder="1" applyAlignment="1" applyProtection="1">
      <alignment vertical="top" wrapText="1"/>
      <protection locked="0"/>
    </xf>
    <xf numFmtId="0" fontId="0" fillId="14" borderId="6" xfId="0" applyFill="1" applyBorder="1" applyProtection="1">
      <protection locked="0"/>
    </xf>
    <xf numFmtId="0" fontId="0" fillId="14" borderId="7" xfId="0" applyFill="1" applyBorder="1" applyProtection="1">
      <protection locked="0"/>
    </xf>
    <xf numFmtId="0" fontId="4" fillId="11" borderId="47" xfId="0" applyFont="1" applyFill="1" applyBorder="1" applyAlignment="1" applyProtection="1">
      <alignment vertical="center" wrapText="1"/>
    </xf>
    <xf numFmtId="9" fontId="23" fillId="11" borderId="11" xfId="1" applyFont="1" applyFill="1" applyBorder="1" applyAlignment="1" applyProtection="1">
      <alignment horizontal="center" vertical="center" wrapText="1"/>
    </xf>
    <xf numFmtId="9" fontId="23" fillId="11" borderId="32" xfId="1" applyFont="1" applyFill="1" applyBorder="1" applyAlignment="1" applyProtection="1">
      <alignment horizontal="center" vertical="center" wrapText="1"/>
    </xf>
    <xf numFmtId="9" fontId="23" fillId="11" borderId="33" xfId="1" applyFont="1" applyFill="1" applyBorder="1" applyAlignment="1" applyProtection="1">
      <alignment horizontal="center" vertical="center" wrapText="1"/>
    </xf>
    <xf numFmtId="9" fontId="23" fillId="11" borderId="34" xfId="1" applyFont="1" applyFill="1" applyBorder="1" applyAlignment="1" applyProtection="1">
      <alignment horizontal="center" vertical="center" wrapText="1"/>
    </xf>
    <xf numFmtId="0" fontId="6" fillId="3" borderId="43" xfId="0" applyFont="1" applyFill="1" applyBorder="1" applyAlignment="1" applyProtection="1">
      <alignment vertical="center" wrapText="1"/>
    </xf>
    <xf numFmtId="0" fontId="6" fillId="3" borderId="0" xfId="0" applyFont="1" applyFill="1" applyBorder="1" applyAlignment="1" applyProtection="1">
      <alignment vertical="center" wrapText="1"/>
    </xf>
    <xf numFmtId="9" fontId="23" fillId="11" borderId="41" xfId="1" applyFont="1" applyFill="1" applyBorder="1" applyAlignment="1" applyProtection="1">
      <alignment horizontal="center" vertical="center" wrapText="1"/>
    </xf>
    <xf numFmtId="0" fontId="40" fillId="0" borderId="24" xfId="0" applyFont="1" applyBorder="1" applyAlignment="1" applyProtection="1">
      <alignment horizontal="left" vertical="top" wrapText="1"/>
      <protection locked="0"/>
    </xf>
    <xf numFmtId="0" fontId="40" fillId="0" borderId="26" xfId="0" applyFont="1" applyBorder="1" applyAlignment="1" applyProtection="1">
      <alignment horizontal="left" vertical="top" wrapText="1"/>
      <protection locked="0"/>
    </xf>
    <xf numFmtId="0" fontId="40" fillId="25" borderId="53" xfId="0" applyFont="1" applyFill="1" applyBorder="1" applyAlignment="1" applyProtection="1">
      <alignment vertical="top" wrapText="1"/>
      <protection locked="0"/>
    </xf>
    <xf numFmtId="0" fontId="40" fillId="26" borderId="0" xfId="0" applyFont="1" applyFill="1" applyAlignment="1" applyProtection="1">
      <alignment vertical="top" wrapText="1"/>
      <protection locked="0"/>
    </xf>
    <xf numFmtId="0" fontId="40" fillId="26" borderId="33" xfId="0" applyFont="1" applyFill="1" applyBorder="1" applyAlignment="1" applyProtection="1">
      <alignment vertical="top" wrapText="1"/>
      <protection locked="0"/>
    </xf>
    <xf numFmtId="0" fontId="40" fillId="25" borderId="33" xfId="0" applyFont="1" applyFill="1" applyBorder="1" applyAlignment="1" applyProtection="1">
      <alignment vertical="top" wrapText="1"/>
      <protection locked="0"/>
    </xf>
    <xf numFmtId="0" fontId="40" fillId="26" borderId="1" xfId="0" applyFont="1" applyFill="1" applyBorder="1" applyAlignment="1" applyProtection="1">
      <alignment vertical="top" wrapText="1"/>
      <protection locked="0"/>
    </xf>
    <xf numFmtId="0" fontId="40" fillId="0" borderId="32" xfId="0" applyFont="1" applyBorder="1" applyAlignment="1" applyProtection="1">
      <alignment horizontal="left" vertical="top" wrapText="1"/>
      <protection locked="0"/>
    </xf>
    <xf numFmtId="0" fontId="40" fillId="0" borderId="34" xfId="0" applyFont="1" applyBorder="1" applyAlignment="1" applyProtection="1">
      <alignment horizontal="left" vertical="top" wrapText="1"/>
      <protection locked="0"/>
    </xf>
    <xf numFmtId="0" fontId="54" fillId="0" borderId="53" xfId="3" applyFont="1" applyBorder="1" applyAlignment="1" applyProtection="1">
      <alignment vertical="top" wrapText="1"/>
      <protection locked="0"/>
    </xf>
    <xf numFmtId="0" fontId="16" fillId="0" borderId="62" xfId="0" applyFont="1" applyBorder="1" applyAlignment="1" applyProtection="1">
      <alignment vertical="top" wrapText="1"/>
      <protection locked="0"/>
    </xf>
    <xf numFmtId="0" fontId="54" fillId="0" borderId="41" xfId="3" applyFont="1" applyBorder="1" applyAlignment="1" applyProtection="1">
      <alignment vertical="top" wrapText="1"/>
      <protection locked="0"/>
    </xf>
    <xf numFmtId="0" fontId="55" fillId="0" borderId="29" xfId="0" applyFont="1" applyBorder="1" applyAlignment="1" applyProtection="1">
      <alignment vertical="top" wrapText="1"/>
      <protection locked="0"/>
    </xf>
    <xf numFmtId="0" fontId="56" fillId="0" borderId="58" xfId="3" applyFont="1" applyBorder="1" applyAlignment="1" applyProtection="1">
      <alignment vertical="top" wrapText="1"/>
      <protection locked="0"/>
    </xf>
    <xf numFmtId="0" fontId="40" fillId="0" borderId="59" xfId="0" applyFont="1" applyBorder="1" applyAlignment="1" applyProtection="1">
      <alignment vertical="top" wrapText="1"/>
      <protection locked="0"/>
    </xf>
    <xf numFmtId="0" fontId="56" fillId="0" borderId="60" xfId="3" applyFont="1" applyBorder="1" applyAlignment="1" applyProtection="1">
      <alignment vertical="top" wrapText="1"/>
      <protection locked="0"/>
    </xf>
    <xf numFmtId="0" fontId="56" fillId="0" borderId="24" xfId="3" applyFont="1" applyBorder="1" applyProtection="1">
      <protection locked="0"/>
    </xf>
    <xf numFmtId="0" fontId="56" fillId="0" borderId="25" xfId="3" applyFont="1" applyBorder="1" applyAlignment="1" applyProtection="1">
      <alignment vertical="top" wrapText="1"/>
      <protection locked="0"/>
    </xf>
    <xf numFmtId="0" fontId="40" fillId="0" borderId="32" xfId="0" applyFont="1" applyBorder="1" applyAlignment="1" applyProtection="1">
      <alignment horizontal="left" vertical="center" wrapText="1"/>
      <protection locked="0"/>
    </xf>
    <xf numFmtId="0" fontId="56" fillId="0" borderId="26" xfId="3" applyFont="1" applyBorder="1" applyAlignment="1" applyProtection="1">
      <alignment vertical="top" wrapText="1"/>
      <protection locked="0"/>
    </xf>
    <xf numFmtId="0" fontId="15" fillId="0" borderId="32" xfId="0" applyFont="1" applyBorder="1" applyAlignment="1" applyProtection="1">
      <alignment horizontal="left" vertical="top" wrapText="1"/>
      <protection locked="0"/>
    </xf>
    <xf numFmtId="0" fontId="22" fillId="25" borderId="1" xfId="0" applyFont="1" applyFill="1" applyBorder="1" applyAlignment="1" applyProtection="1">
      <alignment vertical="top" wrapText="1"/>
      <protection locked="0"/>
    </xf>
    <xf numFmtId="0" fontId="15" fillId="0" borderId="26" xfId="0" applyFont="1" applyBorder="1" applyProtection="1">
      <protection locked="0"/>
    </xf>
    <xf numFmtId="0" fontId="0" fillId="0" borderId="24" xfId="0" applyBorder="1" applyAlignment="1" applyProtection="1">
      <alignment vertical="top" wrapText="1"/>
      <protection locked="0"/>
    </xf>
    <xf numFmtId="0" fontId="0" fillId="0" borderId="26" xfId="0" applyBorder="1" applyAlignment="1" applyProtection="1">
      <alignment vertical="top" wrapText="1"/>
      <protection locked="0"/>
    </xf>
    <xf numFmtId="0" fontId="0" fillId="12" borderId="32" xfId="0" applyFill="1" applyBorder="1" applyProtection="1">
      <protection locked="0"/>
    </xf>
    <xf numFmtId="0" fontId="0" fillId="12" borderId="27" xfId="0" applyFill="1" applyBorder="1" applyProtection="1">
      <protection locked="0"/>
    </xf>
    <xf numFmtId="0" fontId="22" fillId="25" borderId="27" xfId="0" applyFont="1" applyFill="1" applyBorder="1" applyAlignment="1" applyProtection="1">
      <alignment vertical="top" wrapText="1"/>
      <protection locked="0"/>
    </xf>
    <xf numFmtId="0" fontId="15" fillId="0" borderId="33" xfId="0" applyFont="1" applyBorder="1" applyAlignment="1" applyProtection="1">
      <alignment horizontal="left" vertical="center" wrapText="1"/>
      <protection locked="0"/>
    </xf>
    <xf numFmtId="0" fontId="15" fillId="0" borderId="27" xfId="0" applyFont="1" applyBorder="1" applyAlignment="1" applyProtection="1">
      <alignment horizontal="left" vertical="center" wrapText="1"/>
      <protection locked="0"/>
    </xf>
    <xf numFmtId="0" fontId="0" fillId="0" borderId="27" xfId="0" applyBorder="1" applyProtection="1">
      <protection locked="0"/>
    </xf>
    <xf numFmtId="0" fontId="22" fillId="25" borderId="33" xfId="0" applyFont="1" applyFill="1" applyBorder="1" applyAlignment="1" applyProtection="1">
      <alignment vertical="top" wrapText="1"/>
      <protection locked="0"/>
    </xf>
    <xf numFmtId="0" fontId="35" fillId="0" borderId="33" xfId="3" applyFont="1" applyBorder="1" applyAlignment="1" applyProtection="1">
      <alignment vertical="top" wrapText="1"/>
      <protection locked="0"/>
    </xf>
    <xf numFmtId="0" fontId="15" fillId="12" borderId="33" xfId="0" applyFont="1" applyFill="1" applyBorder="1" applyAlignment="1" applyProtection="1">
      <alignment vertical="top" wrapText="1"/>
      <protection locked="0"/>
    </xf>
    <xf numFmtId="0" fontId="56" fillId="0" borderId="46" xfId="3" applyFont="1" applyBorder="1" applyAlignment="1" applyProtection="1">
      <alignment vertical="top" wrapText="1"/>
      <protection locked="0"/>
    </xf>
    <xf numFmtId="0" fontId="40" fillId="0" borderId="32" xfId="0" applyFont="1" applyBorder="1" applyAlignment="1" applyProtection="1">
      <alignment wrapText="1"/>
      <protection locked="0"/>
    </xf>
    <xf numFmtId="0" fontId="56" fillId="0" borderId="48" xfId="3" applyFont="1" applyBorder="1" applyAlignment="1" applyProtection="1">
      <alignment vertical="top" wrapText="1"/>
      <protection locked="0"/>
    </xf>
    <xf numFmtId="0" fontId="40" fillId="0" borderId="34" xfId="0" applyFont="1" applyBorder="1" applyAlignment="1" applyProtection="1">
      <alignment wrapText="1"/>
      <protection locked="0"/>
    </xf>
    <xf numFmtId="0" fontId="56" fillId="12" borderId="66" xfId="3" applyFont="1" applyFill="1" applyBorder="1" applyAlignment="1" applyProtection="1">
      <alignment vertical="top" wrapText="1"/>
      <protection locked="0"/>
    </xf>
    <xf numFmtId="0" fontId="40" fillId="12" borderId="25" xfId="0" applyFont="1" applyFill="1" applyBorder="1" applyAlignment="1" applyProtection="1">
      <alignment wrapText="1"/>
      <protection locked="0"/>
    </xf>
    <xf numFmtId="0" fontId="40" fillId="12" borderId="37" xfId="0" applyFont="1" applyFill="1" applyBorder="1" applyAlignment="1" applyProtection="1">
      <alignment wrapText="1"/>
      <protection locked="0"/>
    </xf>
    <xf numFmtId="0" fontId="15" fillId="0" borderId="19" xfId="0" applyFont="1" applyBorder="1" applyAlignment="1" applyProtection="1">
      <alignment horizontal="left" vertical="center" wrapText="1"/>
      <protection locked="0"/>
    </xf>
    <xf numFmtId="0" fontId="57" fillId="0" borderId="15" xfId="3" applyFont="1" applyBorder="1" applyAlignment="1" applyProtection="1">
      <alignment vertical="top" wrapText="1"/>
      <protection locked="0"/>
    </xf>
    <xf numFmtId="0" fontId="15" fillId="0" borderId="20" xfId="0" applyFont="1" applyBorder="1" applyAlignment="1" applyProtection="1">
      <alignment horizontal="left" vertical="center" wrapText="1"/>
      <protection locked="0"/>
    </xf>
    <xf numFmtId="0" fontId="15" fillId="0" borderId="20" xfId="0" applyFont="1" applyBorder="1" applyProtection="1">
      <protection locked="0"/>
    </xf>
    <xf numFmtId="0" fontId="15" fillId="0" borderId="23" xfId="0" applyFont="1" applyBorder="1" applyProtection="1">
      <protection locked="0"/>
    </xf>
    <xf numFmtId="0" fontId="0" fillId="0" borderId="2" xfId="0" applyBorder="1" applyAlignment="1" applyProtection="1">
      <alignment vertical="top" wrapText="1"/>
      <protection locked="0"/>
    </xf>
    <xf numFmtId="0" fontId="39" fillId="0" borderId="2" xfId="0" applyFont="1" applyBorder="1" applyAlignment="1" applyProtection="1">
      <alignment vertical="top" wrapText="1"/>
      <protection locked="0"/>
    </xf>
    <xf numFmtId="0" fontId="34" fillId="0" borderId="24" xfId="3" applyFont="1" applyBorder="1" applyAlignment="1" applyProtection="1">
      <alignment vertical="top" wrapText="1"/>
      <protection locked="0"/>
    </xf>
    <xf numFmtId="0" fontId="34" fillId="0" borderId="26" xfId="3" applyFont="1" applyBorder="1" applyAlignment="1" applyProtection="1">
      <alignment vertical="top" wrapText="1"/>
      <protection locked="0"/>
    </xf>
    <xf numFmtId="0" fontId="11" fillId="28" borderId="7" xfId="0" applyFont="1" applyFill="1" applyBorder="1" applyAlignment="1" applyProtection="1">
      <alignment vertical="center" wrapText="1"/>
    </xf>
    <xf numFmtId="0" fontId="20" fillId="24" borderId="44" xfId="0" applyFont="1" applyFill="1" applyBorder="1"/>
    <xf numFmtId="0" fontId="0" fillId="24" borderId="0" xfId="0" applyFill="1"/>
    <xf numFmtId="0" fontId="20" fillId="24" borderId="43" xfId="0" applyFont="1" applyFill="1" applyBorder="1"/>
    <xf numFmtId="0" fontId="20" fillId="24" borderId="0" xfId="0" applyFont="1" applyFill="1"/>
    <xf numFmtId="0" fontId="21" fillId="24" borderId="0" xfId="0" applyFont="1" applyFill="1"/>
    <xf numFmtId="0" fontId="20" fillId="24" borderId="0" xfId="0" applyFont="1" applyFill="1" applyProtection="1">
      <protection locked="0"/>
    </xf>
    <xf numFmtId="0" fontId="17" fillId="24" borderId="43" xfId="0" applyFont="1" applyFill="1" applyBorder="1"/>
    <xf numFmtId="0" fontId="17" fillId="24" borderId="0" xfId="0" applyFont="1" applyFill="1"/>
    <xf numFmtId="0" fontId="17" fillId="24" borderId="0" xfId="0" applyFont="1" applyFill="1" applyProtection="1">
      <protection locked="0"/>
    </xf>
    <xf numFmtId="0" fontId="19" fillId="23" borderId="1" xfId="0" applyFont="1" applyFill="1" applyBorder="1" applyAlignment="1">
      <alignment horizontal="center" vertical="center"/>
    </xf>
    <xf numFmtId="165" fontId="0" fillId="15" borderId="5" xfId="0" applyNumberFormat="1" applyFill="1" applyBorder="1" applyAlignment="1">
      <alignment horizontal="center" vertical="center"/>
    </xf>
    <xf numFmtId="0" fontId="17" fillId="24" borderId="6" xfId="0" applyFont="1" applyFill="1" applyBorder="1"/>
    <xf numFmtId="0" fontId="0" fillId="2" borderId="3" xfId="0" applyFill="1" applyBorder="1" applyAlignment="1">
      <alignment vertical="center" wrapText="1"/>
    </xf>
    <xf numFmtId="0" fontId="0" fillId="9" borderId="3" xfId="0" applyFill="1" applyBorder="1" applyAlignment="1">
      <alignment vertical="center" wrapText="1"/>
    </xf>
    <xf numFmtId="2" fontId="0" fillId="9" borderId="3" xfId="0" applyNumberFormat="1" applyFill="1" applyBorder="1" applyAlignment="1">
      <alignment vertical="center" wrapText="1"/>
    </xf>
    <xf numFmtId="0" fontId="0" fillId="11" borderId="43" xfId="0" applyFill="1" applyBorder="1" applyAlignment="1">
      <alignment vertical="center" wrapText="1"/>
    </xf>
    <xf numFmtId="0" fontId="2" fillId="11" borderId="70" xfId="0" applyFont="1" applyFill="1" applyBorder="1" applyAlignment="1">
      <alignment horizontal="center" vertical="center" wrapText="1"/>
    </xf>
    <xf numFmtId="0" fontId="2" fillId="11" borderId="71" xfId="0" applyFont="1" applyFill="1" applyBorder="1" applyAlignment="1">
      <alignment horizontal="center" vertical="center" wrapText="1"/>
    </xf>
    <xf numFmtId="0" fontId="2" fillId="11" borderId="75" xfId="0" applyFont="1" applyFill="1" applyBorder="1" applyAlignment="1">
      <alignment horizontal="center" vertical="center" wrapText="1"/>
    </xf>
    <xf numFmtId="0" fontId="2" fillId="11" borderId="68" xfId="0" applyFont="1" applyFill="1" applyBorder="1" applyAlignment="1">
      <alignment horizontal="center" vertical="center" wrapText="1"/>
    </xf>
    <xf numFmtId="2" fontId="2" fillId="11" borderId="9" xfId="0" applyNumberFormat="1" applyFont="1" applyFill="1" applyBorder="1" applyAlignment="1">
      <alignment horizontal="center" vertical="center" wrapText="1"/>
    </xf>
    <xf numFmtId="0" fontId="2" fillId="11" borderId="9" xfId="0" applyFont="1" applyFill="1" applyBorder="1" applyAlignment="1">
      <alignment horizontal="center" vertical="center"/>
    </xf>
    <xf numFmtId="0" fontId="2" fillId="9" borderId="8" xfId="0" applyFont="1" applyFill="1" applyBorder="1" applyAlignment="1">
      <alignment horizontal="center" vertical="center" wrapText="1"/>
    </xf>
    <xf numFmtId="0" fontId="2" fillId="0" borderId="8" xfId="0" applyFont="1" applyBorder="1" applyAlignment="1">
      <alignment horizontal="center"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0" fillId="0" borderId="1" xfId="0" applyBorder="1"/>
    <xf numFmtId="2" fontId="0" fillId="0" borderId="1" xfId="0" applyNumberFormat="1" applyBorder="1"/>
    <xf numFmtId="2" fontId="0" fillId="0" borderId="4" xfId="0" applyNumberFormat="1" applyBorder="1"/>
    <xf numFmtId="0" fontId="2" fillId="5" borderId="17" xfId="0" applyFont="1" applyFill="1" applyBorder="1"/>
    <xf numFmtId="0" fontId="0" fillId="5" borderId="18" xfId="0" applyFill="1" applyBorder="1"/>
    <xf numFmtId="0" fontId="0" fillId="5" borderId="19" xfId="0" applyFill="1" applyBorder="1"/>
    <xf numFmtId="0" fontId="4" fillId="9" borderId="10" xfId="0" applyFont="1" applyFill="1" applyBorder="1" applyAlignment="1">
      <alignment vertical="center" wrapText="1"/>
    </xf>
    <xf numFmtId="0" fontId="4" fillId="9" borderId="44" xfId="0" applyFont="1" applyFill="1" applyBorder="1" applyAlignment="1">
      <alignment vertical="center" wrapText="1"/>
    </xf>
    <xf numFmtId="0" fontId="0" fillId="9" borderId="10" xfId="0" applyFill="1" applyBorder="1"/>
    <xf numFmtId="0" fontId="0" fillId="9" borderId="0" xfId="0" applyFill="1"/>
    <xf numFmtId="0" fontId="2" fillId="9" borderId="54" xfId="0" applyFont="1" applyFill="1" applyBorder="1"/>
    <xf numFmtId="0" fontId="0" fillId="9" borderId="14" xfId="0" applyFill="1" applyBorder="1"/>
    <xf numFmtId="0" fontId="0" fillId="9" borderId="74" xfId="0" applyFill="1" applyBorder="1"/>
    <xf numFmtId="0" fontId="4" fillId="11" borderId="10" xfId="0" applyFont="1" applyFill="1" applyBorder="1" applyAlignment="1">
      <alignment vertical="center" wrapText="1"/>
    </xf>
    <xf numFmtId="0" fontId="4" fillId="11" borderId="44" xfId="0" applyFont="1" applyFill="1" applyBorder="1" applyAlignment="1">
      <alignment vertical="center" wrapText="1"/>
    </xf>
    <xf numFmtId="0" fontId="0" fillId="11" borderId="10" xfId="0" applyFill="1" applyBorder="1"/>
    <xf numFmtId="0" fontId="0" fillId="11" borderId="0" xfId="0" applyFill="1"/>
    <xf numFmtId="0" fontId="2" fillId="11" borderId="54" xfId="0" applyFont="1" applyFill="1" applyBorder="1"/>
    <xf numFmtId="0" fontId="0" fillId="11" borderId="14" xfId="0" applyFill="1" applyBorder="1"/>
    <xf numFmtId="0" fontId="0" fillId="11" borderId="74" xfId="0" applyFill="1" applyBorder="1"/>
    <xf numFmtId="0" fontId="22" fillId="0" borderId="29" xfId="0" applyFont="1" applyBorder="1" applyAlignment="1">
      <alignment vertical="center" wrapText="1"/>
    </xf>
    <xf numFmtId="165" fontId="23" fillId="20" borderId="32" xfId="0" applyNumberFormat="1" applyFont="1" applyFill="1" applyBorder="1" applyAlignment="1">
      <alignment horizontal="center" vertical="center" wrapText="1"/>
    </xf>
    <xf numFmtId="0" fontId="24" fillId="0" borderId="29" xfId="0" applyFont="1" applyBorder="1" applyAlignment="1">
      <alignment vertical="center" wrapText="1"/>
    </xf>
    <xf numFmtId="165" fontId="25" fillId="4" borderId="32" xfId="0" applyNumberFormat="1" applyFont="1" applyFill="1" applyBorder="1" applyAlignment="1">
      <alignment horizontal="center" vertical="center" wrapText="1"/>
    </xf>
    <xf numFmtId="0" fontId="24" fillId="8" borderId="29" xfId="0" applyFont="1" applyFill="1" applyBorder="1" applyAlignment="1">
      <alignment vertical="center" wrapText="1"/>
    </xf>
    <xf numFmtId="0" fontId="2" fillId="5" borderId="15" xfId="0" applyFont="1" applyFill="1" applyBorder="1"/>
    <xf numFmtId="2" fontId="2" fillId="5" borderId="11" xfId="0" applyNumberFormat="1" applyFont="1" applyFill="1" applyBorder="1"/>
    <xf numFmtId="0" fontId="0" fillId="5" borderId="11" xfId="0" applyFill="1" applyBorder="1"/>
    <xf numFmtId="0" fontId="0" fillId="5" borderId="20" xfId="0" applyFill="1" applyBorder="1"/>
    <xf numFmtId="0" fontId="22" fillId="0" borderId="31" xfId="0" applyFont="1" applyBorder="1" applyAlignment="1">
      <alignment vertical="center" wrapText="1"/>
    </xf>
    <xf numFmtId="165" fontId="23" fillId="20" borderId="34" xfId="0" applyNumberFormat="1" applyFont="1" applyFill="1" applyBorder="1" applyAlignment="1">
      <alignment horizontal="center" vertical="center" wrapText="1"/>
    </xf>
    <xf numFmtId="0" fontId="24" fillId="0" borderId="31" xfId="0" applyFont="1" applyBorder="1" applyAlignment="1">
      <alignment vertical="center" wrapText="1"/>
    </xf>
    <xf numFmtId="165" fontId="25" fillId="4" borderId="34" xfId="0" applyNumberFormat="1" applyFont="1" applyFill="1" applyBorder="1" applyAlignment="1">
      <alignment horizontal="center" vertical="center" wrapText="1"/>
    </xf>
    <xf numFmtId="0" fontId="24" fillId="8" borderId="31" xfId="0" applyFont="1" applyFill="1" applyBorder="1" applyAlignment="1">
      <alignment vertical="center" wrapText="1"/>
    </xf>
    <xf numFmtId="0" fontId="13" fillId="5" borderId="15" xfId="0" applyFont="1" applyFill="1" applyBorder="1" applyAlignment="1">
      <alignment vertical="center"/>
    </xf>
    <xf numFmtId="2" fontId="14" fillId="5" borderId="11" xfId="0" applyNumberFormat="1" applyFont="1" applyFill="1" applyBorder="1" applyAlignment="1">
      <alignment horizontal="center" vertical="center"/>
    </xf>
    <xf numFmtId="0" fontId="22" fillId="0" borderId="61" xfId="0" applyFont="1" applyBorder="1" applyAlignment="1">
      <alignment vertical="center" wrapText="1"/>
    </xf>
    <xf numFmtId="165" fontId="23" fillId="4" borderId="53" xfId="0" applyNumberFormat="1" applyFont="1" applyFill="1" applyBorder="1" applyAlignment="1">
      <alignment horizontal="center" vertical="center" wrapText="1"/>
    </xf>
    <xf numFmtId="0" fontId="24" fillId="0" borderId="53" xfId="0" applyFont="1" applyBorder="1" applyAlignment="1">
      <alignment vertical="center" wrapText="1"/>
    </xf>
    <xf numFmtId="165" fontId="12" fillId="4" borderId="53" xfId="0" applyNumberFormat="1" applyFont="1" applyFill="1" applyBorder="1" applyAlignment="1">
      <alignment horizontal="center" vertical="center" wrapText="1"/>
    </xf>
    <xf numFmtId="0" fontId="24" fillId="9" borderId="62" xfId="0" applyFont="1" applyFill="1" applyBorder="1" applyAlignment="1">
      <alignment vertical="center" wrapText="1"/>
    </xf>
    <xf numFmtId="9" fontId="0" fillId="5" borderId="11" xfId="1" applyFont="1" applyFill="1" applyBorder="1"/>
    <xf numFmtId="165" fontId="23" fillId="4" borderId="33" xfId="0" applyNumberFormat="1" applyFont="1" applyFill="1" applyBorder="1" applyAlignment="1">
      <alignment horizontal="center" vertical="center" wrapText="1"/>
    </xf>
    <xf numFmtId="0" fontId="24" fillId="0" borderId="41" xfId="0" applyFont="1" applyBorder="1" applyAlignment="1">
      <alignment vertical="center" wrapText="1"/>
    </xf>
    <xf numFmtId="165" fontId="12" fillId="4" borderId="41" xfId="0" applyNumberFormat="1" applyFont="1" applyFill="1" applyBorder="1" applyAlignment="1">
      <alignment horizontal="center" vertical="center" wrapText="1"/>
    </xf>
    <xf numFmtId="0" fontId="24" fillId="9" borderId="64" xfId="0" applyFont="1" applyFill="1" applyBorder="1" applyAlignment="1">
      <alignment vertical="center" wrapText="1"/>
    </xf>
    <xf numFmtId="0" fontId="13" fillId="5" borderId="21" xfId="0" applyFont="1" applyFill="1" applyBorder="1" applyAlignment="1">
      <alignment vertical="center"/>
    </xf>
    <xf numFmtId="2" fontId="14" fillId="5" borderId="22" xfId="0" applyNumberFormat="1" applyFont="1" applyFill="1" applyBorder="1" applyAlignment="1">
      <alignment horizontal="center" vertical="center"/>
    </xf>
    <xf numFmtId="2" fontId="0" fillId="5" borderId="22" xfId="0" applyNumberFormat="1" applyFill="1" applyBorder="1"/>
    <xf numFmtId="0" fontId="0" fillId="5" borderId="23" xfId="0" applyFill="1" applyBorder="1"/>
    <xf numFmtId="0" fontId="24" fillId="0" borderId="24" xfId="0" applyFont="1" applyBorder="1" applyAlignment="1">
      <alignment vertical="center" wrapText="1"/>
    </xf>
    <xf numFmtId="165" fontId="25" fillId="4" borderId="24" xfId="0" applyNumberFormat="1" applyFont="1" applyFill="1" applyBorder="1" applyAlignment="1">
      <alignment horizontal="center" vertical="center" wrapText="1"/>
    </xf>
    <xf numFmtId="0" fontId="24" fillId="10" borderId="58" xfId="0" applyFont="1" applyFill="1" applyBorder="1" applyAlignment="1">
      <alignment vertical="center" wrapText="1"/>
    </xf>
    <xf numFmtId="0" fontId="24" fillId="0" borderId="25" xfId="0" applyFont="1" applyBorder="1" applyAlignment="1">
      <alignment vertical="center" wrapText="1"/>
    </xf>
    <xf numFmtId="165" fontId="25" fillId="4" borderId="25" xfId="0" applyNumberFormat="1" applyFont="1" applyFill="1" applyBorder="1" applyAlignment="1">
      <alignment horizontal="center" vertical="center" wrapText="1"/>
    </xf>
    <xf numFmtId="0" fontId="24" fillId="10" borderId="59" xfId="0" applyFont="1" applyFill="1" applyBorder="1" applyAlignment="1">
      <alignment vertical="center" wrapText="1"/>
    </xf>
    <xf numFmtId="0" fontId="24" fillId="0" borderId="26" xfId="0" applyFont="1" applyBorder="1" applyAlignment="1">
      <alignment vertical="center" wrapText="1"/>
    </xf>
    <xf numFmtId="165" fontId="25" fillId="4" borderId="26" xfId="0" applyNumberFormat="1" applyFont="1" applyFill="1" applyBorder="1" applyAlignment="1">
      <alignment horizontal="center" vertical="center" wrapText="1"/>
    </xf>
    <xf numFmtId="0" fontId="24" fillId="10" borderId="60" xfId="0" applyFont="1" applyFill="1" applyBorder="1" applyAlignment="1">
      <alignment vertical="center" wrapText="1"/>
    </xf>
    <xf numFmtId="0" fontId="3" fillId="3" borderId="1" xfId="0" applyFont="1" applyFill="1" applyBorder="1" applyAlignment="1">
      <alignment vertical="center" wrapText="1"/>
    </xf>
    <xf numFmtId="0" fontId="3" fillId="3" borderId="0" xfId="0" applyFont="1" applyFill="1" applyAlignment="1">
      <alignment vertical="center" wrapText="1"/>
    </xf>
    <xf numFmtId="0" fontId="24" fillId="0" borderId="32" xfId="0" applyFont="1" applyBorder="1" applyAlignment="1">
      <alignment vertical="center" wrapText="1"/>
    </xf>
    <xf numFmtId="0" fontId="24" fillId="0" borderId="19" xfId="0" applyFont="1" applyBorder="1" applyAlignment="1">
      <alignment vertical="center" wrapText="1"/>
    </xf>
    <xf numFmtId="0" fontId="27" fillId="22" borderId="58" xfId="0" applyFont="1" applyFill="1" applyBorder="1" applyAlignment="1">
      <alignment vertical="center" wrapText="1"/>
    </xf>
    <xf numFmtId="0" fontId="24" fillId="0" borderId="33" xfId="0" applyFont="1" applyBorder="1" applyAlignment="1">
      <alignment vertical="center" wrapText="1"/>
    </xf>
    <xf numFmtId="165" fontId="25" fillId="4" borderId="33" xfId="0" applyNumberFormat="1" applyFont="1" applyFill="1" applyBorder="1" applyAlignment="1">
      <alignment horizontal="center" vertical="center" wrapText="1"/>
    </xf>
    <xf numFmtId="0" fontId="24" fillId="0" borderId="20" xfId="0" applyFont="1" applyBorder="1" applyAlignment="1">
      <alignment vertical="center" wrapText="1"/>
    </xf>
    <xf numFmtId="0" fontId="27" fillId="22" borderId="59" xfId="0" applyFont="1" applyFill="1" applyBorder="1" applyAlignment="1">
      <alignment vertical="center" wrapText="1"/>
    </xf>
    <xf numFmtId="165" fontId="25" fillId="4" borderId="41" xfId="0" applyNumberFormat="1" applyFont="1" applyFill="1" applyBorder="1" applyAlignment="1">
      <alignment horizontal="center" vertical="center" wrapText="1"/>
    </xf>
    <xf numFmtId="0" fontId="24" fillId="0" borderId="39" xfId="0" applyFont="1" applyBorder="1" applyAlignment="1">
      <alignment vertical="center" wrapText="1"/>
    </xf>
    <xf numFmtId="165" fontId="25" fillId="4" borderId="37" xfId="0" applyNumberFormat="1" applyFont="1" applyFill="1" applyBorder="1" applyAlignment="1">
      <alignment horizontal="center" vertical="center" wrapText="1"/>
    </xf>
    <xf numFmtId="0" fontId="27" fillId="22" borderId="60" xfId="0" applyFont="1" applyFill="1" applyBorder="1" applyAlignment="1">
      <alignment vertical="center" wrapText="1"/>
    </xf>
    <xf numFmtId="0" fontId="24" fillId="8" borderId="58" xfId="0" applyFont="1" applyFill="1" applyBorder="1" applyAlignment="1">
      <alignment vertical="center" wrapText="1"/>
    </xf>
    <xf numFmtId="0" fontId="24" fillId="8" borderId="59" xfId="0" applyFont="1" applyFill="1" applyBorder="1" applyAlignment="1">
      <alignment vertical="center" wrapText="1"/>
    </xf>
    <xf numFmtId="0" fontId="24" fillId="0" borderId="34" xfId="0" applyFont="1" applyBorder="1" applyAlignment="1">
      <alignment vertical="center" wrapText="1"/>
    </xf>
    <xf numFmtId="0" fontId="24" fillId="12" borderId="34" xfId="0" applyFont="1" applyFill="1" applyBorder="1" applyAlignment="1">
      <alignment vertical="center" wrapText="1"/>
    </xf>
    <xf numFmtId="0" fontId="24" fillId="8" borderId="60" xfId="0" applyFont="1" applyFill="1" applyBorder="1" applyAlignment="1">
      <alignment vertical="center" wrapText="1"/>
    </xf>
    <xf numFmtId="0" fontId="24" fillId="0" borderId="2" xfId="0" applyFont="1" applyBorder="1" applyAlignment="1">
      <alignment vertical="center" wrapText="1"/>
    </xf>
    <xf numFmtId="165" fontId="25" fillId="4" borderId="2" xfId="0" applyNumberFormat="1" applyFont="1" applyFill="1" applyBorder="1" applyAlignment="1">
      <alignment horizontal="center" vertical="center" wrapText="1"/>
    </xf>
    <xf numFmtId="0" fontId="24" fillId="12" borderId="2" xfId="0" applyFont="1" applyFill="1" applyBorder="1" applyAlignment="1">
      <alignment vertical="center" wrapText="1"/>
    </xf>
    <xf numFmtId="165" fontId="25" fillId="4" borderId="1" xfId="0" applyNumberFormat="1" applyFont="1" applyFill="1" applyBorder="1" applyAlignment="1">
      <alignment horizontal="center" vertical="center" wrapText="1"/>
    </xf>
    <xf numFmtId="0" fontId="24" fillId="4" borderId="51" xfId="0" applyFont="1" applyFill="1" applyBorder="1" applyAlignment="1">
      <alignment vertical="center" wrapText="1"/>
    </xf>
    <xf numFmtId="0" fontId="22" fillId="0" borderId="2" xfId="0" applyFont="1" applyBorder="1" applyAlignment="1">
      <alignment vertical="center" wrapText="1"/>
    </xf>
    <xf numFmtId="0" fontId="22" fillId="4" borderId="51" xfId="0" applyFont="1" applyFill="1" applyBorder="1" applyAlignment="1">
      <alignment vertical="center" wrapText="1"/>
    </xf>
    <xf numFmtId="0" fontId="6" fillId="3" borderId="1" xfId="0" applyFont="1" applyFill="1" applyBorder="1" applyAlignment="1">
      <alignment vertical="center" wrapText="1"/>
    </xf>
    <xf numFmtId="0" fontId="6" fillId="3" borderId="7" xfId="0" applyFont="1" applyFill="1" applyBorder="1" applyAlignment="1">
      <alignment vertical="center" wrapText="1"/>
    </xf>
    <xf numFmtId="0" fontId="24" fillId="0" borderId="58" xfId="0" applyFont="1" applyBorder="1" applyAlignment="1">
      <alignment vertical="center" wrapText="1"/>
    </xf>
    <xf numFmtId="0" fontId="24" fillId="22" borderId="58" xfId="0" applyFont="1" applyFill="1" applyBorder="1" applyAlignment="1">
      <alignment vertical="center" wrapText="1"/>
    </xf>
    <xf numFmtId="0" fontId="24" fillId="0" borderId="59" xfId="0" applyFont="1" applyBorder="1" applyAlignment="1">
      <alignment vertical="center" wrapText="1"/>
    </xf>
    <xf numFmtId="0" fontId="24" fillId="22" borderId="59" xfId="0" applyFont="1" applyFill="1" applyBorder="1" applyAlignment="1">
      <alignment vertical="center" wrapText="1"/>
    </xf>
    <xf numFmtId="0" fontId="6" fillId="3" borderId="45" xfId="0" applyFont="1" applyFill="1" applyBorder="1" applyAlignment="1">
      <alignment vertical="center" wrapText="1"/>
    </xf>
    <xf numFmtId="0" fontId="24" fillId="0" borderId="66" xfId="0" applyFont="1" applyBorder="1" applyAlignment="1">
      <alignment vertical="center" wrapText="1"/>
    </xf>
    <xf numFmtId="165" fontId="25" fillId="4" borderId="53" xfId="0" applyNumberFormat="1" applyFont="1" applyFill="1" applyBorder="1" applyAlignment="1">
      <alignment horizontal="center" vertical="center" wrapText="1"/>
    </xf>
    <xf numFmtId="165" fontId="26" fillId="4" borderId="61" xfId="0" applyNumberFormat="1" applyFont="1" applyFill="1" applyBorder="1" applyAlignment="1">
      <alignment horizontal="center" vertical="center" wrapText="1"/>
    </xf>
    <xf numFmtId="0" fontId="24" fillId="5" borderId="27" xfId="0" applyFont="1" applyFill="1" applyBorder="1" applyAlignment="1">
      <alignment vertical="center" wrapText="1"/>
    </xf>
    <xf numFmtId="0" fontId="24" fillId="0" borderId="37" xfId="0" applyFont="1" applyBorder="1" applyAlignment="1">
      <alignment vertical="center" wrapText="1"/>
    </xf>
    <xf numFmtId="165" fontId="26" fillId="4" borderId="40" xfId="0" applyNumberFormat="1" applyFont="1" applyFill="1" applyBorder="1" applyAlignment="1">
      <alignment horizontal="center" vertical="center" wrapText="1"/>
    </xf>
    <xf numFmtId="0" fontId="3" fillId="3" borderId="2" xfId="0" applyFont="1" applyFill="1" applyBorder="1" applyAlignment="1">
      <alignment vertical="center" wrapText="1"/>
    </xf>
    <xf numFmtId="0" fontId="3" fillId="3" borderId="3" xfId="0" applyFont="1" applyFill="1" applyBorder="1" applyAlignment="1">
      <alignment vertical="center" wrapText="1"/>
    </xf>
    <xf numFmtId="0" fontId="3" fillId="3" borderId="45" xfId="0" applyFont="1" applyFill="1" applyBorder="1" applyAlignment="1">
      <alignment vertical="center" wrapText="1"/>
    </xf>
    <xf numFmtId="165" fontId="25" fillId="4" borderId="49" xfId="0" applyNumberFormat="1" applyFont="1" applyFill="1" applyBorder="1" applyAlignment="1">
      <alignment horizontal="center" vertical="center" wrapText="1"/>
    </xf>
    <xf numFmtId="165" fontId="25" fillId="4" borderId="28" xfId="0" applyNumberFormat="1" applyFont="1" applyFill="1" applyBorder="1" applyAlignment="1">
      <alignment horizontal="center" vertical="center" wrapText="1"/>
    </xf>
    <xf numFmtId="0" fontId="0" fillId="2" borderId="5" xfId="0" applyFill="1" applyBorder="1" applyAlignment="1">
      <alignment vertical="center" wrapText="1"/>
    </xf>
    <xf numFmtId="0" fontId="0" fillId="2" borderId="7" xfId="0" applyFill="1" applyBorder="1" applyAlignment="1">
      <alignment vertical="center" wrapText="1"/>
    </xf>
    <xf numFmtId="0" fontId="4" fillId="3" borderId="1" xfId="0" applyFont="1" applyFill="1" applyBorder="1" applyAlignment="1">
      <alignment vertical="center" wrapText="1"/>
    </xf>
    <xf numFmtId="0" fontId="27" fillId="0" borderId="32" xfId="0" applyFont="1" applyBorder="1" applyAlignment="1">
      <alignment vertical="center" wrapText="1"/>
    </xf>
    <xf numFmtId="0" fontId="0" fillId="3" borderId="1" xfId="0" applyFill="1" applyBorder="1" applyAlignment="1">
      <alignment vertical="center" wrapText="1"/>
    </xf>
    <xf numFmtId="0" fontId="0" fillId="3" borderId="0" xfId="0" applyFill="1" applyAlignment="1">
      <alignment vertical="center" wrapText="1"/>
    </xf>
    <xf numFmtId="0" fontId="22" fillId="0" borderId="0" xfId="0" applyFont="1" applyAlignment="1">
      <alignment wrapText="1"/>
    </xf>
    <xf numFmtId="165" fontId="23" fillId="4" borderId="10" xfId="0" applyNumberFormat="1" applyFont="1" applyFill="1" applyBorder="1" applyAlignment="1">
      <alignment horizontal="center" vertical="center" wrapText="1"/>
    </xf>
    <xf numFmtId="0" fontId="22" fillId="0" borderId="0" xfId="0" applyFont="1" applyAlignment="1">
      <alignment vertical="center"/>
    </xf>
    <xf numFmtId="165" fontId="25" fillId="4" borderId="10" xfId="0" applyNumberFormat="1" applyFont="1" applyFill="1" applyBorder="1" applyAlignment="1">
      <alignment horizontal="center" vertical="center" wrapText="1"/>
    </xf>
    <xf numFmtId="0" fontId="24" fillId="12" borderId="45" xfId="0" applyFont="1" applyFill="1" applyBorder="1" applyAlignment="1">
      <alignment vertical="center" wrapText="1"/>
    </xf>
    <xf numFmtId="165" fontId="25" fillId="12" borderId="42" xfId="0" applyNumberFormat="1" applyFont="1" applyFill="1" applyBorder="1" applyAlignment="1">
      <alignment horizontal="center" vertical="center" wrapText="1"/>
    </xf>
    <xf numFmtId="0" fontId="5" fillId="12" borderId="45" xfId="0" applyFont="1" applyFill="1" applyBorder="1" applyAlignment="1">
      <alignment vertical="center" wrapText="1"/>
    </xf>
    <xf numFmtId="0" fontId="3" fillId="3" borderId="10" xfId="0" applyFont="1" applyFill="1" applyBorder="1" applyAlignment="1">
      <alignment vertical="center" wrapText="1"/>
    </xf>
    <xf numFmtId="0" fontId="3" fillId="3" borderId="4" xfId="0" applyFont="1" applyFill="1" applyBorder="1" applyAlignment="1">
      <alignment vertical="center" wrapText="1"/>
    </xf>
    <xf numFmtId="0" fontId="24" fillId="12" borderId="32" xfId="0" applyFont="1" applyFill="1" applyBorder="1" applyAlignment="1">
      <alignment vertical="center" wrapText="1"/>
    </xf>
    <xf numFmtId="165" fontId="25" fillId="13" borderId="32" xfId="0" applyNumberFormat="1" applyFont="1" applyFill="1" applyBorder="1" applyAlignment="1">
      <alignment horizontal="center" vertical="center" wrapText="1"/>
    </xf>
    <xf numFmtId="0" fontId="24" fillId="12" borderId="29" xfId="0" applyFont="1" applyFill="1" applyBorder="1" applyAlignment="1">
      <alignment vertical="center" wrapText="1"/>
    </xf>
    <xf numFmtId="0" fontId="24" fillId="19" borderId="58" xfId="0" applyFont="1" applyFill="1" applyBorder="1" applyAlignment="1">
      <alignment vertical="center" wrapText="1"/>
    </xf>
    <xf numFmtId="0" fontId="24" fillId="12" borderId="33" xfId="0" applyFont="1" applyFill="1" applyBorder="1" applyAlignment="1">
      <alignment vertical="center" wrapText="1"/>
    </xf>
    <xf numFmtId="165" fontId="25" fillId="13" borderId="33" xfId="0" applyNumberFormat="1" applyFont="1" applyFill="1" applyBorder="1" applyAlignment="1">
      <alignment horizontal="center" vertical="center" wrapText="1"/>
    </xf>
    <xf numFmtId="0" fontId="24" fillId="0" borderId="30" xfId="0" applyFont="1" applyBorder="1" applyAlignment="1">
      <alignment vertical="center" wrapText="1"/>
    </xf>
    <xf numFmtId="0" fontId="24" fillId="19" borderId="59" xfId="0" applyFont="1" applyFill="1" applyBorder="1" applyAlignment="1">
      <alignment vertical="center" wrapText="1"/>
    </xf>
    <xf numFmtId="0" fontId="24" fillId="19" borderId="60" xfId="0" applyFont="1" applyFill="1" applyBorder="1" applyAlignment="1">
      <alignment vertical="center" wrapText="1"/>
    </xf>
    <xf numFmtId="0" fontId="2" fillId="2" borderId="1" xfId="0" applyFont="1" applyFill="1" applyBorder="1" applyAlignment="1">
      <alignment vertical="center" wrapText="1"/>
    </xf>
    <xf numFmtId="0" fontId="2" fillId="2" borderId="7" xfId="0" applyFont="1" applyFill="1" applyBorder="1" applyAlignment="1">
      <alignment vertical="center" wrapText="1"/>
    </xf>
    <xf numFmtId="0" fontId="22" fillId="0" borderId="33" xfId="0" applyFont="1" applyBorder="1" applyAlignment="1">
      <alignment vertical="center" wrapText="1"/>
    </xf>
    <xf numFmtId="165" fontId="23" fillId="4" borderId="25" xfId="0" applyNumberFormat="1" applyFont="1" applyFill="1" applyBorder="1" applyAlignment="1">
      <alignment horizontal="center" vertical="center" wrapText="1"/>
    </xf>
    <xf numFmtId="0" fontId="22" fillId="0" borderId="34" xfId="0" applyFont="1" applyBorder="1" applyAlignment="1">
      <alignment vertical="center" wrapText="1"/>
    </xf>
    <xf numFmtId="165" fontId="23" fillId="4" borderId="26" xfId="0" applyNumberFormat="1" applyFont="1" applyFill="1" applyBorder="1" applyAlignment="1">
      <alignment horizontal="center" vertical="center" wrapText="1"/>
    </xf>
    <xf numFmtId="0" fontId="24" fillId="22" borderId="60" xfId="0" applyFont="1" applyFill="1" applyBorder="1" applyAlignment="1">
      <alignment vertical="center" wrapText="1"/>
    </xf>
    <xf numFmtId="0" fontId="3" fillId="3" borderId="7" xfId="0" applyFont="1" applyFill="1" applyBorder="1" applyAlignment="1">
      <alignment vertical="center" wrapText="1"/>
    </xf>
    <xf numFmtId="0" fontId="22" fillId="0" borderId="1" xfId="0" applyFont="1" applyBorder="1" applyAlignment="1">
      <alignment vertical="center" wrapText="1"/>
    </xf>
    <xf numFmtId="165" fontId="23" fillId="4" borderId="1" xfId="0" applyNumberFormat="1" applyFont="1" applyFill="1" applyBorder="1" applyAlignment="1">
      <alignment horizontal="center" vertical="center" wrapText="1"/>
    </xf>
    <xf numFmtId="165" fontId="23" fillId="4" borderId="5" xfId="0" applyNumberFormat="1" applyFont="1" applyFill="1" applyBorder="1" applyAlignment="1">
      <alignment horizontal="center" vertical="center" wrapText="1"/>
    </xf>
    <xf numFmtId="0" fontId="22" fillId="0" borderId="3" xfId="0" applyFont="1" applyBorder="1" applyAlignment="1">
      <alignment horizontal="left" vertical="center" wrapText="1"/>
    </xf>
    <xf numFmtId="0" fontId="3" fillId="3" borderId="5" xfId="0" applyFont="1" applyFill="1" applyBorder="1" applyAlignment="1">
      <alignment vertical="center" wrapText="1"/>
    </xf>
    <xf numFmtId="0" fontId="24" fillId="0" borderId="1" xfId="0" applyFont="1" applyBorder="1" applyAlignment="1">
      <alignment vertical="center" wrapText="1"/>
    </xf>
    <xf numFmtId="165" fontId="25" fillId="7" borderId="7" xfId="0" applyNumberFormat="1" applyFont="1" applyFill="1" applyBorder="1" applyAlignment="1">
      <alignment horizontal="center" vertical="center" wrapText="1"/>
    </xf>
    <xf numFmtId="0" fontId="24" fillId="12" borderId="1" xfId="0" applyFont="1" applyFill="1" applyBorder="1" applyAlignment="1">
      <alignment vertical="center" wrapText="1"/>
    </xf>
    <xf numFmtId="165" fontId="25" fillId="7" borderId="1" xfId="0" applyNumberFormat="1" applyFont="1" applyFill="1" applyBorder="1" applyAlignment="1">
      <alignment horizontal="center" vertical="center" wrapText="1"/>
    </xf>
    <xf numFmtId="0" fontId="22" fillId="12" borderId="1" xfId="0" applyFont="1" applyFill="1" applyBorder="1" applyAlignment="1">
      <alignment vertical="center" wrapText="1"/>
    </xf>
    <xf numFmtId="165" fontId="23" fillId="7" borderId="1" xfId="0" applyNumberFormat="1" applyFont="1" applyFill="1" applyBorder="1" applyAlignment="1">
      <alignment horizontal="center" vertical="center" wrapText="1"/>
    </xf>
    <xf numFmtId="0" fontId="22" fillId="9" borderId="27" xfId="0" applyFont="1" applyFill="1" applyBorder="1" applyAlignment="1">
      <alignment vertical="center" wrapText="1"/>
    </xf>
    <xf numFmtId="0" fontId="6" fillId="3" borderId="4" xfId="0" applyFont="1" applyFill="1" applyBorder="1" applyAlignment="1">
      <alignment vertical="center" wrapText="1"/>
    </xf>
    <xf numFmtId="0" fontId="24" fillId="0" borderId="5" xfId="0" applyFont="1" applyBorder="1" applyAlignment="1">
      <alignment vertical="center" wrapText="1"/>
    </xf>
    <xf numFmtId="165" fontId="25" fillId="14" borderId="7" xfId="0" applyNumberFormat="1" applyFont="1" applyFill="1" applyBorder="1" applyAlignment="1">
      <alignment horizontal="center" vertical="center" wrapText="1"/>
    </xf>
    <xf numFmtId="0" fontId="24" fillId="12" borderId="7" xfId="0" applyFont="1" applyFill="1" applyBorder="1" applyAlignment="1">
      <alignment vertical="center" wrapText="1"/>
    </xf>
    <xf numFmtId="0" fontId="24" fillId="12" borderId="6" xfId="0" applyFont="1" applyFill="1" applyBorder="1" applyAlignment="1">
      <alignment vertical="center" wrapText="1"/>
    </xf>
    <xf numFmtId="165" fontId="23" fillId="7" borderId="2" xfId="0" applyNumberFormat="1" applyFont="1" applyFill="1" applyBorder="1" applyAlignment="1">
      <alignment horizontal="center" vertical="center" wrapText="1"/>
    </xf>
    <xf numFmtId="0" fontId="24" fillId="21" borderId="4" xfId="0" applyFont="1" applyFill="1" applyBorder="1" applyAlignment="1">
      <alignment vertical="center" wrapText="1"/>
    </xf>
    <xf numFmtId="165" fontId="25" fillId="4" borderId="7" xfId="0" applyNumberFormat="1" applyFont="1" applyFill="1" applyBorder="1" applyAlignment="1">
      <alignment horizontal="center" vertical="center" wrapText="1"/>
    </xf>
    <xf numFmtId="0" fontId="24" fillId="17" borderId="27" xfId="0" applyFont="1" applyFill="1" applyBorder="1" applyAlignment="1">
      <alignment vertical="center" wrapText="1"/>
    </xf>
    <xf numFmtId="0" fontId="0" fillId="2" borderId="1" xfId="0" applyFill="1" applyBorder="1" applyAlignment="1">
      <alignment vertical="center" wrapText="1"/>
    </xf>
    <xf numFmtId="0" fontId="0" fillId="2" borderId="4" xfId="0" applyFill="1" applyBorder="1" applyAlignment="1">
      <alignment vertical="center" wrapText="1"/>
    </xf>
    <xf numFmtId="0" fontId="24" fillId="0" borderId="7" xfId="0" applyFont="1" applyBorder="1" applyAlignment="1">
      <alignment vertical="center" wrapText="1"/>
    </xf>
    <xf numFmtId="0" fontId="24" fillId="8" borderId="27" xfId="0" applyFont="1" applyFill="1" applyBorder="1" applyAlignment="1">
      <alignment vertical="center" wrapText="1"/>
    </xf>
    <xf numFmtId="0" fontId="3" fillId="11" borderId="45" xfId="0" applyFont="1" applyFill="1" applyBorder="1" applyAlignment="1">
      <alignment vertical="center" wrapText="1"/>
    </xf>
    <xf numFmtId="0" fontId="24" fillId="9" borderId="49" xfId="0" applyFont="1" applyFill="1" applyBorder="1" applyAlignment="1">
      <alignment vertical="center" wrapText="1"/>
    </xf>
    <xf numFmtId="0" fontId="24" fillId="9" borderId="28" xfId="0" applyFont="1" applyFill="1" applyBorder="1" applyAlignment="1">
      <alignment vertical="center" wrapText="1"/>
    </xf>
    <xf numFmtId="0" fontId="24" fillId="0" borderId="61" xfId="0" applyFont="1" applyBorder="1" applyAlignment="1">
      <alignment vertical="center" wrapText="1"/>
    </xf>
    <xf numFmtId="0" fontId="24" fillId="9" borderId="58" xfId="0" applyFont="1" applyFill="1" applyBorder="1" applyAlignment="1">
      <alignment vertical="center" wrapText="1"/>
    </xf>
    <xf numFmtId="0" fontId="24" fillId="12" borderId="30" xfId="0" applyFont="1" applyFill="1" applyBorder="1" applyAlignment="1">
      <alignment vertical="center" wrapText="1"/>
    </xf>
    <xf numFmtId="0" fontId="24" fillId="9" borderId="59" xfId="0" applyFont="1" applyFill="1" applyBorder="1" applyAlignment="1">
      <alignment vertical="center" wrapText="1"/>
    </xf>
    <xf numFmtId="0" fontId="24" fillId="12" borderId="31" xfId="0" applyFont="1" applyFill="1" applyBorder="1" applyAlignment="1">
      <alignment vertical="center" wrapText="1"/>
    </xf>
    <xf numFmtId="0" fontId="24" fillId="9" borderId="60" xfId="0" applyFont="1" applyFill="1" applyBorder="1" applyAlignment="1">
      <alignment vertical="center" wrapText="1"/>
    </xf>
    <xf numFmtId="0" fontId="24" fillId="0" borderId="74" xfId="0" applyFont="1" applyBorder="1" applyAlignment="1">
      <alignment vertical="center" wrapText="1"/>
    </xf>
    <xf numFmtId="165" fontId="25" fillId="4" borderId="61" xfId="0" applyNumberFormat="1" applyFont="1" applyFill="1" applyBorder="1" applyAlignment="1">
      <alignment horizontal="center" vertical="center" wrapText="1"/>
    </xf>
    <xf numFmtId="0" fontId="24" fillId="16" borderId="62" xfId="0" applyFont="1" applyFill="1" applyBorder="1" applyAlignment="1">
      <alignment vertical="center" wrapText="1"/>
    </xf>
    <xf numFmtId="165" fontId="25" fillId="4" borderId="30" xfId="0" applyNumberFormat="1" applyFont="1" applyFill="1" applyBorder="1" applyAlignment="1">
      <alignment horizontal="center" vertical="center" wrapText="1"/>
    </xf>
    <xf numFmtId="0" fontId="24" fillId="16" borderId="59" xfId="0" applyFont="1" applyFill="1" applyBorder="1" applyAlignment="1">
      <alignment vertical="center" wrapText="1"/>
    </xf>
    <xf numFmtId="0" fontId="22" fillId="16" borderId="59" xfId="0" applyFont="1" applyFill="1" applyBorder="1" applyAlignment="1">
      <alignment vertical="center" wrapText="1"/>
    </xf>
    <xf numFmtId="0" fontId="24" fillId="0" borderId="23" xfId="0" applyFont="1" applyBorder="1" applyAlignment="1">
      <alignment vertical="center" wrapText="1"/>
    </xf>
    <xf numFmtId="165" fontId="25" fillId="4" borderId="31" xfId="0" applyNumberFormat="1" applyFont="1" applyFill="1" applyBorder="1" applyAlignment="1">
      <alignment horizontal="center" vertical="center" wrapText="1"/>
    </xf>
    <xf numFmtId="0" fontId="24" fillId="16" borderId="60" xfId="0" applyFont="1" applyFill="1" applyBorder="1" applyAlignment="1">
      <alignment vertical="center" wrapText="1"/>
    </xf>
    <xf numFmtId="165" fontId="25" fillId="4" borderId="29" xfId="0" applyNumberFormat="1" applyFont="1" applyFill="1" applyBorder="1" applyAlignment="1">
      <alignment horizontal="center" vertical="center" wrapText="1"/>
    </xf>
    <xf numFmtId="0" fontId="24" fillId="18" borderId="58" xfId="0" applyFont="1" applyFill="1" applyBorder="1" applyAlignment="1">
      <alignment vertical="center" wrapText="1"/>
    </xf>
    <xf numFmtId="165" fontId="25" fillId="4" borderId="27" xfId="0" applyNumberFormat="1" applyFont="1" applyFill="1" applyBorder="1" applyAlignment="1">
      <alignment horizontal="center" vertical="center" wrapText="1"/>
    </xf>
    <xf numFmtId="0" fontId="24" fillId="18" borderId="59" xfId="0" applyFont="1" applyFill="1" applyBorder="1" applyAlignment="1">
      <alignment vertical="center" wrapText="1"/>
    </xf>
    <xf numFmtId="0" fontId="24" fillId="18" borderId="60" xfId="0" applyFont="1" applyFill="1" applyBorder="1" applyAlignment="1">
      <alignment vertical="center" wrapText="1"/>
    </xf>
    <xf numFmtId="0" fontId="10" fillId="11" borderId="42" xfId="0" applyFont="1" applyFill="1" applyBorder="1" applyAlignment="1">
      <alignment vertical="center" wrapText="1"/>
    </xf>
    <xf numFmtId="0" fontId="10" fillId="11" borderId="45" xfId="0" applyFont="1" applyFill="1" applyBorder="1" applyAlignment="1">
      <alignment vertical="center" wrapText="1"/>
    </xf>
    <xf numFmtId="0" fontId="5" fillId="5" borderId="4" xfId="0" applyFont="1" applyFill="1" applyBorder="1" applyAlignment="1">
      <alignment vertical="center" wrapText="1"/>
    </xf>
    <xf numFmtId="0" fontId="5" fillId="5" borderId="58" xfId="0" applyFont="1" applyFill="1" applyBorder="1" applyAlignment="1">
      <alignment vertical="center" wrapText="1"/>
    </xf>
    <xf numFmtId="0" fontId="5" fillId="5" borderId="60" xfId="0" applyFont="1" applyFill="1" applyBorder="1" applyAlignment="1">
      <alignment vertical="center" wrapText="1"/>
    </xf>
    <xf numFmtId="0" fontId="2" fillId="14" borderId="2" xfId="0" applyFont="1" applyFill="1" applyBorder="1" applyAlignment="1">
      <alignment horizontal="center" vertical="center"/>
    </xf>
    <xf numFmtId="1" fontId="2" fillId="14" borderId="5" xfId="0" applyNumberFormat="1" applyFont="1" applyFill="1" applyBorder="1" applyAlignment="1">
      <alignment horizontal="center" vertical="center"/>
    </xf>
    <xf numFmtId="0" fontId="0" fillId="14" borderId="6" xfId="0" applyFill="1" applyBorder="1"/>
    <xf numFmtId="0" fontId="0" fillId="14" borderId="65" xfId="0" applyFill="1" applyBorder="1"/>
    <xf numFmtId="0" fontId="0" fillId="14" borderId="35" xfId="0" applyFill="1" applyBorder="1"/>
    <xf numFmtId="0" fontId="2" fillId="23" borderId="0" xfId="0" applyFont="1" applyFill="1" applyAlignment="1">
      <alignment horizontal="center"/>
    </xf>
    <xf numFmtId="0" fontId="2" fillId="0" borderId="0" xfId="0" applyFont="1"/>
    <xf numFmtId="165" fontId="12" fillId="4" borderId="66" xfId="0" applyNumberFormat="1" applyFont="1" applyFill="1" applyBorder="1" applyAlignment="1">
      <alignment horizontal="center" vertical="center" wrapText="1"/>
    </xf>
    <xf numFmtId="165" fontId="12" fillId="4" borderId="37" xfId="0" applyNumberFormat="1" applyFont="1" applyFill="1" applyBorder="1" applyAlignment="1">
      <alignment horizontal="center" vertical="center" wrapText="1"/>
    </xf>
    <xf numFmtId="0" fontId="15" fillId="12" borderId="1" xfId="0" applyFont="1" applyFill="1" applyBorder="1" applyAlignment="1" applyProtection="1">
      <alignment vertical="top" wrapText="1"/>
      <protection locked="0"/>
    </xf>
    <xf numFmtId="0" fontId="0" fillId="11" borderId="0" xfId="0" applyFill="1" applyAlignment="1">
      <alignment vertical="top" wrapText="1"/>
    </xf>
    <xf numFmtId="0" fontId="0" fillId="11" borderId="5" xfId="0" applyFill="1" applyBorder="1" applyAlignment="1">
      <alignment vertical="top" wrapText="1"/>
    </xf>
    <xf numFmtId="0" fontId="0" fillId="11" borderId="1" xfId="0" applyFill="1" applyBorder="1" applyAlignment="1">
      <alignment vertical="top" wrapText="1"/>
    </xf>
    <xf numFmtId="0" fontId="22" fillId="0" borderId="1" xfId="0" applyFont="1" applyBorder="1" applyAlignment="1" applyProtection="1">
      <alignment vertical="top" wrapText="1"/>
      <protection locked="0"/>
    </xf>
    <xf numFmtId="2" fontId="17" fillId="24" borderId="6" xfId="0" applyNumberFormat="1" applyFont="1" applyFill="1" applyBorder="1"/>
    <xf numFmtId="0" fontId="15" fillId="25" borderId="32" xfId="0" applyFont="1" applyFill="1" applyBorder="1" applyAlignment="1" applyProtection="1">
      <alignment horizontal="left" vertical="center" wrapText="1"/>
      <protection locked="0"/>
    </xf>
    <xf numFmtId="0" fontId="40" fillId="0" borderId="32" xfId="0" applyFont="1" applyBorder="1" applyProtection="1">
      <protection locked="0"/>
    </xf>
    <xf numFmtId="0" fontId="40" fillId="0" borderId="33" xfId="0" applyFont="1" applyBorder="1" applyProtection="1">
      <protection locked="0"/>
    </xf>
    <xf numFmtId="0" fontId="40" fillId="0" borderId="34" xfId="0" applyFont="1" applyBorder="1" applyProtection="1">
      <protection locked="0"/>
    </xf>
    <xf numFmtId="0" fontId="28" fillId="0" borderId="1" xfId="0" applyFont="1" applyBorder="1" applyProtection="1">
      <protection locked="0"/>
    </xf>
    <xf numFmtId="0" fontId="15" fillId="0" borderId="1" xfId="0" applyFont="1" applyBorder="1" applyProtection="1">
      <protection locked="0"/>
    </xf>
    <xf numFmtId="0" fontId="0" fillId="25" borderId="27" xfId="0" applyFill="1" applyBorder="1" applyAlignment="1" applyProtection="1">
      <alignment vertical="top" wrapText="1"/>
      <protection locked="0"/>
    </xf>
    <xf numFmtId="9" fontId="58" fillId="27" borderId="9" xfId="1" applyFont="1" applyFill="1" applyBorder="1" applyAlignment="1" applyProtection="1">
      <alignment horizontal="center" vertical="center" wrapText="1"/>
    </xf>
    <xf numFmtId="9" fontId="58" fillId="11" borderId="1" xfId="1" applyFont="1" applyFill="1" applyBorder="1" applyAlignment="1" applyProtection="1">
      <alignment horizontal="center" vertical="center" wrapText="1"/>
    </xf>
    <xf numFmtId="0" fontId="11" fillId="0" borderId="1" xfId="0" applyFont="1" applyBorder="1" applyAlignment="1" applyProtection="1">
      <alignment horizontal="center" vertical="center"/>
    </xf>
    <xf numFmtId="9" fontId="58" fillId="11" borderId="4" xfId="1" applyFont="1" applyFill="1" applyBorder="1" applyAlignment="1" applyProtection="1">
      <alignment horizontal="center" vertical="center" wrapText="1"/>
    </xf>
    <xf numFmtId="9" fontId="58" fillId="11" borderId="7" xfId="1" applyFont="1" applyFill="1" applyBorder="1" applyAlignment="1" applyProtection="1">
      <alignment horizontal="center" vertical="center" wrapText="1"/>
    </xf>
    <xf numFmtId="0" fontId="11" fillId="27" borderId="45" xfId="0" applyFont="1" applyFill="1" applyBorder="1" applyProtection="1">
      <protection locked="0"/>
    </xf>
    <xf numFmtId="0" fontId="59" fillId="27" borderId="9" xfId="0" applyFont="1" applyFill="1" applyBorder="1" applyProtection="1">
      <protection locked="0"/>
    </xf>
    <xf numFmtId="0" fontId="59" fillId="27" borderId="7" xfId="0" applyFont="1" applyFill="1" applyBorder="1" applyProtection="1">
      <protection locked="0"/>
    </xf>
    <xf numFmtId="9" fontId="60" fillId="6" borderId="1" xfId="1" applyFont="1" applyFill="1" applyBorder="1" applyAlignment="1" applyProtection="1">
      <alignment horizontal="center" vertical="center" wrapText="1"/>
    </xf>
    <xf numFmtId="0" fontId="21" fillId="27" borderId="43" xfId="0" applyFont="1" applyFill="1" applyBorder="1" applyAlignment="1" applyProtection="1">
      <alignment horizontal="center" vertical="center" wrapText="1"/>
    </xf>
    <xf numFmtId="0" fontId="21" fillId="0" borderId="0" xfId="0" applyFont="1" applyBorder="1" applyAlignment="1">
      <alignment horizontal="center" vertical="center" wrapText="1"/>
    </xf>
    <xf numFmtId="0" fontId="21" fillId="0" borderId="9" xfId="0" applyFont="1" applyBorder="1" applyAlignment="1">
      <alignment horizontal="center" vertical="center" wrapText="1"/>
    </xf>
    <xf numFmtId="9" fontId="60" fillId="6" borderId="10" xfId="1" applyFont="1" applyFill="1" applyBorder="1" applyAlignment="1" applyProtection="1">
      <alignment horizontal="center" vertical="center" wrapText="1"/>
    </xf>
    <xf numFmtId="9" fontId="60" fillId="6" borderId="8" xfId="1" applyFont="1" applyFill="1" applyBorder="1" applyAlignment="1" applyProtection="1">
      <alignment horizontal="center" vertical="center" wrapText="1"/>
    </xf>
    <xf numFmtId="9" fontId="60" fillId="6" borderId="5" xfId="1" applyFont="1" applyFill="1" applyBorder="1" applyAlignment="1" applyProtection="1">
      <alignment horizontal="center" vertical="center" wrapText="1"/>
    </xf>
    <xf numFmtId="0" fontId="26" fillId="11" borderId="2" xfId="0" applyFont="1" applyFill="1" applyBorder="1" applyAlignment="1" applyProtection="1">
      <alignment vertical="center" wrapText="1"/>
    </xf>
    <xf numFmtId="0" fontId="26" fillId="11" borderId="3" xfId="0" applyFont="1" applyFill="1" applyBorder="1" applyAlignment="1" applyProtection="1">
      <alignment vertical="center" wrapText="1"/>
    </xf>
    <xf numFmtId="0" fontId="26" fillId="11" borderId="4" xfId="0" applyFont="1" applyFill="1" applyBorder="1" applyAlignment="1" applyProtection="1">
      <alignment vertical="center" wrapText="1"/>
    </xf>
    <xf numFmtId="0" fontId="8" fillId="0" borderId="0" xfId="0" applyFont="1" applyBorder="1" applyAlignment="1" applyProtection="1">
      <alignment horizontal="center" vertical="center"/>
      <protection locked="0"/>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9" fontId="11" fillId="0" borderId="10" xfId="0" applyNumberFormat="1" applyFont="1" applyBorder="1" applyAlignment="1" applyProtection="1">
      <alignment horizontal="center" vertical="center" wrapText="1"/>
    </xf>
    <xf numFmtId="9" fontId="11" fillId="0" borderId="5" xfId="0" applyNumberFormat="1" applyFont="1" applyBorder="1" applyAlignment="1" applyProtection="1">
      <alignment horizontal="center" vertical="center" wrapText="1"/>
    </xf>
    <xf numFmtId="0" fontId="2" fillId="2" borderId="2" xfId="0" applyFont="1" applyFill="1" applyBorder="1" applyAlignment="1" applyProtection="1">
      <alignment vertical="center" wrapText="1"/>
      <protection locked="0"/>
    </xf>
    <xf numFmtId="0" fontId="2" fillId="2" borderId="3" xfId="0" applyFont="1" applyFill="1" applyBorder="1" applyAlignment="1" applyProtection="1">
      <alignment vertical="center" wrapText="1"/>
      <protection locked="0"/>
    </xf>
    <xf numFmtId="0" fontId="2" fillId="2" borderId="4" xfId="0" applyFont="1" applyFill="1" applyBorder="1" applyAlignment="1" applyProtection="1">
      <alignment vertical="center" wrapText="1"/>
      <protection locked="0"/>
    </xf>
    <xf numFmtId="0" fontId="23" fillId="3" borderId="42" xfId="0" applyFont="1" applyFill="1" applyBorder="1" applyAlignment="1" applyProtection="1">
      <alignment vertical="center" wrapText="1"/>
    </xf>
    <xf numFmtId="0" fontId="23" fillId="3" borderId="44" xfId="0" applyFont="1" applyFill="1" applyBorder="1" applyAlignment="1" applyProtection="1">
      <alignment vertical="center" wrapText="1"/>
    </xf>
    <xf numFmtId="0" fontId="23" fillId="3" borderId="45" xfId="0" applyFont="1" applyFill="1" applyBorder="1" applyAlignment="1" applyProtection="1">
      <alignment vertical="center" wrapText="1"/>
    </xf>
    <xf numFmtId="0" fontId="24" fillId="0" borderId="32" xfId="0" applyFont="1" applyBorder="1" applyAlignment="1" applyProtection="1">
      <alignment horizontal="left" vertical="center" wrapText="1"/>
    </xf>
    <xf numFmtId="0" fontId="24" fillId="0" borderId="33" xfId="0" applyFont="1" applyBorder="1" applyAlignment="1" applyProtection="1">
      <alignment horizontal="left" vertical="center" wrapText="1"/>
    </xf>
    <xf numFmtId="0" fontId="24" fillId="0" borderId="34" xfId="0" applyFont="1" applyBorder="1" applyAlignment="1" applyProtection="1">
      <alignment horizontal="left" vertical="center" wrapText="1"/>
    </xf>
    <xf numFmtId="0" fontId="24" fillId="0" borderId="32" xfId="0" applyFont="1" applyBorder="1" applyAlignment="1" applyProtection="1">
      <alignment vertical="center" wrapText="1"/>
    </xf>
    <xf numFmtId="0" fontId="24" fillId="0" borderId="33"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10" xfId="0" applyFont="1" applyFill="1" applyBorder="1" applyAlignment="1" applyProtection="1">
      <alignment horizontal="left" vertical="center" wrapText="1"/>
    </xf>
    <xf numFmtId="0" fontId="24" fillId="0" borderId="8" xfId="0" applyFont="1" applyFill="1" applyBorder="1" applyAlignment="1" applyProtection="1">
      <alignment horizontal="left" vertical="center" wrapText="1"/>
    </xf>
    <xf numFmtId="0" fontId="24" fillId="0" borderId="5" xfId="0" applyFont="1" applyFill="1" applyBorder="1" applyAlignment="1" applyProtection="1">
      <alignment horizontal="left" vertical="center" wrapText="1"/>
    </xf>
    <xf numFmtId="9" fontId="11" fillId="0" borderId="10" xfId="1" applyFont="1" applyBorder="1" applyAlignment="1" applyProtection="1">
      <alignment horizontal="center" vertical="center" wrapText="1"/>
    </xf>
    <xf numFmtId="9" fontId="11" fillId="0" borderId="8" xfId="1" applyFont="1" applyBorder="1" applyAlignment="1">
      <alignment horizontal="center" vertical="center" wrapText="1"/>
    </xf>
    <xf numFmtId="9" fontId="11" fillId="0" borderId="5" xfId="1" applyFont="1" applyBorder="1" applyAlignment="1">
      <alignment horizontal="center" vertical="center" wrapText="1"/>
    </xf>
    <xf numFmtId="0" fontId="23" fillId="3" borderId="2" xfId="0" applyFont="1" applyFill="1" applyBorder="1" applyAlignment="1" applyProtection="1">
      <alignment vertical="center" wrapText="1"/>
    </xf>
    <xf numFmtId="0" fontId="23" fillId="3" borderId="3" xfId="0" applyFont="1" applyFill="1" applyBorder="1" applyAlignment="1" applyProtection="1">
      <alignment vertical="center" wrapText="1"/>
    </xf>
    <xf numFmtId="0" fontId="23" fillId="3" borderId="4" xfId="0" applyFont="1" applyFill="1" applyBorder="1" applyAlignment="1" applyProtection="1">
      <alignment vertical="center" wrapText="1"/>
    </xf>
    <xf numFmtId="0" fontId="24" fillId="0" borderId="10" xfId="0" applyFont="1" applyFill="1" applyBorder="1" applyAlignment="1" applyProtection="1">
      <alignment horizontal="center" vertical="center" wrapText="1"/>
    </xf>
    <xf numFmtId="0" fontId="24" fillId="0" borderId="8" xfId="0" applyFont="1" applyFill="1" applyBorder="1" applyAlignment="1" applyProtection="1">
      <alignment horizontal="center" vertical="center" wrapText="1"/>
    </xf>
    <xf numFmtId="0" fontId="24" fillId="0" borderId="5" xfId="0" applyFont="1" applyFill="1" applyBorder="1" applyAlignment="1" applyProtection="1">
      <alignment horizontal="center" vertical="center" wrapText="1"/>
    </xf>
    <xf numFmtId="0" fontId="11" fillId="0" borderId="8" xfId="0" applyFont="1" applyBorder="1" applyAlignment="1" applyProtection="1">
      <alignment horizontal="center" vertical="center" wrapText="1"/>
    </xf>
    <xf numFmtId="0" fontId="11" fillId="0" borderId="5" xfId="0" applyFont="1" applyBorder="1" applyAlignment="1" applyProtection="1">
      <alignment horizontal="center" vertical="center" wrapText="1"/>
    </xf>
    <xf numFmtId="0" fontId="24" fillId="0" borderId="25" xfId="0" applyFont="1" applyFill="1" applyBorder="1" applyAlignment="1" applyProtection="1">
      <alignment vertical="center" wrapText="1"/>
    </xf>
    <xf numFmtId="0" fontId="2" fillId="2" borderId="2" xfId="0" applyFont="1" applyFill="1" applyBorder="1" applyAlignment="1" applyProtection="1">
      <alignment vertical="center" wrapText="1"/>
    </xf>
    <xf numFmtId="0" fontId="2" fillId="2" borderId="3" xfId="0" applyFont="1" applyFill="1" applyBorder="1" applyAlignment="1" applyProtection="1">
      <alignment vertical="center" wrapText="1"/>
    </xf>
    <xf numFmtId="0" fontId="2" fillId="2" borderId="4" xfId="0" applyFont="1" applyFill="1" applyBorder="1" applyAlignment="1" applyProtection="1">
      <alignment vertical="center" wrapText="1"/>
    </xf>
    <xf numFmtId="2" fontId="24" fillId="0" borderId="24" xfId="0" applyNumberFormat="1" applyFont="1" applyFill="1" applyBorder="1" applyAlignment="1" applyProtection="1">
      <alignment horizontal="left" vertical="center" wrapText="1"/>
    </xf>
    <xf numFmtId="2" fontId="15" fillId="0" borderId="26" xfId="0" applyNumberFormat="1" applyFont="1" applyBorder="1" applyAlignment="1" applyProtection="1">
      <alignment horizontal="left" vertical="center" wrapText="1"/>
    </xf>
    <xf numFmtId="9" fontId="60" fillId="6" borderId="32" xfId="1" applyFont="1" applyFill="1" applyBorder="1" applyAlignment="1" applyProtection="1">
      <alignment horizontal="center" vertical="center" wrapText="1"/>
    </xf>
    <xf numFmtId="0" fontId="11" fillId="0" borderId="34" xfId="0" applyFont="1" applyBorder="1" applyAlignment="1">
      <alignment horizontal="center" vertical="center" wrapText="1"/>
    </xf>
    <xf numFmtId="0" fontId="2" fillId="2" borderId="2" xfId="0" applyFont="1" applyFill="1" applyBorder="1" applyAlignment="1" applyProtection="1">
      <alignment horizontal="left" vertical="center" wrapText="1"/>
    </xf>
    <xf numFmtId="0" fontId="2" fillId="2" borderId="3" xfId="0" applyFont="1" applyFill="1" applyBorder="1" applyAlignment="1" applyProtection="1">
      <alignment horizontal="left" vertical="center" wrapText="1"/>
    </xf>
    <xf numFmtId="0" fontId="2" fillId="2" borderId="4" xfId="0" applyFont="1" applyFill="1" applyBorder="1" applyAlignment="1" applyProtection="1">
      <alignment horizontal="left" vertical="center" wrapText="1"/>
    </xf>
    <xf numFmtId="0" fontId="2" fillId="2" borderId="16" xfId="0" applyFont="1" applyFill="1" applyBorder="1" applyAlignment="1" applyProtection="1">
      <alignment vertical="center" wrapText="1"/>
    </xf>
    <xf numFmtId="0" fontId="2" fillId="2" borderId="6" xfId="0" applyFont="1" applyFill="1" applyBorder="1" applyAlignment="1" applyProtection="1">
      <alignment vertical="center" wrapText="1"/>
    </xf>
    <xf numFmtId="0" fontId="2" fillId="2" borderId="7" xfId="0" applyFont="1" applyFill="1" applyBorder="1" applyAlignment="1" applyProtection="1">
      <alignment vertical="center" wrapText="1"/>
    </xf>
    <xf numFmtId="0" fontId="2" fillId="2" borderId="16" xfId="0" applyFont="1" applyFill="1" applyBorder="1" applyAlignment="1" applyProtection="1">
      <alignment vertical="center" wrapText="1"/>
      <protection locked="0"/>
    </xf>
    <xf numFmtId="0" fontId="2" fillId="2" borderId="6" xfId="0" applyFont="1" applyFill="1" applyBorder="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6" fillId="3" borderId="2" xfId="0" applyFont="1" applyFill="1" applyBorder="1" applyAlignment="1" applyProtection="1">
      <alignment vertical="center" wrapText="1"/>
    </xf>
    <xf numFmtId="0" fontId="26" fillId="3" borderId="3" xfId="0" applyFont="1" applyFill="1" applyBorder="1" applyAlignment="1" applyProtection="1">
      <alignment vertical="center" wrapText="1"/>
    </xf>
    <xf numFmtId="0" fontId="26" fillId="3" borderId="4" xfId="0" applyFont="1" applyFill="1" applyBorder="1" applyAlignment="1" applyProtection="1">
      <alignment vertical="center" wrapText="1"/>
    </xf>
    <xf numFmtId="0" fontId="11" fillId="0" borderId="33" xfId="0" applyFont="1" applyBorder="1" applyAlignment="1" applyProtection="1">
      <alignment horizontal="center" vertical="center" wrapText="1"/>
    </xf>
    <xf numFmtId="0" fontId="11" fillId="0" borderId="34" xfId="0" applyFont="1" applyBorder="1" applyAlignment="1" applyProtection="1">
      <alignment horizontal="center" vertical="center" wrapText="1"/>
    </xf>
    <xf numFmtId="0" fontId="24" fillId="0" borderId="32" xfId="0" applyFont="1" applyFill="1" applyBorder="1" applyAlignment="1" applyProtection="1">
      <alignment horizontal="left" vertical="center" wrapText="1"/>
    </xf>
    <xf numFmtId="0" fontId="24" fillId="0" borderId="33" xfId="0" applyFont="1" applyFill="1" applyBorder="1" applyAlignment="1" applyProtection="1">
      <alignment horizontal="left" vertical="center" wrapText="1"/>
    </xf>
    <xf numFmtId="0" fontId="24" fillId="0" borderId="34" xfId="0" applyFont="1" applyFill="1" applyBorder="1" applyAlignment="1" applyProtection="1">
      <alignment horizontal="left" vertical="center" wrapText="1"/>
    </xf>
    <xf numFmtId="9" fontId="60" fillId="0" borderId="32" xfId="1" applyFont="1" applyFill="1" applyBorder="1" applyAlignment="1" applyProtection="1">
      <alignment horizontal="center" vertical="center" wrapText="1"/>
    </xf>
    <xf numFmtId="9" fontId="60" fillId="0" borderId="33" xfId="1" applyFont="1" applyFill="1" applyBorder="1" applyAlignment="1" applyProtection="1">
      <alignment horizontal="center" vertical="center" wrapText="1"/>
    </xf>
    <xf numFmtId="9" fontId="60" fillId="0" borderId="34" xfId="1" applyFont="1" applyFill="1" applyBorder="1" applyAlignment="1" applyProtection="1">
      <alignment horizontal="center" vertical="center" wrapText="1"/>
    </xf>
    <xf numFmtId="0" fontId="24" fillId="12" borderId="41" xfId="0" applyFont="1" applyFill="1" applyBorder="1" applyAlignment="1" applyProtection="1">
      <alignment vertical="center" wrapText="1"/>
    </xf>
    <xf numFmtId="0" fontId="24" fillId="12" borderId="5" xfId="0" applyFont="1" applyFill="1" applyBorder="1" applyAlignment="1" applyProtection="1">
      <alignment vertical="center" wrapText="1"/>
    </xf>
    <xf numFmtId="9" fontId="60" fillId="0" borderId="10" xfId="1" applyFont="1" applyBorder="1" applyAlignment="1" applyProtection="1">
      <alignment horizontal="center" vertical="center" wrapText="1"/>
    </xf>
    <xf numFmtId="9" fontId="60" fillId="0" borderId="5" xfId="1" applyFont="1" applyBorder="1" applyAlignment="1" applyProtection="1">
      <alignment horizontal="center" vertical="center" wrapText="1"/>
    </xf>
    <xf numFmtId="0" fontId="23" fillId="3" borderId="50" xfId="0" applyFont="1" applyFill="1" applyBorder="1" applyAlignment="1" applyProtection="1">
      <alignment vertical="center" wrapText="1"/>
    </xf>
    <xf numFmtId="0" fontId="23" fillId="3" borderId="35" xfId="0" applyFont="1" applyFill="1" applyBorder="1" applyAlignment="1" applyProtection="1">
      <alignment vertical="center" wrapText="1"/>
    </xf>
    <xf numFmtId="0" fontId="23" fillId="3" borderId="36" xfId="0" applyFont="1" applyFill="1" applyBorder="1" applyAlignment="1" applyProtection="1">
      <alignment vertical="center" wrapText="1"/>
    </xf>
    <xf numFmtId="0" fontId="30" fillId="3" borderId="2" xfId="0" applyFont="1" applyFill="1" applyBorder="1" applyAlignment="1" applyProtection="1">
      <alignment vertical="center" wrapText="1"/>
    </xf>
    <xf numFmtId="0" fontId="30" fillId="3" borderId="3" xfId="0" applyFont="1" applyFill="1" applyBorder="1" applyAlignment="1" applyProtection="1">
      <alignment vertical="center" wrapText="1"/>
    </xf>
    <xf numFmtId="0" fontId="30" fillId="3" borderId="4" xfId="0" applyFont="1" applyFill="1" applyBorder="1" applyAlignment="1" applyProtection="1">
      <alignment vertical="center" wrapText="1"/>
    </xf>
    <xf numFmtId="0" fontId="15" fillId="0" borderId="33" xfId="0" applyFont="1" applyBorder="1" applyAlignment="1" applyProtection="1">
      <alignment horizontal="left" vertical="center" wrapText="1"/>
    </xf>
    <xf numFmtId="0" fontId="15" fillId="0" borderId="34" xfId="0" applyFont="1" applyBorder="1" applyAlignment="1" applyProtection="1">
      <alignment horizontal="left" vertical="center" wrapText="1"/>
    </xf>
    <xf numFmtId="9" fontId="58" fillId="11" borderId="10" xfId="1" applyFont="1" applyFill="1" applyBorder="1" applyAlignment="1" applyProtection="1">
      <alignment horizontal="center" vertical="center" wrapText="1"/>
    </xf>
    <xf numFmtId="9" fontId="58" fillId="11" borderId="8" xfId="1" applyFont="1" applyFill="1" applyBorder="1" applyAlignment="1" applyProtection="1">
      <alignment horizontal="center" vertical="center" wrapText="1"/>
    </xf>
    <xf numFmtId="0" fontId="15" fillId="0" borderId="33" xfId="0" applyFont="1" applyBorder="1" applyAlignment="1" applyProtection="1">
      <alignment vertical="center" wrapText="1"/>
    </xf>
    <xf numFmtId="0" fontId="24" fillId="0" borderId="33" xfId="0" applyFont="1" applyFill="1" applyBorder="1" applyAlignment="1" applyProtection="1">
      <alignment vertical="center" wrapText="1"/>
    </xf>
    <xf numFmtId="0" fontId="15" fillId="0" borderId="33" xfId="0" applyFont="1" applyFill="1" applyBorder="1" applyAlignment="1" applyProtection="1">
      <alignment vertical="center" wrapText="1"/>
    </xf>
    <xf numFmtId="0" fontId="23" fillId="3" borderId="6" xfId="0" applyFont="1" applyFill="1" applyBorder="1" applyAlignment="1" applyProtection="1">
      <alignment vertical="center" wrapText="1"/>
    </xf>
    <xf numFmtId="0" fontId="23" fillId="3" borderId="7" xfId="0" applyFont="1" applyFill="1" applyBorder="1" applyAlignment="1" applyProtection="1">
      <alignment vertical="center" wrapText="1"/>
    </xf>
    <xf numFmtId="9" fontId="58" fillId="11" borderId="5" xfId="1" applyFont="1" applyFill="1" applyBorder="1" applyAlignment="1" applyProtection="1">
      <alignment horizontal="center" vertical="center" wrapText="1"/>
    </xf>
    <xf numFmtId="0" fontId="22" fillId="0" borderId="42" xfId="0" applyFont="1" applyBorder="1" applyAlignment="1" applyProtection="1">
      <alignment vertical="center" wrapText="1"/>
    </xf>
    <xf numFmtId="0" fontId="22" fillId="0" borderId="43" xfId="0" applyFont="1" applyBorder="1" applyAlignment="1" applyProtection="1">
      <alignment vertical="center" wrapText="1"/>
    </xf>
    <xf numFmtId="0" fontId="22" fillId="0" borderId="16" xfId="0" applyFont="1" applyBorder="1" applyAlignment="1" applyProtection="1">
      <alignment vertical="center" wrapText="1"/>
    </xf>
    <xf numFmtId="0" fontId="22" fillId="0" borderId="15" xfId="0" applyFont="1" applyBorder="1" applyAlignment="1" applyProtection="1">
      <alignment vertical="center" wrapText="1"/>
    </xf>
    <xf numFmtId="0" fontId="22" fillId="0" borderId="21" xfId="0" applyFont="1" applyBorder="1" applyAlignment="1" applyProtection="1">
      <alignment vertical="center" wrapText="1"/>
    </xf>
    <xf numFmtId="0" fontId="22" fillId="0" borderId="24" xfId="0" applyFont="1" applyBorder="1" applyAlignment="1" applyProtection="1">
      <alignment horizontal="left" vertical="center" wrapText="1"/>
    </xf>
    <xf numFmtId="0" fontId="22" fillId="0" borderId="26" xfId="0" applyFont="1" applyBorder="1" applyAlignment="1" applyProtection="1">
      <alignment horizontal="left" vertical="center" wrapText="1"/>
    </xf>
    <xf numFmtId="9" fontId="58" fillId="11" borderId="32" xfId="1" applyFont="1" applyFill="1" applyBorder="1" applyAlignment="1" applyProtection="1">
      <alignment horizontal="center" vertical="center" wrapText="1"/>
    </xf>
    <xf numFmtId="9" fontId="58" fillId="11" borderId="34" xfId="1" applyFont="1" applyFill="1" applyBorder="1" applyAlignment="1" applyProtection="1">
      <alignment horizontal="center" vertical="center" wrapText="1"/>
    </xf>
    <xf numFmtId="0" fontId="22" fillId="0" borderId="24" xfId="0" applyFont="1" applyBorder="1" applyAlignment="1" applyProtection="1">
      <alignment vertical="center" wrapText="1"/>
    </xf>
    <xf numFmtId="0" fontId="15" fillId="0" borderId="26" xfId="0" applyFont="1" applyBorder="1" applyAlignment="1" applyProtection="1">
      <alignment vertical="center" wrapText="1"/>
    </xf>
    <xf numFmtId="9" fontId="60" fillId="4" borderId="10" xfId="1" applyFont="1" applyFill="1" applyBorder="1" applyAlignment="1" applyProtection="1">
      <alignment horizontal="center" vertical="center" wrapText="1"/>
    </xf>
    <xf numFmtId="9" fontId="60" fillId="4" borderId="5" xfId="1" applyFont="1" applyFill="1" applyBorder="1" applyAlignment="1" applyProtection="1">
      <alignment horizontal="center" vertical="center" wrapText="1"/>
    </xf>
    <xf numFmtId="0" fontId="29" fillId="27" borderId="43" xfId="0" applyFont="1" applyFill="1" applyBorder="1" applyAlignment="1" applyProtection="1">
      <alignment horizontal="center"/>
      <protection locked="0"/>
    </xf>
    <xf numFmtId="0" fontId="29" fillId="27" borderId="0" xfId="0" applyFont="1" applyFill="1" applyBorder="1" applyAlignment="1" applyProtection="1">
      <alignment horizontal="center"/>
      <protection locked="0"/>
    </xf>
    <xf numFmtId="0" fontId="11" fillId="28" borderId="16" xfId="0" applyFont="1" applyFill="1" applyBorder="1" applyAlignment="1" applyProtection="1">
      <alignment vertical="center" wrapText="1"/>
    </xf>
    <xf numFmtId="0" fontId="11" fillId="28" borderId="6" xfId="0" applyFont="1" applyFill="1" applyBorder="1" applyAlignment="1" applyProtection="1">
      <alignment vertical="center" wrapText="1"/>
    </xf>
    <xf numFmtId="0" fontId="11" fillId="28" borderId="7" xfId="0" applyFont="1" applyFill="1" applyBorder="1" applyAlignment="1" applyProtection="1">
      <alignment vertical="center" wrapText="1"/>
    </xf>
    <xf numFmtId="0" fontId="11" fillId="2" borderId="2" xfId="0" applyFont="1" applyFill="1" applyBorder="1" applyAlignment="1" applyProtection="1">
      <alignment vertical="center" wrapText="1"/>
    </xf>
    <xf numFmtId="0" fontId="11" fillId="2" borderId="3" xfId="0" applyFont="1" applyFill="1" applyBorder="1" applyAlignment="1" applyProtection="1">
      <alignment vertical="center" wrapText="1"/>
    </xf>
    <xf numFmtId="0" fontId="11" fillId="2" borderId="4" xfId="0" applyFont="1" applyFill="1" applyBorder="1" applyAlignment="1" applyProtection="1">
      <alignment vertical="center" wrapText="1"/>
    </xf>
    <xf numFmtId="0" fontId="44" fillId="4" borderId="0" xfId="0" applyFont="1" applyFill="1" applyBorder="1" applyAlignment="1" applyProtection="1">
      <alignment horizontal="center" vertical="center" wrapText="1"/>
    </xf>
    <xf numFmtId="0" fontId="45" fillId="4" borderId="0" xfId="0" applyFont="1" applyFill="1" applyBorder="1" applyAlignment="1">
      <alignment vertical="center" wrapText="1"/>
    </xf>
    <xf numFmtId="9" fontId="58" fillId="11" borderId="45" xfId="1" applyFont="1" applyFill="1" applyBorder="1" applyAlignment="1" applyProtection="1">
      <alignment horizontal="center" vertical="center" wrapText="1"/>
    </xf>
    <xf numFmtId="9" fontId="58" fillId="11" borderId="9" xfId="1" applyFont="1" applyFill="1" applyBorder="1" applyAlignment="1" applyProtection="1">
      <alignment horizontal="center" vertical="center" wrapText="1"/>
    </xf>
    <xf numFmtId="9" fontId="58" fillId="11" borderId="7" xfId="1" applyFont="1" applyFill="1" applyBorder="1" applyAlignment="1" applyProtection="1">
      <alignment horizontal="center" vertical="center" wrapText="1"/>
    </xf>
    <xf numFmtId="9" fontId="58" fillId="11" borderId="58" xfId="1" applyFont="1" applyFill="1" applyBorder="1" applyAlignment="1" applyProtection="1">
      <alignment horizontal="center" vertical="center" wrapText="1"/>
    </xf>
    <xf numFmtId="9" fontId="58" fillId="11" borderId="60" xfId="1" applyFont="1" applyFill="1" applyBorder="1" applyAlignment="1" applyProtection="1">
      <alignment horizontal="center" vertical="center" wrapText="1"/>
    </xf>
    <xf numFmtId="9" fontId="60" fillId="6" borderId="45" xfId="1" applyFont="1" applyFill="1" applyBorder="1" applyAlignment="1" applyProtection="1">
      <alignment horizontal="center" vertical="center" wrapText="1"/>
    </xf>
    <xf numFmtId="9" fontId="60" fillId="6" borderId="9" xfId="1" applyFont="1" applyFill="1" applyBorder="1" applyAlignment="1" applyProtection="1">
      <alignment horizontal="center" vertical="center" wrapText="1"/>
    </xf>
    <xf numFmtId="9" fontId="60" fillId="6" borderId="7" xfId="1" applyFont="1" applyFill="1" applyBorder="1" applyAlignment="1" applyProtection="1">
      <alignment horizontal="center" vertical="center" wrapText="1"/>
    </xf>
    <xf numFmtId="0" fontId="11" fillId="0" borderId="9" xfId="0" applyFont="1" applyBorder="1" applyAlignment="1" applyProtection="1">
      <alignment horizontal="center" vertical="center" wrapText="1"/>
    </xf>
    <xf numFmtId="0" fontId="11" fillId="0" borderId="7" xfId="0" applyFont="1" applyBorder="1" applyAlignment="1" applyProtection="1">
      <alignment horizontal="center" vertical="center" wrapText="1"/>
    </xf>
    <xf numFmtId="9" fontId="60" fillId="0" borderId="58" xfId="1" applyFont="1" applyFill="1" applyBorder="1" applyAlignment="1" applyProtection="1">
      <alignment horizontal="center" vertical="center" wrapText="1"/>
    </xf>
    <xf numFmtId="9" fontId="60" fillId="0" borderId="59" xfId="1" applyFont="1" applyFill="1" applyBorder="1" applyAlignment="1" applyProtection="1">
      <alignment horizontal="center" vertical="center" wrapText="1"/>
    </xf>
    <xf numFmtId="9" fontId="60" fillId="0" borderId="60" xfId="1" applyFont="1" applyFill="1" applyBorder="1" applyAlignment="1" applyProtection="1">
      <alignment horizontal="center" vertical="center" wrapText="1"/>
    </xf>
    <xf numFmtId="0" fontId="29" fillId="12" borderId="2" xfId="0" applyFont="1" applyFill="1" applyBorder="1" applyAlignment="1" applyProtection="1">
      <alignment vertical="top" wrapText="1"/>
      <protection locked="0"/>
    </xf>
    <xf numFmtId="0" fontId="50" fillId="12" borderId="3" xfId="0" applyFont="1" applyFill="1" applyBorder="1" applyAlignment="1">
      <alignment vertical="top" wrapText="1"/>
    </xf>
    <xf numFmtId="0" fontId="50" fillId="12" borderId="4" xfId="0" applyFont="1" applyFill="1" applyBorder="1" applyAlignment="1">
      <alignment vertical="top" wrapText="1"/>
    </xf>
    <xf numFmtId="0" fontId="29" fillId="24" borderId="16" xfId="0" applyFont="1" applyFill="1" applyBorder="1" applyAlignment="1" applyProtection="1">
      <alignment horizontal="center"/>
      <protection locked="0"/>
    </xf>
    <xf numFmtId="0" fontId="29" fillId="24" borderId="6" xfId="0" applyFont="1" applyFill="1" applyBorder="1" applyAlignment="1" applyProtection="1">
      <alignment horizontal="center"/>
      <protection locked="0"/>
    </xf>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1" fillId="2" borderId="4" xfId="0" applyFont="1" applyFill="1" applyBorder="1" applyAlignment="1">
      <alignment vertical="center" wrapText="1"/>
    </xf>
    <xf numFmtId="0" fontId="2" fillId="3" borderId="43" xfId="0" applyFont="1" applyFill="1" applyBorder="1" applyAlignment="1">
      <alignment vertical="center" wrapText="1"/>
    </xf>
    <xf numFmtId="0" fontId="2" fillId="3" borderId="0" xfId="0" applyFont="1" applyFill="1" applyAlignment="1">
      <alignment vertical="center" wrapText="1"/>
    </xf>
    <xf numFmtId="0" fontId="2" fillId="3" borderId="9" xfId="0" applyFont="1" applyFill="1" applyBorder="1" applyAlignment="1">
      <alignment vertical="center" wrapText="1"/>
    </xf>
    <xf numFmtId="0" fontId="11" fillId="9" borderId="2" xfId="0" applyFont="1" applyFill="1" applyBorder="1" applyAlignment="1">
      <alignment vertical="center" wrapText="1"/>
    </xf>
    <xf numFmtId="0" fontId="11" fillId="9" borderId="3" xfId="0" applyFont="1" applyFill="1" applyBorder="1" applyAlignment="1">
      <alignment vertical="center" wrapText="1"/>
    </xf>
    <xf numFmtId="0" fontId="11" fillId="9" borderId="4" xfId="0" applyFont="1" applyFill="1" applyBorder="1" applyAlignment="1">
      <alignment vertical="center" wrapText="1"/>
    </xf>
    <xf numFmtId="0" fontId="2" fillId="11" borderId="43" xfId="0" applyFont="1" applyFill="1" applyBorder="1" applyAlignment="1">
      <alignment vertical="center" wrapText="1"/>
    </xf>
    <xf numFmtId="0" fontId="2" fillId="11" borderId="0" xfId="0" applyFont="1" applyFill="1" applyAlignment="1">
      <alignment vertical="center" wrapText="1"/>
    </xf>
    <xf numFmtId="0" fontId="2" fillId="11" borderId="9" xfId="0" applyFont="1" applyFill="1" applyBorder="1" applyAlignment="1">
      <alignment vertical="center" wrapText="1"/>
    </xf>
    <xf numFmtId="0" fontId="8" fillId="0" borderId="0" xfId="0" applyFont="1" applyAlignment="1" applyProtection="1">
      <alignment horizontal="center" vertical="center"/>
      <protection locked="0"/>
    </xf>
    <xf numFmtId="0" fontId="22" fillId="0" borderId="53" xfId="0" applyFont="1" applyBorder="1" applyAlignment="1">
      <alignment vertical="center" wrapText="1"/>
    </xf>
    <xf numFmtId="0" fontId="15" fillId="0" borderId="34" xfId="0" applyFont="1" applyBorder="1" applyAlignment="1">
      <alignment vertical="center" wrapText="1"/>
    </xf>
    <xf numFmtId="165" fontId="23" fillId="4" borderId="53" xfId="0" applyNumberFormat="1" applyFont="1" applyFill="1" applyBorder="1" applyAlignment="1">
      <alignment horizontal="center" vertical="center" wrapText="1"/>
    </xf>
    <xf numFmtId="165" fontId="23" fillId="4" borderId="34" xfId="0" applyNumberFormat="1" applyFont="1" applyFill="1" applyBorder="1" applyAlignment="1">
      <alignment horizontal="center" vertical="center" wrapText="1"/>
    </xf>
    <xf numFmtId="0" fontId="22" fillId="0" borderId="24" xfId="0" applyFont="1" applyBorder="1" applyAlignment="1">
      <alignment horizontal="left" vertical="center" wrapText="1"/>
    </xf>
    <xf numFmtId="0" fontId="22" fillId="0" borderId="26" xfId="0" applyFont="1" applyBorder="1" applyAlignment="1">
      <alignment horizontal="left" vertical="center" wrapText="1"/>
    </xf>
    <xf numFmtId="165" fontId="23" fillId="20" borderId="32" xfId="0" applyNumberFormat="1" applyFont="1" applyFill="1" applyBorder="1" applyAlignment="1">
      <alignment horizontal="center" vertical="center" wrapText="1"/>
    </xf>
    <xf numFmtId="165" fontId="23" fillId="20" borderId="34" xfId="0" applyNumberFormat="1" applyFont="1" applyFill="1" applyBorder="1" applyAlignment="1">
      <alignment horizontal="center" vertical="center" wrapText="1"/>
    </xf>
    <xf numFmtId="0" fontId="23" fillId="3" borderId="42" xfId="0" applyFont="1" applyFill="1" applyBorder="1" applyAlignment="1">
      <alignment vertical="center" wrapText="1"/>
    </xf>
    <xf numFmtId="0" fontId="23" fillId="3" borderId="44" xfId="0" applyFont="1" applyFill="1" applyBorder="1" applyAlignment="1">
      <alignment vertical="center" wrapText="1"/>
    </xf>
    <xf numFmtId="0" fontId="23" fillId="3" borderId="45" xfId="0" applyFont="1" applyFill="1" applyBorder="1" applyAlignment="1">
      <alignment vertical="center" wrapText="1"/>
    </xf>
    <xf numFmtId="0" fontId="24" fillId="0" borderId="32" xfId="0" applyFont="1" applyBorder="1" applyAlignment="1">
      <alignment horizontal="left" vertical="center" wrapText="1"/>
    </xf>
    <xf numFmtId="0" fontId="24" fillId="0" borderId="33" xfId="0" applyFont="1" applyBorder="1" applyAlignment="1">
      <alignment horizontal="left" vertical="center" wrapText="1"/>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165" fontId="25" fillId="4" borderId="32" xfId="0" applyNumberFormat="1" applyFont="1" applyFill="1" applyBorder="1" applyAlignment="1">
      <alignment horizontal="center" vertical="center" wrapText="1"/>
    </xf>
    <xf numFmtId="0" fontId="25" fillId="4" borderId="33" xfId="0" applyFont="1" applyFill="1" applyBorder="1" applyAlignment="1">
      <alignment horizontal="center" vertical="center" wrapText="1"/>
    </xf>
    <xf numFmtId="0" fontId="28" fillId="4" borderId="33" xfId="0" applyFont="1" applyFill="1" applyBorder="1" applyAlignment="1">
      <alignment horizontal="center" vertical="center" wrapText="1"/>
    </xf>
    <xf numFmtId="0" fontId="28" fillId="4" borderId="34" xfId="0" applyFont="1" applyFill="1" applyBorder="1" applyAlignment="1">
      <alignment horizontal="center" vertical="center" wrapText="1"/>
    </xf>
    <xf numFmtId="0" fontId="23" fillId="3" borderId="2" xfId="0" applyFont="1" applyFill="1" applyBorder="1" applyAlignment="1">
      <alignment vertical="center" wrapText="1"/>
    </xf>
    <xf numFmtId="0" fontId="23" fillId="3" borderId="3" xfId="0" applyFont="1" applyFill="1" applyBorder="1" applyAlignment="1">
      <alignment vertical="center" wrapText="1"/>
    </xf>
    <xf numFmtId="0" fontId="23" fillId="3" borderId="4" xfId="0" applyFont="1" applyFill="1" applyBorder="1" applyAlignment="1">
      <alignment vertical="center" wrapText="1"/>
    </xf>
    <xf numFmtId="0" fontId="24" fillId="0" borderId="41" xfId="0" applyFont="1" applyBorder="1" applyAlignment="1">
      <alignment horizontal="left" vertical="center" wrapText="1"/>
    </xf>
    <xf numFmtId="0" fontId="25" fillId="4" borderId="41" xfId="0" applyFont="1" applyFill="1" applyBorder="1" applyAlignment="1">
      <alignment horizontal="center" vertical="center" wrapText="1"/>
    </xf>
    <xf numFmtId="0" fontId="8" fillId="0" borderId="9" xfId="0" applyFont="1" applyBorder="1" applyAlignment="1" applyProtection="1">
      <alignment horizontal="center" vertical="center"/>
      <protection locked="0"/>
    </xf>
    <xf numFmtId="0" fontId="22" fillId="0" borderId="8" xfId="0" applyFont="1" applyBorder="1" applyAlignment="1">
      <alignment vertical="center" wrapText="1"/>
    </xf>
    <xf numFmtId="0" fontId="22" fillId="0" borderId="5" xfId="0" applyFont="1" applyBorder="1" applyAlignment="1">
      <alignment vertical="center" wrapText="1"/>
    </xf>
    <xf numFmtId="165" fontId="23" fillId="4" borderId="8" xfId="0" applyNumberFormat="1" applyFont="1" applyFill="1" applyBorder="1" applyAlignment="1">
      <alignment horizontal="center" vertical="center" wrapText="1"/>
    </xf>
    <xf numFmtId="165" fontId="23" fillId="4" borderId="5" xfId="0" applyNumberFormat="1" applyFont="1" applyFill="1" applyBorder="1" applyAlignment="1">
      <alignment horizontal="center" vertical="center" wrapText="1"/>
    </xf>
    <xf numFmtId="0" fontId="30" fillId="3" borderId="43" xfId="0" applyFont="1" applyFill="1" applyBorder="1" applyAlignment="1">
      <alignment vertical="center" wrapText="1"/>
    </xf>
    <xf numFmtId="0" fontId="30" fillId="3" borderId="0" xfId="0" applyFont="1" applyFill="1" applyAlignment="1">
      <alignment vertical="center" wrapText="1"/>
    </xf>
    <xf numFmtId="0" fontId="30" fillId="3" borderId="9" xfId="0" applyFont="1" applyFill="1" applyBorder="1" applyAlignment="1">
      <alignment vertical="center" wrapText="1"/>
    </xf>
    <xf numFmtId="0" fontId="24" fillId="0" borderId="33" xfId="0" applyFont="1" applyBorder="1" applyAlignment="1">
      <alignment vertical="center" wrapText="1"/>
    </xf>
    <xf numFmtId="0" fontId="15" fillId="0" borderId="33" xfId="0" applyFont="1" applyBorder="1" applyAlignment="1">
      <alignment vertical="center" wrapText="1"/>
    </xf>
    <xf numFmtId="165" fontId="25" fillId="4" borderId="33" xfId="0" applyNumberFormat="1" applyFont="1" applyFill="1" applyBorder="1" applyAlignment="1">
      <alignment horizontal="center" vertical="center" wrapText="1"/>
    </xf>
    <xf numFmtId="0" fontId="23" fillId="3" borderId="70" xfId="0" applyFont="1" applyFill="1" applyBorder="1" applyAlignment="1">
      <alignment vertical="center" wrapText="1"/>
    </xf>
    <xf numFmtId="0" fontId="23" fillId="3" borderId="68" xfId="0" applyFont="1" applyFill="1" applyBorder="1" applyAlignment="1">
      <alignment vertical="center" wrapText="1"/>
    </xf>
    <xf numFmtId="0" fontId="23" fillId="3" borderId="71" xfId="0" applyFont="1" applyFill="1" applyBorder="1" applyAlignment="1">
      <alignment vertical="center" wrapText="1"/>
    </xf>
    <xf numFmtId="0" fontId="24" fillId="0" borderId="32" xfId="0" applyFont="1" applyBorder="1" applyAlignment="1">
      <alignment vertical="center" wrapText="1"/>
    </xf>
    <xf numFmtId="0" fontId="24" fillId="0" borderId="34" xfId="0" applyFont="1" applyBorder="1" applyAlignment="1">
      <alignment vertical="center" wrapText="1"/>
    </xf>
    <xf numFmtId="0" fontId="25" fillId="4" borderId="34" xfId="0" applyFont="1" applyFill="1" applyBorder="1" applyAlignment="1">
      <alignment horizontal="center" vertical="center" wrapText="1"/>
    </xf>
    <xf numFmtId="0" fontId="26" fillId="3" borderId="2" xfId="0" applyFont="1" applyFill="1" applyBorder="1" applyAlignment="1">
      <alignment vertical="center" wrapText="1"/>
    </xf>
    <xf numFmtId="0" fontId="26" fillId="3" borderId="3" xfId="0" applyFont="1" applyFill="1" applyBorder="1" applyAlignment="1">
      <alignment vertical="center" wrapText="1"/>
    </xf>
    <xf numFmtId="0" fontId="26" fillId="3" borderId="6" xfId="0" applyFont="1" applyFill="1" applyBorder="1" applyAlignment="1">
      <alignment vertical="center" wrapText="1"/>
    </xf>
    <xf numFmtId="0" fontId="26" fillId="3" borderId="4" xfId="0" applyFont="1" applyFill="1" applyBorder="1" applyAlignment="1">
      <alignment vertical="center" wrapText="1"/>
    </xf>
    <xf numFmtId="0" fontId="24" fillId="0" borderId="53" xfId="0" applyFont="1" applyBorder="1" applyAlignment="1">
      <alignment vertical="center" wrapText="1"/>
    </xf>
    <xf numFmtId="0" fontId="24" fillId="0" borderId="41" xfId="0" applyFont="1" applyBorder="1" applyAlignment="1">
      <alignment vertical="center" wrapText="1"/>
    </xf>
    <xf numFmtId="165" fontId="25" fillId="4" borderId="61" xfId="0" applyNumberFormat="1" applyFont="1" applyFill="1" applyBorder="1" applyAlignment="1">
      <alignment horizontal="center" vertical="center" wrapText="1"/>
    </xf>
    <xf numFmtId="0" fontId="25" fillId="4" borderId="40" xfId="0" applyFont="1" applyFill="1" applyBorder="1" applyAlignment="1">
      <alignment horizontal="center" vertical="center" wrapText="1"/>
    </xf>
    <xf numFmtId="0" fontId="24" fillId="0" borderId="34" xfId="0" applyFont="1" applyBorder="1" applyAlignment="1">
      <alignment horizontal="left" vertical="center" wrapText="1"/>
    </xf>
    <xf numFmtId="0" fontId="2" fillId="2" borderId="16"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165" fontId="25" fillId="4" borderId="34" xfId="0" applyNumberFormat="1" applyFont="1" applyFill="1" applyBorder="1" applyAlignment="1">
      <alignment horizontal="center" vertical="center" wrapText="1"/>
    </xf>
    <xf numFmtId="0" fontId="24" fillId="12" borderId="41" xfId="0" applyFont="1" applyFill="1" applyBorder="1" applyAlignment="1">
      <alignment vertical="center" wrapText="1"/>
    </xf>
    <xf numFmtId="0" fontId="24" fillId="12" borderId="5" xfId="0" applyFont="1" applyFill="1" applyBorder="1" applyAlignment="1">
      <alignment vertical="center" wrapText="1"/>
    </xf>
    <xf numFmtId="165" fontId="25" fillId="13" borderId="33" xfId="0" applyNumberFormat="1" applyFont="1" applyFill="1" applyBorder="1" applyAlignment="1">
      <alignment horizontal="center" vertical="center" wrapText="1"/>
    </xf>
    <xf numFmtId="165" fontId="25" fillId="13" borderId="34" xfId="0" applyNumberFormat="1"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2" fontId="24" fillId="0" borderId="24" xfId="0" applyNumberFormat="1" applyFont="1" applyBorder="1" applyAlignment="1">
      <alignment horizontal="left" vertical="center" wrapText="1"/>
    </xf>
    <xf numFmtId="2" fontId="15" fillId="0" borderId="26" xfId="0" applyNumberFormat="1" applyFont="1" applyBorder="1" applyAlignment="1">
      <alignment horizontal="left" vertical="center" wrapText="1"/>
    </xf>
    <xf numFmtId="0" fontId="15" fillId="0" borderId="34" xfId="0" applyFont="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3" fillId="3" borderId="16" xfId="0" applyFont="1" applyFill="1" applyBorder="1" applyAlignment="1">
      <alignment vertical="center" wrapText="1"/>
    </xf>
    <xf numFmtId="0" fontId="23" fillId="3" borderId="6" xfId="0" applyFont="1" applyFill="1" applyBorder="1" applyAlignment="1">
      <alignment vertical="center" wrapText="1"/>
    </xf>
    <xf numFmtId="0" fontId="23" fillId="3" borderId="7" xfId="0" applyFont="1" applyFill="1" applyBorder="1" applyAlignment="1">
      <alignment vertical="center" wrapText="1"/>
    </xf>
    <xf numFmtId="0" fontId="24" fillId="0" borderId="8" xfId="0" applyFont="1" applyBorder="1" applyAlignment="1">
      <alignment horizontal="center" vertical="center" wrapText="1"/>
    </xf>
    <xf numFmtId="0" fontId="24" fillId="0" borderId="5" xfId="0" applyFont="1" applyBorder="1" applyAlignment="1">
      <alignment horizontal="center" vertical="center" wrapText="1"/>
    </xf>
    <xf numFmtId="165" fontId="25" fillId="4" borderId="43" xfId="0" applyNumberFormat="1" applyFont="1" applyFill="1" applyBorder="1" applyAlignment="1">
      <alignment horizontal="center" vertical="center" wrapText="1"/>
    </xf>
    <xf numFmtId="0" fontId="25" fillId="4" borderId="43" xfId="0" applyFont="1" applyFill="1" applyBorder="1" applyAlignment="1">
      <alignment horizontal="center" vertical="center" wrapText="1"/>
    </xf>
    <xf numFmtId="0" fontId="25" fillId="4" borderId="16" xfId="0" applyFont="1" applyFill="1" applyBorder="1" applyAlignment="1">
      <alignment horizontal="center" vertical="center" wrapText="1"/>
    </xf>
    <xf numFmtId="0" fontId="24" fillId="0" borderId="8" xfId="0" applyFont="1" applyBorder="1" applyAlignment="1">
      <alignment horizontal="left" vertical="center" wrapText="1"/>
    </xf>
    <xf numFmtId="0" fontId="24" fillId="0" borderId="5" xfId="0" applyFont="1" applyBorder="1" applyAlignment="1">
      <alignment horizontal="left" vertical="center" wrapText="1"/>
    </xf>
    <xf numFmtId="165" fontId="28" fillId="4" borderId="10" xfId="0" applyNumberFormat="1" applyFont="1" applyFill="1" applyBorder="1" applyAlignment="1">
      <alignment horizontal="center" vertical="center" wrapText="1"/>
    </xf>
    <xf numFmtId="0" fontId="28" fillId="4" borderId="8" xfId="0" applyFont="1" applyFill="1" applyBorder="1" applyAlignment="1">
      <alignment horizontal="center" vertical="center" wrapText="1"/>
    </xf>
    <xf numFmtId="0" fontId="28" fillId="4" borderId="5" xfId="0" applyFont="1" applyFill="1" applyBorder="1" applyAlignment="1">
      <alignment horizontal="center" vertical="center" wrapText="1"/>
    </xf>
    <xf numFmtId="0" fontId="24" fillId="0" borderId="25" xfId="0" applyFont="1" applyBorder="1" applyAlignment="1">
      <alignment vertical="center" wrapText="1"/>
    </xf>
    <xf numFmtId="165" fontId="25" fillId="4" borderId="33" xfId="2" applyNumberFormat="1" applyFont="1" applyFill="1" applyBorder="1" applyAlignment="1">
      <alignment horizontal="center" vertical="center" wrapText="1"/>
    </xf>
    <xf numFmtId="165" fontId="25" fillId="4" borderId="29" xfId="0" applyNumberFormat="1" applyFont="1" applyFill="1" applyBorder="1" applyAlignment="1">
      <alignment horizontal="center" vertical="center" wrapText="1"/>
    </xf>
    <xf numFmtId="0" fontId="25" fillId="4" borderId="30" xfId="0" applyFont="1" applyFill="1" applyBorder="1" applyAlignment="1">
      <alignment horizontal="center" vertical="center" wrapText="1"/>
    </xf>
    <xf numFmtId="0" fontId="25" fillId="4" borderId="31" xfId="0" applyFont="1" applyFill="1" applyBorder="1" applyAlignment="1">
      <alignment horizontal="center" vertical="center" wrapText="1"/>
    </xf>
    <xf numFmtId="0" fontId="26" fillId="11" borderId="43" xfId="0" applyFont="1" applyFill="1" applyBorder="1" applyAlignment="1">
      <alignment vertical="center" wrapText="1"/>
    </xf>
    <xf numFmtId="0" fontId="26" fillId="11" borderId="0" xfId="0" applyFont="1" applyFill="1" applyAlignment="1">
      <alignment vertical="center" wrapText="1"/>
    </xf>
    <xf numFmtId="0" fontId="26" fillId="11" borderId="9" xfId="0" applyFont="1" applyFill="1" applyBorder="1" applyAlignment="1">
      <alignment vertical="center" wrapText="1"/>
    </xf>
    <xf numFmtId="0" fontId="24" fillId="0" borderId="24" xfId="0" applyFont="1" applyBorder="1" applyAlignment="1">
      <alignment vertical="center" wrapText="1"/>
    </xf>
    <xf numFmtId="0" fontId="24" fillId="0" borderId="26" xfId="0" applyFont="1" applyBorder="1" applyAlignment="1">
      <alignment vertical="center" wrapText="1"/>
    </xf>
    <xf numFmtId="165" fontId="25" fillId="4" borderId="24" xfId="0" applyNumberFormat="1" applyFont="1" applyFill="1" applyBorder="1" applyAlignment="1">
      <alignment horizontal="center" vertical="center" wrapText="1"/>
    </xf>
    <xf numFmtId="0" fontId="25" fillId="4" borderId="26" xfId="0" applyFont="1" applyFill="1" applyBorder="1" applyAlignment="1">
      <alignment horizontal="center" vertical="center" wrapText="1"/>
    </xf>
    <xf numFmtId="165" fontId="25" fillId="4" borderId="26" xfId="0" applyNumberFormat="1" applyFont="1" applyFill="1" applyBorder="1" applyAlignment="1">
      <alignment horizontal="center" vertical="center" wrapText="1"/>
    </xf>
    <xf numFmtId="9" fontId="37" fillId="11" borderId="1" xfId="1" applyFont="1" applyFill="1" applyBorder="1" applyAlignment="1" applyProtection="1">
      <alignment horizontal="center" vertical="center" wrapText="1"/>
      <protection hidden="1"/>
    </xf>
    <xf numFmtId="1" fontId="37" fillId="11" borderId="1" xfId="1" applyNumberFormat="1" applyFont="1" applyFill="1" applyBorder="1" applyAlignment="1" applyProtection="1">
      <alignment horizontal="center" vertical="center" wrapText="1"/>
      <protection hidden="1"/>
    </xf>
    <xf numFmtId="0" fontId="4" fillId="0" borderId="2" xfId="0" applyFont="1" applyBorder="1" applyAlignment="1" applyProtection="1">
      <alignment vertical="center" wrapText="1"/>
      <protection hidden="1"/>
    </xf>
    <xf numFmtId="0" fontId="4" fillId="0" borderId="4" xfId="0" applyFont="1" applyBorder="1" applyAlignment="1" applyProtection="1">
      <alignment vertical="center" wrapText="1"/>
      <protection hidden="1"/>
    </xf>
    <xf numFmtId="0" fontId="4" fillId="0" borderId="3" xfId="0" applyFont="1" applyBorder="1" applyAlignment="1" applyProtection="1">
      <alignment vertical="center" wrapText="1"/>
      <protection hidden="1"/>
    </xf>
    <xf numFmtId="0" fontId="4" fillId="0" borderId="1" xfId="0" applyFont="1" applyBorder="1" applyAlignment="1" applyProtection="1">
      <alignment vertical="center" wrapText="1"/>
      <protection hidden="1"/>
    </xf>
    <xf numFmtId="0" fontId="0" fillId="0" borderId="1" xfId="0" applyBorder="1" applyProtection="1">
      <protection hidden="1"/>
    </xf>
    <xf numFmtId="2" fontId="0" fillId="0" borderId="1" xfId="0" applyNumberFormat="1" applyBorder="1" applyProtection="1">
      <protection hidden="1"/>
    </xf>
    <xf numFmtId="2" fontId="0" fillId="0" borderId="4" xfId="0" applyNumberFormat="1" applyBorder="1" applyProtection="1">
      <protection hidden="1"/>
    </xf>
    <xf numFmtId="0" fontId="4" fillId="9" borderId="42" xfId="0" applyFont="1" applyFill="1" applyBorder="1" applyAlignment="1" applyProtection="1">
      <alignment vertical="center" wrapText="1"/>
      <protection hidden="1"/>
    </xf>
    <xf numFmtId="0" fontId="4" fillId="9" borderId="45" xfId="0" applyFont="1" applyFill="1" applyBorder="1" applyAlignment="1" applyProtection="1">
      <alignment vertical="center" wrapText="1"/>
      <protection hidden="1"/>
    </xf>
    <xf numFmtId="0" fontId="4" fillId="9" borderId="44" xfId="0" applyFont="1" applyFill="1" applyBorder="1" applyAlignment="1" applyProtection="1">
      <alignment vertical="center" wrapText="1"/>
      <protection hidden="1"/>
    </xf>
    <xf numFmtId="0" fontId="4" fillId="9" borderId="10" xfId="0" applyFont="1" applyFill="1" applyBorder="1" applyAlignment="1" applyProtection="1">
      <alignment vertical="center" wrapText="1"/>
      <protection hidden="1"/>
    </xf>
    <xf numFmtId="9" fontId="23" fillId="11" borderId="4" xfId="1" applyFont="1" applyFill="1" applyBorder="1" applyAlignment="1" applyProtection="1">
      <alignment horizontal="center" vertical="center" wrapText="1"/>
      <protection hidden="1"/>
    </xf>
    <xf numFmtId="2" fontId="23" fillId="11" borderId="4" xfId="1" applyNumberFormat="1" applyFont="1" applyFill="1" applyBorder="1" applyAlignment="1" applyProtection="1">
      <alignment horizontal="center" vertical="center" wrapText="1"/>
      <protection hidden="1"/>
    </xf>
    <xf numFmtId="9" fontId="23" fillId="11" borderId="1" xfId="1" applyFont="1" applyFill="1" applyBorder="1" applyAlignment="1" applyProtection="1">
      <alignment horizontal="center" vertical="center" wrapText="1"/>
      <protection hidden="1"/>
    </xf>
    <xf numFmtId="0" fontId="4" fillId="11" borderId="42" xfId="0" applyFont="1" applyFill="1" applyBorder="1" applyAlignment="1" applyProtection="1">
      <alignment vertical="center" wrapText="1"/>
      <protection hidden="1"/>
    </xf>
    <xf numFmtId="0" fontId="4" fillId="11" borderId="45" xfId="0" applyFont="1" applyFill="1" applyBorder="1" applyAlignment="1" applyProtection="1">
      <alignment vertical="center" wrapText="1"/>
      <protection hidden="1"/>
    </xf>
    <xf numFmtId="0" fontId="4" fillId="11" borderId="44" xfId="0" applyFont="1" applyFill="1" applyBorder="1" applyAlignment="1" applyProtection="1">
      <alignment vertical="center" wrapText="1"/>
      <protection hidden="1"/>
    </xf>
    <xf numFmtId="0" fontId="4" fillId="11" borderId="10" xfId="0" applyFont="1" applyFill="1" applyBorder="1" applyAlignment="1" applyProtection="1">
      <alignment vertical="center" wrapText="1"/>
      <protection hidden="1"/>
    </xf>
    <xf numFmtId="165" fontId="26" fillId="0" borderId="17" xfId="1" applyNumberFormat="1" applyFont="1" applyBorder="1" applyAlignment="1" applyProtection="1">
      <alignment horizontal="center" vertical="top" wrapText="1"/>
      <protection hidden="1"/>
    </xf>
    <xf numFmtId="165" fontId="26" fillId="0" borderId="19" xfId="1" applyNumberFormat="1" applyFont="1" applyBorder="1" applyAlignment="1" applyProtection="1">
      <alignment horizontal="center" vertical="top" wrapText="1"/>
      <protection hidden="1"/>
    </xf>
    <xf numFmtId="165" fontId="24" fillId="0" borderId="49" xfId="1" applyNumberFormat="1" applyFont="1" applyBorder="1" applyAlignment="1" applyProtection="1">
      <alignment horizontal="center" vertical="center" wrapText="1"/>
      <protection hidden="1"/>
    </xf>
    <xf numFmtId="165" fontId="24" fillId="0" borderId="18" xfId="1" applyNumberFormat="1" applyFont="1" applyBorder="1" applyAlignment="1" applyProtection="1">
      <alignment horizontal="center" vertical="center" wrapText="1"/>
      <protection hidden="1"/>
    </xf>
    <xf numFmtId="165" fontId="24" fillId="0" borderId="46" xfId="1" applyNumberFormat="1" applyFont="1" applyBorder="1" applyAlignment="1" applyProtection="1">
      <alignment horizontal="center" vertical="center" wrapText="1"/>
      <protection hidden="1"/>
    </xf>
    <xf numFmtId="9" fontId="24" fillId="11" borderId="32" xfId="1" applyFont="1" applyFill="1" applyBorder="1" applyAlignment="1" applyProtection="1">
      <alignment horizontal="center" vertical="center" wrapText="1"/>
      <protection hidden="1"/>
    </xf>
    <xf numFmtId="9" fontId="22" fillId="11" borderId="58" xfId="1" applyFont="1" applyFill="1" applyBorder="1" applyAlignment="1" applyProtection="1">
      <alignment horizontal="center" vertical="center" wrapText="1"/>
      <protection hidden="1"/>
    </xf>
    <xf numFmtId="2" fontId="22" fillId="11" borderId="32" xfId="1" applyNumberFormat="1" applyFont="1" applyFill="1" applyBorder="1" applyAlignment="1" applyProtection="1">
      <alignment horizontal="center" vertical="center" wrapText="1"/>
      <protection hidden="1"/>
    </xf>
    <xf numFmtId="9" fontId="23" fillId="11" borderId="10" xfId="1" applyFont="1" applyFill="1" applyBorder="1" applyAlignment="1" applyProtection="1">
      <alignment horizontal="center" vertical="center" wrapText="1"/>
      <protection hidden="1"/>
    </xf>
    <xf numFmtId="165" fontId="26" fillId="0" borderId="21" xfId="1" applyNumberFormat="1" applyFont="1" applyBorder="1" applyAlignment="1" applyProtection="1">
      <alignment horizontal="center" vertical="top" wrapText="1"/>
      <protection hidden="1"/>
    </xf>
    <xf numFmtId="165" fontId="26" fillId="0" borderId="23" xfId="1" applyNumberFormat="1" applyFont="1" applyBorder="1" applyAlignment="1" applyProtection="1">
      <alignment horizontal="center" vertical="top" wrapText="1"/>
      <protection hidden="1"/>
    </xf>
    <xf numFmtId="165" fontId="24" fillId="0" borderId="28" xfId="1" applyNumberFormat="1" applyFont="1" applyBorder="1" applyAlignment="1" applyProtection="1">
      <alignment horizontal="center" vertical="center" wrapText="1"/>
      <protection hidden="1"/>
    </xf>
    <xf numFmtId="165" fontId="24" fillId="0" borderId="22" xfId="1" applyNumberFormat="1" applyFont="1" applyBorder="1" applyAlignment="1" applyProtection="1">
      <alignment horizontal="center" vertical="center" wrapText="1"/>
      <protection hidden="1"/>
    </xf>
    <xf numFmtId="165" fontId="24" fillId="0" borderId="48" xfId="1" applyNumberFormat="1" applyFont="1" applyBorder="1" applyAlignment="1" applyProtection="1">
      <alignment horizontal="center" vertical="center" wrapText="1"/>
      <protection hidden="1"/>
    </xf>
    <xf numFmtId="9" fontId="24" fillId="11" borderId="41" xfId="1" applyFont="1" applyFill="1" applyBorder="1" applyAlignment="1" applyProtection="1">
      <alignment horizontal="center" vertical="center" wrapText="1"/>
      <protection hidden="1"/>
    </xf>
    <xf numFmtId="9" fontId="22" fillId="11" borderId="60" xfId="1" applyFont="1" applyFill="1" applyBorder="1" applyAlignment="1" applyProtection="1">
      <alignment horizontal="center" vertical="center" wrapText="1"/>
      <protection hidden="1"/>
    </xf>
    <xf numFmtId="2" fontId="22" fillId="11" borderId="34" xfId="1" applyNumberFormat="1" applyFont="1" applyFill="1" applyBorder="1" applyAlignment="1" applyProtection="1">
      <alignment horizontal="center" vertical="center" wrapText="1"/>
      <protection hidden="1"/>
    </xf>
    <xf numFmtId="0" fontId="15" fillId="0" borderId="5" xfId="0" applyFont="1" applyBorder="1" applyAlignment="1" applyProtection="1">
      <alignment horizontal="center" vertical="center" wrapText="1"/>
      <protection hidden="1"/>
    </xf>
    <xf numFmtId="165" fontId="10" fillId="0" borderId="54" xfId="1" applyNumberFormat="1" applyFont="1" applyBorder="1" applyAlignment="1" applyProtection="1">
      <alignment horizontal="center" vertical="top" wrapText="1"/>
      <protection hidden="1"/>
    </xf>
    <xf numFmtId="165" fontId="10" fillId="0" borderId="74" xfId="1" applyNumberFormat="1" applyFont="1" applyBorder="1" applyAlignment="1" applyProtection="1">
      <alignment horizontal="center" vertical="top" wrapText="1"/>
      <protection hidden="1"/>
    </xf>
    <xf numFmtId="1" fontId="24" fillId="0" borderId="73" xfId="1" applyNumberFormat="1" applyFont="1" applyBorder="1" applyAlignment="1" applyProtection="1">
      <alignment horizontal="center" vertical="center" wrapText="1"/>
      <protection hidden="1"/>
    </xf>
    <xf numFmtId="165" fontId="24" fillId="0" borderId="14" xfId="0" applyNumberFormat="1" applyFont="1" applyBorder="1" applyAlignment="1" applyProtection="1">
      <alignment horizontal="center" vertical="center" wrapText="1"/>
      <protection hidden="1"/>
    </xf>
    <xf numFmtId="165" fontId="24" fillId="0" borderId="12" xfId="1" applyNumberFormat="1" applyFont="1" applyBorder="1" applyAlignment="1" applyProtection="1">
      <alignment horizontal="center" vertical="center" wrapText="1"/>
      <protection hidden="1"/>
    </xf>
    <xf numFmtId="165" fontId="10" fillId="0" borderId="38" xfId="1" applyNumberFormat="1" applyFont="1" applyBorder="1" applyAlignment="1" applyProtection="1">
      <alignment horizontal="center" vertical="top" wrapText="1"/>
      <protection hidden="1"/>
    </xf>
    <xf numFmtId="165" fontId="10" fillId="0" borderId="39" xfId="1" applyNumberFormat="1" applyFont="1" applyBorder="1" applyAlignment="1" applyProtection="1">
      <alignment horizontal="center" vertical="top" wrapText="1"/>
      <protection hidden="1"/>
    </xf>
    <xf numFmtId="165" fontId="24" fillId="0" borderId="63" xfId="0" applyNumberFormat="1" applyFont="1" applyBorder="1" applyAlignment="1" applyProtection="1">
      <alignment horizontal="center" vertical="center" wrapText="1"/>
      <protection hidden="1"/>
    </xf>
    <xf numFmtId="0" fontId="24" fillId="0" borderId="13" xfId="0" applyFont="1" applyBorder="1" applyAlignment="1" applyProtection="1">
      <alignment horizontal="center" vertical="center" wrapText="1"/>
      <protection hidden="1"/>
    </xf>
    <xf numFmtId="165" fontId="24" fillId="0" borderId="55" xfId="0" applyNumberFormat="1" applyFont="1" applyBorder="1" applyAlignment="1" applyProtection="1">
      <alignment horizontal="center" vertical="center" wrapText="1"/>
      <protection hidden="1"/>
    </xf>
    <xf numFmtId="165" fontId="26" fillId="0" borderId="17" xfId="0" applyNumberFormat="1" applyFont="1" applyBorder="1" applyAlignment="1" applyProtection="1">
      <alignment horizontal="center" vertical="top" wrapText="1"/>
      <protection hidden="1"/>
    </xf>
    <xf numFmtId="165" fontId="26" fillId="0" borderId="19" xfId="0" applyNumberFormat="1" applyFont="1" applyBorder="1" applyAlignment="1" applyProtection="1">
      <alignment horizontal="center" vertical="top" wrapText="1"/>
      <protection hidden="1"/>
    </xf>
    <xf numFmtId="165" fontId="24" fillId="0" borderId="49" xfId="0" applyNumberFormat="1" applyFont="1" applyBorder="1" applyAlignment="1" applyProtection="1">
      <alignment horizontal="center" vertical="center" wrapText="1"/>
      <protection hidden="1"/>
    </xf>
    <xf numFmtId="165" fontId="24" fillId="0" borderId="18" xfId="0" applyNumberFormat="1" applyFont="1" applyBorder="1" applyAlignment="1" applyProtection="1">
      <alignment horizontal="center" vertical="center" wrapText="1"/>
      <protection hidden="1"/>
    </xf>
    <xf numFmtId="9" fontId="24" fillId="6" borderId="45" xfId="1" applyFont="1" applyFill="1" applyBorder="1" applyAlignment="1" applyProtection="1">
      <alignment horizontal="center" vertical="center" wrapText="1"/>
      <protection hidden="1"/>
    </xf>
    <xf numFmtId="2" fontId="24" fillId="6" borderId="10" xfId="1" applyNumberFormat="1" applyFont="1" applyFill="1" applyBorder="1" applyAlignment="1" applyProtection="1">
      <alignment horizontal="center" vertical="center" wrapText="1"/>
      <protection hidden="1"/>
    </xf>
    <xf numFmtId="165" fontId="26" fillId="12" borderId="15" xfId="0" applyNumberFormat="1" applyFont="1" applyFill="1" applyBorder="1" applyAlignment="1" applyProtection="1">
      <alignment horizontal="center" vertical="top" wrapText="1"/>
      <protection hidden="1"/>
    </xf>
    <xf numFmtId="165" fontId="26" fillId="12" borderId="20" xfId="0" applyNumberFormat="1" applyFont="1" applyFill="1" applyBorder="1" applyAlignment="1" applyProtection="1">
      <alignment horizontal="center" vertical="top" wrapText="1"/>
      <protection hidden="1"/>
    </xf>
    <xf numFmtId="165" fontId="24" fillId="0" borderId="27" xfId="0" applyNumberFormat="1" applyFont="1" applyBorder="1" applyAlignment="1" applyProtection="1">
      <alignment horizontal="center" vertical="center" wrapText="1"/>
      <protection hidden="1"/>
    </xf>
    <xf numFmtId="165" fontId="24" fillId="0" borderId="11" xfId="0" applyNumberFormat="1" applyFont="1" applyBorder="1" applyAlignment="1" applyProtection="1">
      <alignment horizontal="center" vertical="center" wrapText="1"/>
      <protection hidden="1"/>
    </xf>
    <xf numFmtId="165" fontId="24" fillId="0" borderId="47" xfId="1" applyNumberFormat="1" applyFont="1" applyBorder="1" applyAlignment="1" applyProtection="1">
      <alignment horizontal="center" vertical="center" wrapText="1"/>
      <protection hidden="1"/>
    </xf>
    <xf numFmtId="9" fontId="24" fillId="11" borderId="33" xfId="1" applyFont="1" applyFill="1" applyBorder="1" applyAlignment="1" applyProtection="1">
      <alignment horizontal="center" vertical="center" wrapText="1"/>
      <protection hidden="1"/>
    </xf>
    <xf numFmtId="9" fontId="24" fillId="6" borderId="9" xfId="1" applyFont="1" applyFill="1" applyBorder="1" applyAlignment="1" applyProtection="1">
      <alignment horizontal="center" vertical="center" wrapText="1"/>
      <protection hidden="1"/>
    </xf>
    <xf numFmtId="0" fontId="0" fillId="0" borderId="8" xfId="0" applyBorder="1" applyAlignment="1" applyProtection="1">
      <alignment horizontal="center" vertical="center" wrapText="1"/>
      <protection hidden="1"/>
    </xf>
    <xf numFmtId="0" fontId="15" fillId="0" borderId="8" xfId="0" applyFont="1" applyBorder="1" applyAlignment="1" applyProtection="1">
      <alignment horizontal="center" vertical="center" wrapText="1"/>
      <protection hidden="1"/>
    </xf>
    <xf numFmtId="165" fontId="26" fillId="12" borderId="21" xfId="0" applyNumberFormat="1" applyFont="1" applyFill="1" applyBorder="1" applyAlignment="1" applyProtection="1">
      <alignment horizontal="center" vertical="top" wrapText="1"/>
      <protection hidden="1"/>
    </xf>
    <xf numFmtId="165" fontId="26" fillId="12" borderId="23" xfId="0" applyNumberFormat="1" applyFont="1" applyFill="1" applyBorder="1" applyAlignment="1" applyProtection="1">
      <alignment horizontal="center" vertical="top" wrapText="1"/>
      <protection hidden="1"/>
    </xf>
    <xf numFmtId="165" fontId="24" fillId="0" borderId="28" xfId="0" applyNumberFormat="1" applyFont="1" applyBorder="1" applyAlignment="1" applyProtection="1">
      <alignment horizontal="center" vertical="center" wrapText="1"/>
      <protection hidden="1"/>
    </xf>
    <xf numFmtId="165" fontId="24" fillId="0" borderId="22" xfId="0" applyNumberFormat="1" applyFont="1" applyBorder="1" applyAlignment="1" applyProtection="1">
      <alignment horizontal="center" vertical="center" wrapText="1"/>
      <protection hidden="1"/>
    </xf>
    <xf numFmtId="9" fontId="24" fillId="11" borderId="34" xfId="1" applyFont="1" applyFill="1" applyBorder="1" applyAlignment="1" applyProtection="1">
      <alignment horizontal="center" vertical="center" wrapText="1"/>
      <protection hidden="1"/>
    </xf>
    <xf numFmtId="9" fontId="24" fillId="6" borderId="7" xfId="1" applyFont="1" applyFill="1"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165" fontId="32" fillId="3" borderId="43" xfId="0" applyNumberFormat="1" applyFont="1" applyFill="1" applyBorder="1" applyAlignment="1" applyProtection="1">
      <alignment vertical="top" wrapText="1"/>
      <protection hidden="1"/>
    </xf>
    <xf numFmtId="165" fontId="32" fillId="3" borderId="9" xfId="0" applyNumberFormat="1" applyFont="1" applyFill="1" applyBorder="1" applyAlignment="1" applyProtection="1">
      <alignment vertical="top" wrapText="1"/>
      <protection hidden="1"/>
    </xf>
    <xf numFmtId="0" fontId="3" fillId="3" borderId="0" xfId="0" applyFont="1" applyFill="1" applyAlignment="1" applyProtection="1">
      <alignment vertical="center" wrapText="1"/>
      <protection hidden="1"/>
    </xf>
    <xf numFmtId="0" fontId="3" fillId="3" borderId="8" xfId="0" applyFont="1" applyFill="1" applyBorder="1" applyAlignment="1" applyProtection="1">
      <alignment vertical="center" wrapText="1"/>
      <protection hidden="1"/>
    </xf>
    <xf numFmtId="165" fontId="26" fillId="25" borderId="19" xfId="0" applyNumberFormat="1" applyFont="1" applyFill="1" applyBorder="1" applyAlignment="1" applyProtection="1">
      <alignment horizontal="center" vertical="top" wrapText="1"/>
      <protection hidden="1"/>
    </xf>
    <xf numFmtId="0" fontId="24" fillId="0" borderId="49" xfId="0" applyFont="1" applyBorder="1" applyAlignment="1" applyProtection="1">
      <alignment horizontal="center" vertical="center" wrapText="1"/>
      <protection hidden="1"/>
    </xf>
    <xf numFmtId="165" fontId="24" fillId="0" borderId="46" xfId="0" applyNumberFormat="1" applyFont="1" applyBorder="1" applyAlignment="1" applyProtection="1">
      <alignment horizontal="center" vertical="center" wrapText="1"/>
      <protection hidden="1"/>
    </xf>
    <xf numFmtId="9" fontId="22" fillId="11" borderId="45" xfId="1" applyFont="1" applyFill="1" applyBorder="1" applyAlignment="1" applyProtection="1">
      <alignment horizontal="center" vertical="center" wrapText="1"/>
      <protection hidden="1"/>
    </xf>
    <xf numFmtId="2" fontId="22" fillId="11" borderId="10" xfId="1" applyNumberFormat="1" applyFont="1" applyFill="1" applyBorder="1" applyAlignment="1" applyProtection="1">
      <alignment horizontal="center" vertical="center" wrapText="1"/>
      <protection hidden="1"/>
    </xf>
    <xf numFmtId="165" fontId="26" fillId="26" borderId="15" xfId="0" applyNumberFormat="1" applyFont="1" applyFill="1" applyBorder="1" applyAlignment="1" applyProtection="1">
      <alignment horizontal="center" vertical="top" wrapText="1"/>
      <protection hidden="1"/>
    </xf>
    <xf numFmtId="165" fontId="26" fillId="26" borderId="20" xfId="0" applyNumberFormat="1" applyFont="1" applyFill="1" applyBorder="1" applyAlignment="1" applyProtection="1">
      <alignment horizontal="center" vertical="top" wrapText="1"/>
      <protection hidden="1"/>
    </xf>
    <xf numFmtId="0" fontId="24" fillId="0" borderId="27" xfId="0" applyFont="1" applyBorder="1" applyAlignment="1" applyProtection="1">
      <alignment horizontal="center" vertical="center" wrapText="1"/>
      <protection hidden="1"/>
    </xf>
    <xf numFmtId="165" fontId="24" fillId="0" borderId="47" xfId="0" applyNumberFormat="1" applyFont="1" applyBorder="1" applyAlignment="1" applyProtection="1">
      <alignment horizontal="center" vertical="center" wrapText="1"/>
      <protection hidden="1"/>
    </xf>
    <xf numFmtId="9" fontId="22" fillId="11" borderId="9" xfId="1" applyFont="1" applyFill="1" applyBorder="1" applyAlignment="1" applyProtection="1">
      <alignment horizontal="center" vertical="center" wrapText="1"/>
      <protection hidden="1"/>
    </xf>
    <xf numFmtId="165" fontId="27" fillId="25" borderId="15" xfId="0" applyNumberFormat="1" applyFont="1" applyFill="1" applyBorder="1" applyAlignment="1" applyProtection="1">
      <alignment horizontal="center" vertical="top" wrapText="1"/>
      <protection hidden="1"/>
    </xf>
    <xf numFmtId="165" fontId="27" fillId="25" borderId="20" xfId="0" applyNumberFormat="1" applyFont="1" applyFill="1" applyBorder="1" applyAlignment="1" applyProtection="1">
      <alignment horizontal="center" vertical="top" wrapText="1"/>
      <protection hidden="1"/>
    </xf>
    <xf numFmtId="165" fontId="26" fillId="25" borderId="21" xfId="0" applyNumberFormat="1" applyFont="1" applyFill="1" applyBorder="1" applyAlignment="1" applyProtection="1">
      <alignment horizontal="center" vertical="top" wrapText="1"/>
      <protection hidden="1"/>
    </xf>
    <xf numFmtId="165" fontId="26" fillId="25" borderId="23" xfId="0" applyNumberFormat="1" applyFont="1" applyFill="1" applyBorder="1" applyAlignment="1" applyProtection="1">
      <alignment horizontal="center" vertical="top" wrapText="1"/>
      <protection hidden="1"/>
    </xf>
    <xf numFmtId="0" fontId="24" fillId="0" borderId="28" xfId="0" applyFont="1" applyBorder="1" applyAlignment="1" applyProtection="1">
      <alignment horizontal="center" vertical="center" wrapText="1"/>
      <protection hidden="1"/>
    </xf>
    <xf numFmtId="165" fontId="24" fillId="0" borderId="48" xfId="0" applyNumberFormat="1" applyFont="1" applyBorder="1" applyAlignment="1" applyProtection="1">
      <alignment horizontal="center" vertical="center" wrapText="1"/>
      <protection hidden="1"/>
    </xf>
    <xf numFmtId="9" fontId="22" fillId="11" borderId="7" xfId="1" applyFont="1" applyFill="1" applyBorder="1" applyAlignment="1" applyProtection="1">
      <alignment horizontal="center" vertical="center" wrapText="1"/>
      <protection hidden="1"/>
    </xf>
    <xf numFmtId="0" fontId="3" fillId="3" borderId="42" xfId="0" applyFont="1" applyFill="1" applyBorder="1" applyAlignment="1" applyProtection="1">
      <alignment vertical="center" wrapText="1"/>
      <protection hidden="1"/>
    </xf>
    <xf numFmtId="0" fontId="3" fillId="3" borderId="44" xfId="0" applyFont="1" applyFill="1" applyBorder="1" applyAlignment="1" applyProtection="1">
      <alignment vertical="center" wrapText="1"/>
      <protection hidden="1"/>
    </xf>
    <xf numFmtId="165" fontId="24" fillId="0" borderId="17" xfId="0" applyNumberFormat="1" applyFont="1" applyBorder="1" applyAlignment="1" applyProtection="1">
      <alignment horizontal="center" vertical="center" wrapText="1"/>
      <protection hidden="1"/>
    </xf>
    <xf numFmtId="165" fontId="26" fillId="0" borderId="15" xfId="0" applyNumberFormat="1" applyFont="1" applyBorder="1" applyAlignment="1" applyProtection="1">
      <alignment horizontal="center" vertical="top" wrapText="1"/>
      <protection hidden="1"/>
    </xf>
    <xf numFmtId="165" fontId="26" fillId="0" borderId="20" xfId="0" applyNumberFormat="1" applyFont="1" applyBorder="1" applyAlignment="1" applyProtection="1">
      <alignment horizontal="center" vertical="top" wrapText="1"/>
      <protection hidden="1"/>
    </xf>
    <xf numFmtId="0" fontId="24" fillId="0" borderId="15" xfId="0" applyFont="1" applyBorder="1" applyAlignment="1" applyProtection="1">
      <alignment horizontal="center" vertical="center" wrapText="1"/>
      <protection hidden="1"/>
    </xf>
    <xf numFmtId="0" fontId="15" fillId="0" borderId="9" xfId="0" applyFont="1" applyBorder="1" applyAlignment="1" applyProtection="1">
      <alignment horizontal="center" vertical="center" wrapText="1"/>
      <protection hidden="1"/>
    </xf>
    <xf numFmtId="0" fontId="24" fillId="0" borderId="21" xfId="0" applyFont="1" applyBorder="1" applyAlignment="1" applyProtection="1">
      <alignment horizontal="center" vertical="center" wrapText="1"/>
      <protection hidden="1"/>
    </xf>
    <xf numFmtId="0" fontId="15" fillId="0" borderId="7" xfId="0" applyFont="1" applyBorder="1" applyAlignment="1" applyProtection="1">
      <alignment horizontal="center" vertical="center" wrapText="1"/>
      <protection hidden="1"/>
    </xf>
    <xf numFmtId="165" fontId="32" fillId="3" borderId="70" xfId="0" applyNumberFormat="1" applyFont="1" applyFill="1" applyBorder="1" applyAlignment="1" applyProtection="1">
      <alignment vertical="top" wrapText="1"/>
      <protection hidden="1"/>
    </xf>
    <xf numFmtId="165" fontId="32" fillId="3" borderId="71" xfId="0" applyNumberFormat="1" applyFont="1" applyFill="1" applyBorder="1" applyAlignment="1" applyProtection="1">
      <alignment vertical="top" wrapText="1"/>
      <protection hidden="1"/>
    </xf>
    <xf numFmtId="0" fontId="3" fillId="3" borderId="70" xfId="0" applyFont="1" applyFill="1" applyBorder="1" applyAlignment="1" applyProtection="1">
      <alignment vertical="center" wrapText="1"/>
      <protection hidden="1"/>
    </xf>
    <xf numFmtId="0" fontId="3" fillId="3" borderId="68" xfId="0" applyFont="1" applyFill="1" applyBorder="1" applyAlignment="1" applyProtection="1">
      <alignment vertical="center" wrapText="1"/>
      <protection hidden="1"/>
    </xf>
    <xf numFmtId="0" fontId="3" fillId="3" borderId="76" xfId="0" applyFont="1" applyFill="1" applyBorder="1" applyAlignment="1" applyProtection="1">
      <alignment vertical="center" wrapText="1"/>
      <protection hidden="1"/>
    </xf>
    <xf numFmtId="9" fontId="5" fillId="11" borderId="1" xfId="1" applyFont="1" applyFill="1" applyBorder="1" applyAlignment="1" applyProtection="1">
      <alignment horizontal="center" vertical="center" wrapText="1"/>
      <protection hidden="1"/>
    </xf>
    <xf numFmtId="165" fontId="26" fillId="12" borderId="50" xfId="0" applyNumberFormat="1" applyFont="1" applyFill="1" applyBorder="1" applyAlignment="1" applyProtection="1">
      <alignment horizontal="center" vertical="center" wrapText="1"/>
      <protection hidden="1"/>
    </xf>
    <xf numFmtId="165" fontId="26" fillId="12" borderId="36" xfId="0" applyNumberFormat="1" applyFont="1" applyFill="1" applyBorder="1" applyAlignment="1" applyProtection="1">
      <alignment horizontal="center" vertical="center" wrapText="1"/>
      <protection hidden="1"/>
    </xf>
    <xf numFmtId="165" fontId="22" fillId="12" borderId="50" xfId="0" applyNumberFormat="1" applyFont="1" applyFill="1" applyBorder="1" applyAlignment="1" applyProtection="1">
      <alignment horizontal="center" vertical="center" wrapText="1"/>
      <protection hidden="1"/>
    </xf>
    <xf numFmtId="165" fontId="22" fillId="12" borderId="35" xfId="0" applyNumberFormat="1" applyFont="1" applyFill="1" applyBorder="1" applyAlignment="1" applyProtection="1">
      <alignment horizontal="center" vertical="center" wrapText="1"/>
      <protection hidden="1"/>
    </xf>
    <xf numFmtId="165" fontId="24" fillId="12" borderId="52" xfId="0" applyNumberFormat="1" applyFont="1" applyFill="1" applyBorder="1" applyAlignment="1" applyProtection="1">
      <alignment horizontal="center" vertical="center" wrapText="1"/>
      <protection hidden="1"/>
    </xf>
    <xf numFmtId="9" fontId="24" fillId="11" borderId="1" xfId="1" applyFont="1" applyFill="1" applyBorder="1" applyAlignment="1" applyProtection="1">
      <alignment horizontal="center" vertical="center" wrapText="1"/>
      <protection hidden="1"/>
    </xf>
    <xf numFmtId="9" fontId="22" fillId="11" borderId="4" xfId="1" applyFont="1" applyFill="1" applyBorder="1" applyAlignment="1" applyProtection="1">
      <alignment horizontal="center" vertical="center" wrapText="1"/>
      <protection hidden="1"/>
    </xf>
    <xf numFmtId="2" fontId="23" fillId="11" borderId="1" xfId="1" applyNumberFormat="1" applyFont="1" applyFill="1" applyBorder="1" applyAlignment="1" applyProtection="1">
      <alignment horizontal="center" vertical="center" wrapText="1"/>
      <protection hidden="1"/>
    </xf>
    <xf numFmtId="165" fontId="26" fillId="0" borderId="50" xfId="0" applyNumberFormat="1" applyFont="1" applyBorder="1" applyAlignment="1" applyProtection="1">
      <alignment horizontal="center" vertical="center" wrapText="1"/>
      <protection hidden="1"/>
    </xf>
    <xf numFmtId="165" fontId="26" fillId="0" borderId="36" xfId="0" applyNumberFormat="1" applyFont="1" applyBorder="1" applyAlignment="1" applyProtection="1">
      <alignment horizontal="center" vertical="center" wrapText="1"/>
      <protection hidden="1"/>
    </xf>
    <xf numFmtId="0" fontId="22" fillId="0" borderId="68" xfId="0" applyFont="1" applyBorder="1" applyAlignment="1" applyProtection="1">
      <alignment horizontal="center" vertical="center" wrapText="1"/>
      <protection hidden="1"/>
    </xf>
    <xf numFmtId="165" fontId="24" fillId="0" borderId="68" xfId="0" applyNumberFormat="1" applyFont="1" applyBorder="1" applyAlignment="1" applyProtection="1">
      <alignment horizontal="center" vertical="center" wrapText="1"/>
      <protection hidden="1"/>
    </xf>
    <xf numFmtId="165" fontId="24" fillId="0" borderId="76" xfId="0" applyNumberFormat="1" applyFont="1" applyBorder="1" applyAlignment="1" applyProtection="1">
      <alignment horizontal="center" vertical="center" wrapText="1"/>
      <protection hidden="1"/>
    </xf>
    <xf numFmtId="0" fontId="22" fillId="12" borderId="50" xfId="0" applyFont="1" applyFill="1" applyBorder="1" applyAlignment="1" applyProtection="1">
      <alignment horizontal="center" vertical="center" wrapText="1"/>
      <protection hidden="1"/>
    </xf>
    <xf numFmtId="165" fontId="24" fillId="12" borderId="35" xfId="0" applyNumberFormat="1" applyFont="1" applyFill="1" applyBorder="1" applyAlignment="1" applyProtection="1">
      <alignment horizontal="center" vertical="center" wrapText="1"/>
      <protection hidden="1"/>
    </xf>
    <xf numFmtId="0" fontId="22" fillId="0" borderId="50" xfId="0" applyFont="1" applyBorder="1" applyAlignment="1" applyProtection="1">
      <alignment horizontal="center" vertical="center" wrapText="1"/>
      <protection hidden="1"/>
    </xf>
    <xf numFmtId="165" fontId="24" fillId="0" borderId="35" xfId="0" applyNumberFormat="1" applyFont="1" applyBorder="1" applyAlignment="1" applyProtection="1">
      <alignment horizontal="center" vertical="center" wrapText="1"/>
      <protection hidden="1"/>
    </xf>
    <xf numFmtId="165" fontId="24" fillId="0" borderId="52" xfId="0" applyNumberFormat="1" applyFont="1" applyBorder="1" applyAlignment="1" applyProtection="1">
      <alignment horizontal="center" vertical="center" wrapText="1"/>
      <protection hidden="1"/>
    </xf>
    <xf numFmtId="165" fontId="10" fillId="3" borderId="43" xfId="0" applyNumberFormat="1" applyFont="1" applyFill="1" applyBorder="1" applyAlignment="1" applyProtection="1">
      <alignment vertical="top" wrapText="1"/>
      <protection hidden="1"/>
    </xf>
    <xf numFmtId="165" fontId="10" fillId="3" borderId="9" xfId="0" applyNumberFormat="1" applyFont="1" applyFill="1" applyBorder="1" applyAlignment="1" applyProtection="1">
      <alignment vertical="top" wrapText="1"/>
      <protection hidden="1"/>
    </xf>
    <xf numFmtId="0" fontId="6" fillId="3" borderId="16" xfId="0" applyFont="1" applyFill="1" applyBorder="1" applyAlignment="1" applyProtection="1">
      <alignment vertical="center" wrapText="1"/>
      <protection hidden="1"/>
    </xf>
    <xf numFmtId="0" fontId="6" fillId="3" borderId="6" xfId="0" applyFont="1" applyFill="1" applyBorder="1" applyAlignment="1" applyProtection="1">
      <alignment vertical="center" wrapText="1"/>
      <protection hidden="1"/>
    </xf>
    <xf numFmtId="0" fontId="31" fillId="3" borderId="1" xfId="0" applyFont="1" applyFill="1" applyBorder="1" applyAlignment="1" applyProtection="1">
      <alignment vertical="center" wrapText="1"/>
      <protection hidden="1"/>
    </xf>
    <xf numFmtId="165" fontId="26" fillId="25" borderId="17" xfId="0" applyNumberFormat="1" applyFont="1" applyFill="1" applyBorder="1" applyAlignment="1" applyProtection="1">
      <alignment horizontal="center" vertical="center" wrapText="1"/>
      <protection hidden="1"/>
    </xf>
    <xf numFmtId="165" fontId="26" fillId="25" borderId="19" xfId="0" applyNumberFormat="1" applyFont="1" applyFill="1" applyBorder="1" applyAlignment="1" applyProtection="1">
      <alignment horizontal="center" vertical="center" wrapText="1"/>
      <protection hidden="1"/>
    </xf>
    <xf numFmtId="4" fontId="24" fillId="0" borderId="17" xfId="0" applyNumberFormat="1" applyFont="1" applyBorder="1" applyAlignment="1" applyProtection="1">
      <alignment horizontal="center" vertical="center" wrapText="1"/>
      <protection hidden="1"/>
    </xf>
    <xf numFmtId="4" fontId="24" fillId="0" borderId="18" xfId="1" applyNumberFormat="1" applyFont="1" applyBorder="1" applyAlignment="1" applyProtection="1">
      <alignment horizontal="center" vertical="center" wrapText="1"/>
      <protection hidden="1"/>
    </xf>
    <xf numFmtId="4" fontId="24" fillId="0" borderId="46" xfId="0" applyNumberFormat="1" applyFont="1" applyBorder="1" applyAlignment="1" applyProtection="1">
      <alignment horizontal="center" vertical="center" wrapText="1"/>
      <protection hidden="1"/>
    </xf>
    <xf numFmtId="0" fontId="24" fillId="12" borderId="15" xfId="0" applyFont="1" applyFill="1" applyBorder="1" applyAlignment="1" applyProtection="1">
      <alignment horizontal="center" vertical="center" wrapText="1"/>
      <protection hidden="1"/>
    </xf>
    <xf numFmtId="0" fontId="24" fillId="12" borderId="11" xfId="0" applyFont="1" applyFill="1" applyBorder="1" applyAlignment="1" applyProtection="1">
      <alignment horizontal="center" vertical="center" wrapText="1"/>
      <protection hidden="1"/>
    </xf>
    <xf numFmtId="4" fontId="24" fillId="0" borderId="47" xfId="0" applyNumberFormat="1" applyFont="1" applyBorder="1" applyAlignment="1" applyProtection="1">
      <alignment horizontal="center" vertical="center" wrapText="1"/>
      <protection hidden="1"/>
    </xf>
    <xf numFmtId="165" fontId="10" fillId="3" borderId="2" xfId="0" applyNumberFormat="1" applyFont="1" applyFill="1" applyBorder="1" applyAlignment="1" applyProtection="1">
      <alignment vertical="center" wrapText="1"/>
      <protection hidden="1"/>
    </xf>
    <xf numFmtId="165" fontId="10" fillId="3" borderId="4" xfId="0" applyNumberFormat="1" applyFont="1" applyFill="1" applyBorder="1" applyAlignment="1" applyProtection="1">
      <alignment vertical="center" wrapText="1"/>
      <protection hidden="1"/>
    </xf>
    <xf numFmtId="0" fontId="6" fillId="3" borderId="2" xfId="0" applyFont="1" applyFill="1" applyBorder="1" applyAlignment="1" applyProtection="1">
      <alignment vertical="center" wrapText="1"/>
      <protection hidden="1"/>
    </xf>
    <xf numFmtId="0" fontId="6" fillId="3" borderId="3" xfId="0" applyFont="1" applyFill="1" applyBorder="1" applyAlignment="1" applyProtection="1">
      <alignment vertical="center" wrapText="1"/>
      <protection hidden="1"/>
    </xf>
    <xf numFmtId="0" fontId="31" fillId="3" borderId="5" xfId="0" applyFont="1" applyFill="1" applyBorder="1" applyAlignment="1" applyProtection="1">
      <alignment vertical="center" wrapText="1"/>
      <protection hidden="1"/>
    </xf>
    <xf numFmtId="165" fontId="26" fillId="0" borderId="54" xfId="0" applyNumberFormat="1" applyFont="1" applyBorder="1" applyAlignment="1" applyProtection="1">
      <alignment horizontal="center" vertical="center" wrapText="1"/>
      <protection hidden="1"/>
    </xf>
    <xf numFmtId="165" fontId="26" fillId="0" borderId="74" xfId="0" applyNumberFormat="1" applyFont="1" applyBorder="1" applyAlignment="1" applyProtection="1">
      <alignment horizontal="center" vertical="center" wrapText="1"/>
      <protection hidden="1"/>
    </xf>
    <xf numFmtId="0" fontId="24" fillId="0" borderId="54" xfId="0" applyFont="1" applyBorder="1" applyAlignment="1" applyProtection="1">
      <alignment horizontal="center" vertical="center" wrapText="1"/>
      <protection hidden="1"/>
    </xf>
    <xf numFmtId="0" fontId="24" fillId="0" borderId="14" xfId="0" applyFont="1" applyBorder="1" applyAlignment="1" applyProtection="1">
      <alignment horizontal="center" vertical="center" wrapText="1"/>
      <protection hidden="1"/>
    </xf>
    <xf numFmtId="167" fontId="24" fillId="0" borderId="12" xfId="0" applyNumberFormat="1" applyFont="1" applyBorder="1" applyAlignment="1" applyProtection="1">
      <alignment horizontal="center" vertical="center" wrapText="1"/>
      <protection hidden="1"/>
    </xf>
    <xf numFmtId="9" fontId="24" fillId="0" borderId="9" xfId="1" applyFont="1" applyBorder="1" applyAlignment="1" applyProtection="1">
      <alignment horizontal="center" vertical="center" wrapText="1"/>
      <protection hidden="1"/>
    </xf>
    <xf numFmtId="0" fontId="24" fillId="0" borderId="38" xfId="0" applyFont="1" applyBorder="1" applyAlignment="1" applyProtection="1">
      <alignment horizontal="center" vertical="center" wrapText="1"/>
      <protection hidden="1"/>
    </xf>
    <xf numFmtId="167" fontId="24" fillId="0" borderId="55" xfId="0" applyNumberFormat="1" applyFont="1" applyBorder="1" applyAlignment="1" applyProtection="1">
      <alignment horizontal="center" vertical="center" wrapText="1"/>
      <protection hidden="1"/>
    </xf>
    <xf numFmtId="165" fontId="32" fillId="3" borderId="2" xfId="0" applyNumberFormat="1" applyFont="1" applyFill="1" applyBorder="1" applyAlignment="1" applyProtection="1">
      <alignment vertical="top" wrapText="1"/>
      <protection hidden="1"/>
    </xf>
    <xf numFmtId="165" fontId="32" fillId="3" borderId="4" xfId="0" applyNumberFormat="1" applyFont="1" applyFill="1" applyBorder="1" applyAlignment="1" applyProtection="1">
      <alignment vertical="top" wrapText="1"/>
      <protection hidden="1"/>
    </xf>
    <xf numFmtId="0" fontId="3" fillId="3" borderId="2" xfId="0" applyFont="1" applyFill="1" applyBorder="1" applyAlignment="1" applyProtection="1">
      <alignment vertical="center" wrapText="1"/>
      <protection hidden="1"/>
    </xf>
    <xf numFmtId="0" fontId="3" fillId="3" borderId="3" xfId="0" applyFont="1" applyFill="1" applyBorder="1" applyAlignment="1" applyProtection="1">
      <alignment vertical="center" wrapText="1"/>
      <protection hidden="1"/>
    </xf>
    <xf numFmtId="0" fontId="3" fillId="3" borderId="1" xfId="0" applyFont="1" applyFill="1" applyBorder="1" applyAlignment="1" applyProtection="1">
      <alignment vertical="center" wrapText="1"/>
      <protection hidden="1"/>
    </xf>
    <xf numFmtId="165" fontId="26" fillId="26" borderId="17" xfId="0" applyNumberFormat="1" applyFont="1" applyFill="1" applyBorder="1" applyAlignment="1" applyProtection="1">
      <alignment horizontal="center" vertical="center" wrapText="1"/>
      <protection hidden="1"/>
    </xf>
    <xf numFmtId="165" fontId="26" fillId="26" borderId="19" xfId="0" applyNumberFormat="1" applyFont="1" applyFill="1" applyBorder="1" applyAlignment="1" applyProtection="1">
      <alignment horizontal="center" vertical="center" wrapText="1"/>
      <protection hidden="1"/>
    </xf>
    <xf numFmtId="1" fontId="24" fillId="0" borderId="49" xfId="1" applyNumberFormat="1" applyFont="1" applyBorder="1" applyAlignment="1" applyProtection="1">
      <alignment horizontal="center" vertical="center" wrapText="1"/>
      <protection hidden="1"/>
    </xf>
    <xf numFmtId="166" fontId="24" fillId="0" borderId="46" xfId="0" applyNumberFormat="1" applyFont="1" applyBorder="1" applyAlignment="1" applyProtection="1">
      <alignment horizontal="center" vertical="center" wrapText="1"/>
      <protection hidden="1"/>
    </xf>
    <xf numFmtId="165" fontId="26" fillId="25" borderId="21" xfId="0" applyNumberFormat="1" applyFont="1" applyFill="1" applyBorder="1" applyAlignment="1" applyProtection="1">
      <alignment horizontal="center" wrapText="1"/>
      <protection hidden="1"/>
    </xf>
    <xf numFmtId="165" fontId="26" fillId="25" borderId="23" xfId="0" applyNumberFormat="1" applyFont="1" applyFill="1" applyBorder="1" applyAlignment="1" applyProtection="1">
      <alignment horizontal="center" wrapText="1"/>
      <protection hidden="1"/>
    </xf>
    <xf numFmtId="1" fontId="24" fillId="0" borderId="77" xfId="1" applyNumberFormat="1" applyFont="1" applyBorder="1" applyAlignment="1" applyProtection="1">
      <alignment horizontal="center" vertical="center" wrapText="1"/>
      <protection hidden="1"/>
    </xf>
    <xf numFmtId="165" fontId="24" fillId="0" borderId="67" xfId="0" applyNumberFormat="1" applyFont="1" applyBorder="1" applyAlignment="1" applyProtection="1">
      <alignment horizontal="center" vertical="center" wrapText="1"/>
      <protection hidden="1"/>
    </xf>
    <xf numFmtId="166" fontId="24" fillId="0" borderId="65" xfId="0" applyNumberFormat="1" applyFont="1" applyBorder="1" applyAlignment="1" applyProtection="1">
      <alignment horizontal="center" vertical="center" wrapText="1"/>
      <protection hidden="1"/>
    </xf>
    <xf numFmtId="9" fontId="24" fillId="11" borderId="5" xfId="1" applyFont="1" applyFill="1" applyBorder="1" applyAlignment="1" applyProtection="1">
      <alignment horizontal="center" vertical="center" wrapText="1"/>
      <protection hidden="1"/>
    </xf>
    <xf numFmtId="165" fontId="16" fillId="2" borderId="16" xfId="0" applyNumberFormat="1" applyFont="1" applyFill="1" applyBorder="1" applyAlignment="1" applyProtection="1">
      <alignment vertical="top" wrapText="1"/>
      <protection hidden="1"/>
    </xf>
    <xf numFmtId="165" fontId="16" fillId="2" borderId="7" xfId="0" applyNumberFormat="1" applyFont="1" applyFill="1" applyBorder="1" applyAlignment="1" applyProtection="1">
      <alignment vertical="top" wrapText="1"/>
      <protection hidden="1"/>
    </xf>
    <xf numFmtId="0" fontId="0" fillId="2" borderId="43" xfId="0" applyFill="1" applyBorder="1" applyAlignment="1" applyProtection="1">
      <alignment vertical="center" wrapText="1"/>
      <protection hidden="1"/>
    </xf>
    <xf numFmtId="0" fontId="0" fillId="2" borderId="0" xfId="0" applyFill="1" applyAlignment="1" applyProtection="1">
      <alignment vertical="center" wrapText="1"/>
      <protection hidden="1"/>
    </xf>
    <xf numFmtId="0" fontId="0" fillId="2" borderId="8" xfId="0" applyFill="1" applyBorder="1" applyAlignment="1" applyProtection="1">
      <alignment vertical="center" wrapText="1"/>
      <protection hidden="1"/>
    </xf>
    <xf numFmtId="165" fontId="10" fillId="3" borderId="2" xfId="0" applyNumberFormat="1" applyFont="1" applyFill="1" applyBorder="1" applyAlignment="1" applyProtection="1">
      <alignment vertical="top" wrapText="1"/>
      <protection hidden="1"/>
    </xf>
    <xf numFmtId="165" fontId="10" fillId="3" borderId="4" xfId="0" applyNumberFormat="1" applyFont="1" applyFill="1" applyBorder="1" applyAlignment="1" applyProtection="1">
      <alignment vertical="top" wrapText="1"/>
      <protection hidden="1"/>
    </xf>
    <xf numFmtId="0" fontId="4" fillId="3" borderId="2" xfId="0" applyFont="1" applyFill="1" applyBorder="1" applyAlignment="1" applyProtection="1">
      <alignment vertical="center" wrapText="1"/>
      <protection hidden="1"/>
    </xf>
    <xf numFmtId="0" fontId="4" fillId="3" borderId="3" xfId="0" applyFont="1" applyFill="1" applyBorder="1" applyAlignment="1" applyProtection="1">
      <alignment vertical="center" wrapText="1"/>
      <protection hidden="1"/>
    </xf>
    <xf numFmtId="165" fontId="26" fillId="25" borderId="17" xfId="0" applyNumberFormat="1" applyFont="1" applyFill="1" applyBorder="1" applyAlignment="1" applyProtection="1">
      <alignment horizontal="center" vertical="top" wrapText="1"/>
      <protection hidden="1"/>
    </xf>
    <xf numFmtId="0" fontId="24" fillId="0" borderId="17" xfId="0" applyFont="1" applyBorder="1" applyAlignment="1" applyProtection="1">
      <alignment horizontal="center" vertical="center" wrapText="1"/>
      <protection hidden="1"/>
    </xf>
    <xf numFmtId="0" fontId="24" fillId="0" borderId="18" xfId="0" applyFont="1" applyBorder="1" applyAlignment="1" applyProtection="1">
      <alignment horizontal="center" vertical="center" wrapText="1"/>
      <protection hidden="1"/>
    </xf>
    <xf numFmtId="0" fontId="24" fillId="0" borderId="19" xfId="0" applyFont="1" applyBorder="1" applyAlignment="1" applyProtection="1">
      <alignment horizontal="center" vertical="center" wrapText="1"/>
      <protection hidden="1"/>
    </xf>
    <xf numFmtId="9" fontId="24" fillId="11" borderId="53" xfId="1" applyFont="1" applyFill="1" applyBorder="1" applyAlignment="1" applyProtection="1">
      <alignment horizontal="center" vertical="center" wrapText="1"/>
      <protection hidden="1"/>
    </xf>
    <xf numFmtId="9" fontId="25" fillId="6" borderId="45" xfId="1" applyFont="1" applyFill="1" applyBorder="1" applyAlignment="1" applyProtection="1">
      <alignment horizontal="center" vertical="center" wrapText="1"/>
      <protection hidden="1"/>
    </xf>
    <xf numFmtId="165" fontId="26" fillId="25" borderId="56" xfId="0" applyNumberFormat="1" applyFont="1" applyFill="1" applyBorder="1" applyAlignment="1" applyProtection="1">
      <alignment horizontal="center" vertical="top" wrapText="1"/>
      <protection hidden="1"/>
    </xf>
    <xf numFmtId="165" fontId="26" fillId="25" borderId="57" xfId="0" applyNumberFormat="1" applyFont="1" applyFill="1" applyBorder="1" applyAlignment="1" applyProtection="1">
      <alignment horizontal="center" vertical="top" wrapText="1"/>
      <protection hidden="1"/>
    </xf>
    <xf numFmtId="0" fontId="24" fillId="0" borderId="22" xfId="0" applyFont="1" applyBorder="1" applyAlignment="1" applyProtection="1">
      <alignment horizontal="center" vertical="center" wrapText="1"/>
      <protection hidden="1"/>
    </xf>
    <xf numFmtId="166" fontId="24" fillId="0" borderId="23" xfId="0" applyNumberFormat="1" applyFont="1" applyBorder="1" applyAlignment="1" applyProtection="1">
      <alignment horizontal="center" vertical="center" wrapText="1"/>
      <protection hidden="1"/>
    </xf>
    <xf numFmtId="9" fontId="25" fillId="6" borderId="7" xfId="1" applyFont="1" applyFill="1" applyBorder="1" applyAlignment="1" applyProtection="1">
      <alignment horizontal="center" vertical="center" wrapText="1"/>
      <protection hidden="1"/>
    </xf>
    <xf numFmtId="165" fontId="16" fillId="3" borderId="2" xfId="0" applyNumberFormat="1" applyFont="1" applyFill="1" applyBorder="1" applyAlignment="1" applyProtection="1">
      <alignment vertical="top" wrapText="1"/>
      <protection hidden="1"/>
    </xf>
    <xf numFmtId="165" fontId="16" fillId="3" borderId="4" xfId="0" applyNumberFormat="1" applyFont="1" applyFill="1" applyBorder="1" applyAlignment="1" applyProtection="1">
      <alignment vertical="top" wrapText="1"/>
      <protection hidden="1"/>
    </xf>
    <xf numFmtId="0" fontId="0" fillId="3" borderId="3" xfId="0" applyFill="1" applyBorder="1" applyAlignment="1" applyProtection="1">
      <alignment vertical="center" wrapText="1"/>
      <protection hidden="1"/>
    </xf>
    <xf numFmtId="0" fontId="0" fillId="3" borderId="5" xfId="0" applyFill="1" applyBorder="1" applyAlignment="1" applyProtection="1">
      <alignment vertical="center" wrapText="1"/>
      <protection hidden="1"/>
    </xf>
    <xf numFmtId="165" fontId="10" fillId="29" borderId="72" xfId="0" applyNumberFormat="1" applyFont="1" applyFill="1" applyBorder="1" applyAlignment="1" applyProtection="1">
      <alignment horizontal="center" vertical="center" wrapText="1"/>
      <protection hidden="1"/>
    </xf>
    <xf numFmtId="165" fontId="10" fillId="29" borderId="69" xfId="0" applyNumberFormat="1" applyFont="1" applyFill="1" applyBorder="1" applyAlignment="1" applyProtection="1">
      <alignment horizontal="center" vertical="center" wrapText="1"/>
      <protection hidden="1"/>
    </xf>
    <xf numFmtId="2" fontId="24" fillId="0" borderId="50" xfId="0" applyNumberFormat="1" applyFont="1" applyBorder="1" applyAlignment="1" applyProtection="1">
      <alignment horizontal="center" vertical="center" wrapText="1"/>
      <protection hidden="1"/>
    </xf>
    <xf numFmtId="0" fontId="24" fillId="12" borderId="35" xfId="0" applyFont="1" applyFill="1" applyBorder="1" applyAlignment="1" applyProtection="1">
      <alignment horizontal="center" vertical="center" wrapText="1"/>
      <protection hidden="1"/>
    </xf>
    <xf numFmtId="0" fontId="24" fillId="0" borderId="36" xfId="0" applyFont="1" applyBorder="1" applyAlignment="1" applyProtection="1">
      <alignment horizontal="center" vertical="center" wrapText="1"/>
      <protection hidden="1"/>
    </xf>
    <xf numFmtId="0" fontId="3" fillId="3" borderId="10" xfId="0" applyFont="1" applyFill="1" applyBorder="1" applyAlignment="1" applyProtection="1">
      <alignment vertical="center" wrapText="1"/>
      <protection hidden="1"/>
    </xf>
    <xf numFmtId="165" fontId="27" fillId="25" borderId="17" xfId="0" applyNumberFormat="1" applyFont="1" applyFill="1" applyBorder="1" applyAlignment="1" applyProtection="1">
      <alignment horizontal="center" vertical="top" wrapText="1"/>
      <protection hidden="1"/>
    </xf>
    <xf numFmtId="165" fontId="27" fillId="25" borderId="19" xfId="0" applyNumberFormat="1" applyFont="1" applyFill="1" applyBorder="1" applyAlignment="1" applyProtection="1">
      <alignment horizontal="center" vertical="top" wrapText="1"/>
      <protection hidden="1"/>
    </xf>
    <xf numFmtId="9" fontId="24" fillId="0" borderId="58" xfId="1" applyFont="1" applyBorder="1" applyAlignment="1" applyProtection="1">
      <alignment horizontal="center" vertical="center" wrapText="1"/>
      <protection hidden="1"/>
    </xf>
    <xf numFmtId="2" fontId="24" fillId="0" borderId="10" xfId="1" applyNumberFormat="1" applyFont="1" applyBorder="1" applyAlignment="1" applyProtection="1">
      <alignment horizontal="center" vertical="center" wrapText="1"/>
      <protection hidden="1"/>
    </xf>
    <xf numFmtId="165" fontId="26" fillId="25" borderId="15" xfId="0" applyNumberFormat="1" applyFont="1" applyFill="1" applyBorder="1" applyAlignment="1" applyProtection="1">
      <alignment horizontal="center" vertical="top" wrapText="1"/>
      <protection hidden="1"/>
    </xf>
    <xf numFmtId="165" fontId="26" fillId="25" borderId="20" xfId="0" applyNumberFormat="1" applyFont="1" applyFill="1" applyBorder="1" applyAlignment="1" applyProtection="1">
      <alignment horizontal="center" vertical="top" wrapText="1"/>
      <protection hidden="1"/>
    </xf>
    <xf numFmtId="9" fontId="24" fillId="0" borderId="59" xfId="1" applyFont="1" applyBorder="1" applyAlignment="1" applyProtection="1">
      <alignment horizontal="center" vertical="center" wrapText="1"/>
      <protection hidden="1"/>
    </xf>
    <xf numFmtId="165" fontId="26" fillId="25" borderId="15" xfId="0" applyNumberFormat="1" applyFont="1" applyFill="1" applyBorder="1" applyAlignment="1" applyProtection="1">
      <alignment horizontal="center" vertical="center" wrapText="1"/>
      <protection hidden="1"/>
    </xf>
    <xf numFmtId="165" fontId="26" fillId="25" borderId="20" xfId="0" applyNumberFormat="1" applyFont="1" applyFill="1" applyBorder="1" applyAlignment="1" applyProtection="1">
      <alignment horizontal="center" vertical="center" wrapText="1"/>
      <protection hidden="1"/>
    </xf>
    <xf numFmtId="2" fontId="24" fillId="12" borderId="11" xfId="0" applyNumberFormat="1" applyFont="1" applyFill="1" applyBorder="1" applyAlignment="1" applyProtection="1">
      <alignment horizontal="center" vertical="center" wrapText="1"/>
      <protection hidden="1"/>
    </xf>
    <xf numFmtId="165" fontId="26" fillId="0" borderId="15" xfId="0" applyNumberFormat="1" applyFont="1" applyBorder="1" applyAlignment="1" applyProtection="1">
      <alignment horizontal="center" vertical="center" wrapText="1"/>
      <protection hidden="1"/>
    </xf>
    <xf numFmtId="165" fontId="26" fillId="0" borderId="20" xfId="0" applyNumberFormat="1" applyFont="1" applyBorder="1" applyAlignment="1" applyProtection="1">
      <alignment horizontal="center" vertical="center" wrapText="1"/>
      <protection hidden="1"/>
    </xf>
    <xf numFmtId="0" fontId="24" fillId="0" borderId="11" xfId="0" applyFont="1" applyBorder="1" applyAlignment="1" applyProtection="1">
      <alignment horizontal="center" vertical="center" wrapText="1"/>
      <protection hidden="1"/>
    </xf>
    <xf numFmtId="4" fontId="24" fillId="0" borderId="48" xfId="0" applyNumberFormat="1" applyFont="1" applyBorder="1" applyAlignment="1" applyProtection="1">
      <alignment horizontal="center" vertical="center" wrapText="1"/>
      <protection hidden="1"/>
    </xf>
    <xf numFmtId="9" fontId="24" fillId="0" borderId="60" xfId="1" applyFont="1" applyBorder="1" applyAlignment="1" applyProtection="1">
      <alignment horizontal="center" vertical="center" wrapText="1"/>
      <protection hidden="1"/>
    </xf>
    <xf numFmtId="165" fontId="33" fillId="2" borderId="16" xfId="0" applyNumberFormat="1" applyFont="1" applyFill="1" applyBorder="1" applyAlignment="1" applyProtection="1">
      <alignment vertical="top" wrapText="1"/>
      <protection hidden="1"/>
    </xf>
    <xf numFmtId="165" fontId="33" fillId="2" borderId="7" xfId="0" applyNumberFormat="1" applyFont="1" applyFill="1" applyBorder="1" applyAlignment="1" applyProtection="1">
      <alignment vertical="top" wrapText="1"/>
      <protection hidden="1"/>
    </xf>
    <xf numFmtId="0" fontId="2" fillId="2" borderId="0" xfId="0" applyFont="1" applyFill="1" applyAlignment="1" applyProtection="1">
      <alignment vertical="center" wrapText="1"/>
      <protection hidden="1"/>
    </xf>
    <xf numFmtId="4" fontId="24" fillId="12" borderId="46" xfId="0" applyNumberFormat="1" applyFont="1" applyFill="1" applyBorder="1" applyAlignment="1" applyProtection="1">
      <alignment horizontal="center" vertical="center" wrapText="1"/>
      <protection hidden="1"/>
    </xf>
    <xf numFmtId="9" fontId="24" fillId="6" borderId="58" xfId="1" applyFont="1" applyFill="1" applyBorder="1" applyAlignment="1" applyProtection="1">
      <alignment horizontal="center" vertical="center" wrapText="1"/>
      <protection hidden="1"/>
    </xf>
    <xf numFmtId="1" fontId="24" fillId="0" borderId="27" xfId="1" applyNumberFormat="1" applyFont="1" applyBorder="1" applyAlignment="1" applyProtection="1">
      <alignment horizontal="center" vertical="center" wrapText="1"/>
      <protection hidden="1"/>
    </xf>
    <xf numFmtId="4" fontId="24" fillId="12" borderId="47" xfId="0" applyNumberFormat="1" applyFont="1" applyFill="1" applyBorder="1" applyAlignment="1" applyProtection="1">
      <alignment horizontal="center" vertical="center" wrapText="1"/>
      <protection hidden="1"/>
    </xf>
    <xf numFmtId="0" fontId="15" fillId="0" borderId="59" xfId="0" applyFont="1" applyBorder="1" applyAlignment="1" applyProtection="1">
      <alignment horizontal="center" vertical="center" wrapText="1"/>
      <protection hidden="1"/>
    </xf>
    <xf numFmtId="165" fontId="26" fillId="29" borderId="15" xfId="0" applyNumberFormat="1" applyFont="1" applyFill="1" applyBorder="1" applyAlignment="1" applyProtection="1">
      <alignment horizontal="center" vertical="top" wrapText="1"/>
      <protection hidden="1"/>
    </xf>
    <xf numFmtId="165" fontId="26" fillId="29" borderId="20" xfId="0" applyNumberFormat="1" applyFont="1" applyFill="1" applyBorder="1" applyAlignment="1" applyProtection="1">
      <alignment horizontal="center" vertical="top" wrapText="1"/>
      <protection hidden="1"/>
    </xf>
    <xf numFmtId="165" fontId="24" fillId="12" borderId="27" xfId="0" applyNumberFormat="1" applyFont="1" applyFill="1" applyBorder="1" applyAlignment="1" applyProtection="1">
      <alignment horizontal="center" vertical="center" wrapText="1"/>
      <protection hidden="1"/>
    </xf>
    <xf numFmtId="165" fontId="24" fillId="12" borderId="11" xfId="0" applyNumberFormat="1" applyFont="1" applyFill="1" applyBorder="1" applyAlignment="1" applyProtection="1">
      <alignment horizontal="center" vertical="center" wrapText="1"/>
      <protection hidden="1"/>
    </xf>
    <xf numFmtId="165" fontId="24" fillId="12" borderId="28" xfId="0" applyNumberFormat="1" applyFont="1" applyFill="1" applyBorder="1" applyAlignment="1" applyProtection="1">
      <alignment horizontal="center" vertical="center" wrapText="1"/>
      <protection hidden="1"/>
    </xf>
    <xf numFmtId="165" fontId="24" fillId="12" borderId="22" xfId="0" applyNumberFormat="1" applyFont="1" applyFill="1" applyBorder="1" applyAlignment="1" applyProtection="1">
      <alignment horizontal="center" vertical="center" wrapText="1"/>
      <protection hidden="1"/>
    </xf>
    <xf numFmtId="4" fontId="24" fillId="12" borderId="48" xfId="0" applyNumberFormat="1" applyFont="1" applyFill="1" applyBorder="1" applyAlignment="1" applyProtection="1">
      <alignment horizontal="center" vertical="center" wrapText="1"/>
      <protection hidden="1"/>
    </xf>
    <xf numFmtId="0" fontId="15" fillId="0" borderId="60" xfId="0" applyFont="1" applyBorder="1" applyAlignment="1" applyProtection="1">
      <alignment horizontal="center" vertical="center" wrapText="1"/>
      <protection hidden="1"/>
    </xf>
    <xf numFmtId="165" fontId="26" fillId="25" borderId="50" xfId="0" applyNumberFormat="1" applyFont="1" applyFill="1" applyBorder="1" applyAlignment="1" applyProtection="1">
      <alignment horizontal="center" vertical="top" wrapText="1"/>
      <protection hidden="1"/>
    </xf>
    <xf numFmtId="165" fontId="26" fillId="25" borderId="36" xfId="0" applyNumberFormat="1" applyFont="1" applyFill="1" applyBorder="1" applyAlignment="1" applyProtection="1">
      <alignment horizontal="center" vertical="top" wrapText="1"/>
      <protection hidden="1"/>
    </xf>
    <xf numFmtId="1" fontId="24" fillId="0" borderId="50" xfId="1" applyNumberFormat="1" applyFont="1" applyBorder="1" applyAlignment="1" applyProtection="1">
      <alignment horizontal="center" vertical="center" wrapText="1"/>
      <protection hidden="1"/>
    </xf>
    <xf numFmtId="0" fontId="24" fillId="12" borderId="52" xfId="0" applyFont="1" applyFill="1" applyBorder="1" applyAlignment="1" applyProtection="1">
      <alignment horizontal="center" vertical="center" wrapText="1"/>
      <protection hidden="1"/>
    </xf>
    <xf numFmtId="9" fontId="24" fillId="6" borderId="4" xfId="1" applyFont="1" applyFill="1" applyBorder="1" applyAlignment="1" applyProtection="1">
      <alignment horizontal="center" vertical="center" wrapText="1"/>
      <protection hidden="1"/>
    </xf>
    <xf numFmtId="165" fontId="16" fillId="9" borderId="2" xfId="0" applyNumberFormat="1" applyFont="1" applyFill="1" applyBorder="1" applyAlignment="1" applyProtection="1">
      <alignment vertical="top" wrapText="1"/>
      <protection hidden="1"/>
    </xf>
    <xf numFmtId="165" fontId="16" fillId="9" borderId="4" xfId="0" applyNumberFormat="1" applyFont="1" applyFill="1" applyBorder="1" applyAlignment="1" applyProtection="1">
      <alignment vertical="top" wrapText="1"/>
      <protection hidden="1"/>
    </xf>
    <xf numFmtId="0" fontId="0" fillId="9" borderId="16" xfId="0" applyFill="1" applyBorder="1" applyAlignment="1" applyProtection="1">
      <alignment vertical="center" wrapText="1"/>
      <protection hidden="1"/>
    </xf>
    <xf numFmtId="0" fontId="0" fillId="9" borderId="6" xfId="0" applyFill="1" applyBorder="1" applyAlignment="1" applyProtection="1">
      <alignment vertical="center" wrapText="1"/>
      <protection hidden="1"/>
    </xf>
    <xf numFmtId="0" fontId="0" fillId="9" borderId="1" xfId="0" applyFill="1" applyBorder="1" applyAlignment="1" applyProtection="1">
      <alignment vertical="center" wrapText="1"/>
      <protection hidden="1"/>
    </xf>
    <xf numFmtId="0" fontId="3" fillId="3" borderId="5" xfId="0" applyFont="1" applyFill="1" applyBorder="1" applyAlignment="1" applyProtection="1">
      <alignment vertical="center" wrapText="1"/>
      <protection hidden="1"/>
    </xf>
    <xf numFmtId="2" fontId="24" fillId="12" borderId="50" xfId="0" applyNumberFormat="1" applyFont="1" applyFill="1" applyBorder="1" applyAlignment="1" applyProtection="1">
      <alignment horizontal="center" vertical="center" wrapText="1"/>
      <protection hidden="1"/>
    </xf>
    <xf numFmtId="2" fontId="24" fillId="12" borderId="56" xfId="0" applyNumberFormat="1" applyFont="1" applyFill="1" applyBorder="1" applyAlignment="1" applyProtection="1">
      <alignment horizontal="center" vertical="center" wrapText="1"/>
      <protection hidden="1"/>
    </xf>
    <xf numFmtId="0" fontId="24" fillId="12" borderId="67" xfId="0" applyFont="1" applyFill="1" applyBorder="1" applyAlignment="1" applyProtection="1">
      <alignment horizontal="center" vertical="center" wrapText="1"/>
      <protection hidden="1"/>
    </xf>
    <xf numFmtId="0" fontId="24" fillId="12" borderId="65" xfId="0" applyFont="1" applyFill="1" applyBorder="1" applyAlignment="1" applyProtection="1">
      <alignment horizontal="center" vertical="center" wrapText="1"/>
      <protection hidden="1"/>
    </xf>
    <xf numFmtId="165" fontId="26" fillId="26" borderId="50" xfId="0" applyNumberFormat="1" applyFont="1" applyFill="1" applyBorder="1" applyAlignment="1" applyProtection="1">
      <alignment horizontal="center" vertical="top" wrapText="1"/>
      <protection hidden="1"/>
    </xf>
    <xf numFmtId="165" fontId="26" fillId="26" borderId="36" xfId="0" applyNumberFormat="1" applyFont="1" applyFill="1" applyBorder="1" applyAlignment="1" applyProtection="1">
      <alignment horizontal="center" vertical="top" wrapText="1"/>
      <protection hidden="1"/>
    </xf>
    <xf numFmtId="0" fontId="24" fillId="0" borderId="52" xfId="0" applyFont="1" applyBorder="1" applyAlignment="1" applyProtection="1">
      <alignment horizontal="center" vertical="center" wrapText="1"/>
      <protection hidden="1"/>
    </xf>
    <xf numFmtId="9" fontId="24" fillId="11" borderId="53" xfId="1" quotePrefix="1" applyFont="1" applyFill="1" applyBorder="1" applyAlignment="1" applyProtection="1">
      <alignment horizontal="center" vertical="center" wrapText="1"/>
      <protection hidden="1"/>
    </xf>
    <xf numFmtId="165" fontId="16" fillId="2" borderId="2" xfId="0" applyNumberFormat="1" applyFont="1" applyFill="1" applyBorder="1" applyAlignment="1" applyProtection="1">
      <alignment vertical="top" wrapText="1"/>
      <protection hidden="1"/>
    </xf>
    <xf numFmtId="165" fontId="16" fillId="2" borderId="4" xfId="0" applyNumberFormat="1" applyFont="1" applyFill="1" applyBorder="1" applyAlignment="1" applyProtection="1">
      <alignment vertical="top" wrapText="1"/>
      <protection hidden="1"/>
    </xf>
    <xf numFmtId="0" fontId="0" fillId="2" borderId="2" xfId="0" applyFill="1" applyBorder="1" applyAlignment="1" applyProtection="1">
      <alignment vertical="center" wrapText="1"/>
      <protection hidden="1"/>
    </xf>
    <xf numFmtId="0" fontId="0" fillId="2" borderId="3" xfId="0" applyFill="1" applyBorder="1" applyAlignment="1" applyProtection="1">
      <alignment vertical="center" wrapText="1"/>
      <protection hidden="1"/>
    </xf>
    <xf numFmtId="0" fontId="0" fillId="2" borderId="1" xfId="0" applyFill="1" applyBorder="1" applyAlignment="1" applyProtection="1">
      <alignment vertical="center" wrapText="1"/>
      <protection hidden="1"/>
    </xf>
    <xf numFmtId="0" fontId="0" fillId="2" borderId="16" xfId="0" applyFill="1" applyBorder="1" applyAlignment="1" applyProtection="1">
      <alignment vertical="center" wrapText="1"/>
      <protection hidden="1"/>
    </xf>
    <xf numFmtId="0" fontId="0" fillId="2" borderId="6" xfId="0" applyFill="1" applyBorder="1" applyAlignment="1" applyProtection="1">
      <alignment vertical="center" wrapText="1"/>
      <protection hidden="1"/>
    </xf>
    <xf numFmtId="165" fontId="32" fillId="3" borderId="42" xfId="0" applyNumberFormat="1" applyFont="1" applyFill="1" applyBorder="1" applyAlignment="1" applyProtection="1">
      <alignment vertical="top" wrapText="1"/>
      <protection hidden="1"/>
    </xf>
    <xf numFmtId="165" fontId="32" fillId="3" borderId="45" xfId="0" applyNumberFormat="1" applyFont="1" applyFill="1" applyBorder="1" applyAlignment="1" applyProtection="1">
      <alignment vertical="top" wrapText="1"/>
      <protection hidden="1"/>
    </xf>
    <xf numFmtId="1" fontId="24" fillId="12" borderId="46" xfId="0" applyNumberFormat="1" applyFont="1" applyFill="1" applyBorder="1" applyAlignment="1" applyProtection="1">
      <alignment horizontal="center" vertical="center" wrapText="1"/>
      <protection hidden="1"/>
    </xf>
    <xf numFmtId="165" fontId="26" fillId="0" borderId="21" xfId="0" applyNumberFormat="1" applyFont="1" applyBorder="1" applyAlignment="1" applyProtection="1">
      <alignment horizontal="center" vertical="top" wrapText="1"/>
      <protection hidden="1"/>
    </xf>
    <xf numFmtId="165" fontId="26" fillId="0" borderId="23" xfId="0" applyNumberFormat="1" applyFont="1" applyBorder="1" applyAlignment="1" applyProtection="1">
      <alignment horizontal="center" vertical="top" wrapText="1"/>
      <protection hidden="1"/>
    </xf>
    <xf numFmtId="1" fontId="24" fillId="0" borderId="28" xfId="1" applyNumberFormat="1" applyFont="1" applyBorder="1" applyAlignment="1" applyProtection="1">
      <alignment horizontal="center" vertical="center" wrapText="1"/>
      <protection hidden="1"/>
    </xf>
    <xf numFmtId="1" fontId="24" fillId="12" borderId="48" xfId="0" applyNumberFormat="1" applyFont="1" applyFill="1" applyBorder="1" applyAlignment="1" applyProtection="1">
      <alignment horizontal="center" vertical="center" wrapText="1"/>
      <protection hidden="1"/>
    </xf>
    <xf numFmtId="2" fontId="24" fillId="12" borderId="73" xfId="0" applyNumberFormat="1" applyFont="1" applyFill="1" applyBorder="1" applyAlignment="1" applyProtection="1">
      <alignment horizontal="center" vertical="center" wrapText="1"/>
      <protection hidden="1"/>
    </xf>
    <xf numFmtId="0" fontId="24" fillId="12" borderId="12" xfId="0" applyFont="1" applyFill="1" applyBorder="1" applyAlignment="1" applyProtection="1">
      <alignment horizontal="center" vertical="center" wrapText="1"/>
      <protection hidden="1"/>
    </xf>
    <xf numFmtId="9" fontId="28" fillId="0" borderId="45" xfId="1" applyFont="1" applyBorder="1" applyAlignment="1" applyProtection="1">
      <alignment horizontal="center" vertical="center" wrapText="1"/>
      <protection hidden="1"/>
    </xf>
    <xf numFmtId="165" fontId="27" fillId="12" borderId="15" xfId="0" applyNumberFormat="1" applyFont="1" applyFill="1" applyBorder="1" applyAlignment="1" applyProtection="1">
      <alignment horizontal="center" vertical="top" wrapText="1"/>
      <protection hidden="1"/>
    </xf>
    <xf numFmtId="165" fontId="27" fillId="12" borderId="20" xfId="0" applyNumberFormat="1" applyFont="1" applyFill="1" applyBorder="1" applyAlignment="1" applyProtection="1">
      <alignment horizontal="center" vertical="top" wrapText="1"/>
      <protection hidden="1"/>
    </xf>
    <xf numFmtId="2" fontId="24" fillId="12" borderId="27" xfId="0" applyNumberFormat="1" applyFont="1" applyFill="1" applyBorder="1" applyAlignment="1" applyProtection="1">
      <alignment horizontal="center" vertical="center" wrapText="1"/>
      <protection hidden="1"/>
    </xf>
    <xf numFmtId="0" fontId="24" fillId="12" borderId="47" xfId="0" applyFont="1" applyFill="1" applyBorder="1" applyAlignment="1" applyProtection="1">
      <alignment horizontal="center" vertical="center" wrapText="1"/>
      <protection hidden="1"/>
    </xf>
    <xf numFmtId="9" fontId="28" fillId="0" borderId="9" xfId="1" applyFont="1" applyBorder="1" applyAlignment="1" applyProtection="1">
      <alignment horizontal="center" vertical="center" wrapText="1"/>
      <protection hidden="1"/>
    </xf>
    <xf numFmtId="2" fontId="24" fillId="12" borderId="28" xfId="0" applyNumberFormat="1" applyFont="1" applyFill="1" applyBorder="1" applyAlignment="1" applyProtection="1">
      <alignment horizontal="center" vertical="center" wrapText="1"/>
      <protection hidden="1"/>
    </xf>
    <xf numFmtId="0" fontId="24" fillId="12" borderId="22" xfId="0" applyFont="1" applyFill="1" applyBorder="1" applyAlignment="1" applyProtection="1">
      <alignment horizontal="center" vertical="center" wrapText="1"/>
      <protection hidden="1"/>
    </xf>
    <xf numFmtId="0" fontId="24" fillId="12" borderId="48" xfId="0" applyFont="1" applyFill="1" applyBorder="1" applyAlignment="1" applyProtection="1">
      <alignment horizontal="center" vertical="center" wrapText="1"/>
      <protection hidden="1"/>
    </xf>
    <xf numFmtId="9" fontId="28" fillId="0" borderId="7" xfId="1" applyFont="1" applyBorder="1" applyAlignment="1" applyProtection="1">
      <alignment horizontal="center" vertical="center" wrapText="1"/>
      <protection hidden="1"/>
    </xf>
    <xf numFmtId="165" fontId="32" fillId="3" borderId="16" xfId="0" applyNumberFormat="1" applyFont="1" applyFill="1" applyBorder="1" applyAlignment="1" applyProtection="1">
      <alignment vertical="top" wrapText="1"/>
      <protection hidden="1"/>
    </xf>
    <xf numFmtId="165" fontId="32" fillId="3" borderId="7" xfId="0" applyNumberFormat="1" applyFont="1" applyFill="1" applyBorder="1" applyAlignment="1" applyProtection="1">
      <alignment vertical="top" wrapText="1"/>
      <protection hidden="1"/>
    </xf>
    <xf numFmtId="0" fontId="3" fillId="3" borderId="16" xfId="0" applyFont="1" applyFill="1" applyBorder="1" applyAlignment="1" applyProtection="1">
      <alignment vertical="center" wrapText="1"/>
      <protection hidden="1"/>
    </xf>
    <xf numFmtId="0" fontId="3" fillId="3" borderId="6" xfId="0" applyFont="1" applyFill="1" applyBorder="1" applyAlignment="1" applyProtection="1">
      <alignment vertical="center" wrapText="1"/>
      <protection hidden="1"/>
    </xf>
    <xf numFmtId="165" fontId="26" fillId="0" borderId="54" xfId="0" applyNumberFormat="1" applyFont="1" applyBorder="1" applyAlignment="1" applyProtection="1">
      <alignment horizontal="center" vertical="top" wrapText="1"/>
      <protection hidden="1"/>
    </xf>
    <xf numFmtId="165" fontId="26" fillId="0" borderId="74" xfId="0" applyNumberFormat="1" applyFont="1" applyBorder="1" applyAlignment="1" applyProtection="1">
      <alignment horizontal="center" vertical="top" wrapText="1"/>
      <protection hidden="1"/>
    </xf>
    <xf numFmtId="2" fontId="24" fillId="12" borderId="54" xfId="0" applyNumberFormat="1" applyFont="1" applyFill="1" applyBorder="1" applyAlignment="1" applyProtection="1">
      <alignment horizontal="center" vertical="center" wrapText="1"/>
      <protection hidden="1"/>
    </xf>
    <xf numFmtId="1" fontId="24" fillId="0" borderId="14" xfId="1" applyNumberFormat="1" applyFont="1" applyBorder="1" applyAlignment="1" applyProtection="1">
      <alignment horizontal="center" vertical="center" wrapText="1"/>
      <protection hidden="1"/>
    </xf>
    <xf numFmtId="1" fontId="24" fillId="0" borderId="12" xfId="1" applyNumberFormat="1" applyFont="1" applyBorder="1" applyAlignment="1" applyProtection="1">
      <alignment horizontal="center" vertical="center" wrapText="1"/>
      <protection hidden="1"/>
    </xf>
    <xf numFmtId="2" fontId="24" fillId="12" borderId="15" xfId="0" applyNumberFormat="1" applyFont="1" applyFill="1" applyBorder="1" applyAlignment="1" applyProtection="1">
      <alignment horizontal="center" vertical="center" wrapText="1"/>
      <protection hidden="1"/>
    </xf>
    <xf numFmtId="1" fontId="24" fillId="0" borderId="11" xfId="1" applyNumberFormat="1" applyFont="1" applyBorder="1" applyAlignment="1" applyProtection="1">
      <alignment horizontal="center" vertical="center" wrapText="1"/>
      <protection hidden="1"/>
    </xf>
    <xf numFmtId="1" fontId="24" fillId="0" borderId="47" xfId="1" applyNumberFormat="1" applyFont="1" applyBorder="1" applyAlignment="1" applyProtection="1">
      <alignment horizontal="center" vertical="center" wrapText="1"/>
      <protection hidden="1"/>
    </xf>
    <xf numFmtId="1" fontId="24" fillId="12" borderId="11" xfId="1" applyNumberFormat="1" applyFont="1" applyFill="1" applyBorder="1" applyAlignment="1" applyProtection="1">
      <alignment horizontal="center" vertical="center" wrapText="1"/>
      <protection hidden="1"/>
    </xf>
    <xf numFmtId="1" fontId="24" fillId="12" borderId="47" xfId="1" applyNumberFormat="1" applyFont="1" applyFill="1" applyBorder="1" applyAlignment="1" applyProtection="1">
      <alignment horizontal="center" vertical="center" wrapText="1"/>
      <protection hidden="1"/>
    </xf>
    <xf numFmtId="2" fontId="24" fillId="12" borderId="21" xfId="0" applyNumberFormat="1" applyFont="1" applyFill="1" applyBorder="1" applyAlignment="1" applyProtection="1">
      <alignment horizontal="center" vertical="center" wrapText="1"/>
      <protection hidden="1"/>
    </xf>
    <xf numFmtId="165" fontId="24" fillId="12" borderId="48" xfId="0" applyNumberFormat="1" applyFont="1" applyFill="1" applyBorder="1" applyAlignment="1" applyProtection="1">
      <alignment horizontal="center" vertical="center" wrapText="1"/>
      <protection hidden="1"/>
    </xf>
    <xf numFmtId="0" fontId="0" fillId="2" borderId="5" xfId="0" applyFill="1" applyBorder="1" applyAlignment="1" applyProtection="1">
      <alignment vertical="center" wrapText="1"/>
      <protection hidden="1"/>
    </xf>
    <xf numFmtId="2" fontId="24" fillId="12" borderId="17" xfId="0" applyNumberFormat="1" applyFont="1" applyFill="1" applyBorder="1" applyAlignment="1" applyProtection="1">
      <alignment horizontal="center" vertical="center" wrapText="1"/>
      <protection hidden="1"/>
    </xf>
    <xf numFmtId="0" fontId="24" fillId="12" borderId="18" xfId="0" applyFont="1" applyFill="1" applyBorder="1" applyAlignment="1" applyProtection="1">
      <alignment horizontal="center" vertical="center" wrapText="1"/>
      <protection hidden="1"/>
    </xf>
    <xf numFmtId="165" fontId="24" fillId="12" borderId="46" xfId="0" applyNumberFormat="1" applyFont="1" applyFill="1" applyBorder="1" applyAlignment="1" applyProtection="1">
      <alignment horizontal="center" vertical="center" wrapText="1"/>
      <protection hidden="1"/>
    </xf>
    <xf numFmtId="165" fontId="24" fillId="12" borderId="47" xfId="0" applyNumberFormat="1" applyFont="1" applyFill="1" applyBorder="1" applyAlignment="1" applyProtection="1">
      <alignment horizontal="center" vertical="center" wrapText="1"/>
      <protection hidden="1"/>
    </xf>
    <xf numFmtId="165" fontId="10" fillId="11" borderId="42" xfId="0" applyNumberFormat="1" applyFont="1" applyFill="1" applyBorder="1" applyAlignment="1" applyProtection="1">
      <alignment vertical="top" wrapText="1"/>
      <protection hidden="1"/>
    </xf>
    <xf numFmtId="165" fontId="10" fillId="11" borderId="45" xfId="0" applyNumberFormat="1" applyFont="1" applyFill="1" applyBorder="1" applyAlignment="1" applyProtection="1">
      <alignment vertical="top" wrapText="1"/>
      <protection hidden="1"/>
    </xf>
    <xf numFmtId="0" fontId="10" fillId="11" borderId="42" xfId="0" applyFont="1" applyFill="1" applyBorder="1" applyAlignment="1" applyProtection="1">
      <alignment vertical="center" wrapText="1"/>
      <protection hidden="1"/>
    </xf>
    <xf numFmtId="0" fontId="10" fillId="11" borderId="44" xfId="0" applyFont="1" applyFill="1" applyBorder="1" applyAlignment="1" applyProtection="1">
      <alignment vertical="center" wrapText="1"/>
      <protection hidden="1"/>
    </xf>
    <xf numFmtId="0" fontId="32" fillId="11" borderId="5" xfId="0" applyFont="1" applyFill="1" applyBorder="1" applyAlignment="1" applyProtection="1">
      <alignment vertical="center" wrapText="1"/>
      <protection hidden="1"/>
    </xf>
    <xf numFmtId="9" fontId="23" fillId="11" borderId="45" xfId="1" applyFont="1" applyFill="1" applyBorder="1" applyAlignment="1" applyProtection="1">
      <alignment horizontal="center" vertical="center" wrapText="1"/>
      <protection hidden="1"/>
    </xf>
    <xf numFmtId="2" fontId="23" fillId="11" borderId="45" xfId="1" applyNumberFormat="1" applyFont="1" applyFill="1" applyBorder="1" applyAlignment="1" applyProtection="1">
      <alignment horizontal="center" vertical="center" wrapText="1"/>
      <protection hidden="1"/>
    </xf>
    <xf numFmtId="1" fontId="24" fillId="0" borderId="35" xfId="1" applyNumberFormat="1" applyFont="1" applyBorder="1" applyAlignment="1" applyProtection="1">
      <alignment horizontal="center" vertical="center" wrapText="1"/>
      <protection hidden="1"/>
    </xf>
    <xf numFmtId="165" fontId="26" fillId="0" borderId="50" xfId="0" applyNumberFormat="1" applyFont="1" applyBorder="1" applyAlignment="1" applyProtection="1">
      <alignment horizontal="center" vertical="top" wrapText="1"/>
      <protection hidden="1"/>
    </xf>
    <xf numFmtId="1" fontId="24" fillId="0" borderId="18" xfId="1" applyNumberFormat="1" applyFont="1" applyBorder="1" applyAlignment="1" applyProtection="1">
      <alignment horizontal="center" vertical="center" wrapText="1"/>
      <protection hidden="1"/>
    </xf>
    <xf numFmtId="0" fontId="24" fillId="0" borderId="46" xfId="0" applyFont="1" applyBorder="1" applyAlignment="1" applyProtection="1">
      <alignment horizontal="center" vertical="center" wrapText="1"/>
      <protection hidden="1"/>
    </xf>
    <xf numFmtId="9" fontId="0" fillId="0" borderId="45" xfId="0" applyNumberFormat="1" applyBorder="1" applyAlignment="1" applyProtection="1">
      <alignment horizontal="center" vertical="center" wrapText="1"/>
      <protection hidden="1"/>
    </xf>
    <xf numFmtId="1" fontId="24" fillId="0" borderId="22" xfId="1" applyNumberFormat="1" applyFont="1" applyBorder="1" applyAlignment="1" applyProtection="1">
      <alignment horizontal="center" vertical="center" wrapText="1"/>
      <protection hidden="1"/>
    </xf>
    <xf numFmtId="0" fontId="24" fillId="0" borderId="48" xfId="0" applyFont="1" applyBorder="1" applyAlignment="1" applyProtection="1">
      <alignment horizontal="center" vertical="center" wrapText="1"/>
      <protection hidden="1"/>
    </xf>
    <xf numFmtId="9" fontId="0" fillId="0" borderId="7" xfId="0" applyNumberFormat="1" applyBorder="1" applyAlignment="1" applyProtection="1">
      <alignment horizontal="center" vertical="center" wrapText="1"/>
      <protection hidden="1"/>
    </xf>
    <xf numFmtId="0" fontId="0" fillId="14" borderId="56" xfId="0" applyFill="1" applyBorder="1" applyProtection="1">
      <protection hidden="1"/>
    </xf>
    <xf numFmtId="0" fontId="0" fillId="14" borderId="57" xfId="0" applyFill="1" applyBorder="1" applyProtection="1">
      <protection hidden="1"/>
    </xf>
    <xf numFmtId="0" fontId="0" fillId="14" borderId="67" xfId="0" applyFill="1" applyBorder="1" applyProtection="1">
      <protection hidden="1"/>
    </xf>
    <xf numFmtId="0" fontId="0" fillId="14" borderId="65" xfId="0" applyFill="1" applyBorder="1" applyProtection="1">
      <protection hidden="1"/>
    </xf>
    <xf numFmtId="0" fontId="0" fillId="14" borderId="5" xfId="0" applyFill="1" applyBorder="1" applyProtection="1">
      <protection hidden="1"/>
    </xf>
    <xf numFmtId="9" fontId="0" fillId="14" borderId="7" xfId="0" applyNumberFormat="1" applyFill="1" applyBorder="1" applyProtection="1">
      <protection hidden="1"/>
    </xf>
    <xf numFmtId="9" fontId="0" fillId="14" borderId="6" xfId="0" applyNumberFormat="1" applyFill="1" applyBorder="1" applyProtection="1">
      <protection hidden="1"/>
    </xf>
    <xf numFmtId="165" fontId="25" fillId="0" borderId="17" xfId="1" applyNumberFormat="1" applyFont="1" applyBorder="1" applyAlignment="1" applyProtection="1">
      <alignment horizontal="center" vertical="center" wrapText="1"/>
      <protection hidden="1"/>
    </xf>
    <xf numFmtId="165" fontId="25" fillId="0" borderId="19" xfId="1" applyNumberFormat="1" applyFont="1" applyBorder="1" applyAlignment="1" applyProtection="1">
      <alignment horizontal="center" vertical="center" wrapText="1"/>
      <protection hidden="1"/>
    </xf>
    <xf numFmtId="0" fontId="24" fillId="8" borderId="29" xfId="0" applyFont="1" applyFill="1" applyBorder="1" applyAlignment="1" applyProtection="1">
      <alignment vertical="center" wrapText="1"/>
      <protection hidden="1"/>
    </xf>
    <xf numFmtId="165" fontId="25" fillId="0" borderId="38" xfId="1" applyNumberFormat="1" applyFont="1" applyBorder="1" applyAlignment="1" applyProtection="1">
      <alignment horizontal="center" vertical="center" wrapText="1"/>
      <protection hidden="1"/>
    </xf>
    <xf numFmtId="165" fontId="25" fillId="0" borderId="39" xfId="1" applyNumberFormat="1" applyFont="1" applyBorder="1" applyAlignment="1" applyProtection="1">
      <alignment horizontal="center" vertical="center" wrapText="1"/>
      <protection hidden="1"/>
    </xf>
    <xf numFmtId="2" fontId="22" fillId="11" borderId="5" xfId="1" applyNumberFormat="1" applyFont="1" applyFill="1" applyBorder="1" applyAlignment="1" applyProtection="1">
      <alignment horizontal="center" vertical="center" wrapText="1"/>
      <protection hidden="1"/>
    </xf>
    <xf numFmtId="0" fontId="24" fillId="8" borderId="31" xfId="0" applyFont="1" applyFill="1" applyBorder="1" applyAlignment="1" applyProtection="1">
      <alignment vertical="center" wrapText="1"/>
      <protection hidden="1"/>
    </xf>
    <xf numFmtId="165" fontId="12" fillId="0" borderId="19" xfId="1" applyNumberFormat="1" applyFont="1" applyBorder="1" applyAlignment="1" applyProtection="1">
      <alignment horizontal="center" vertical="center" wrapText="1"/>
      <protection hidden="1"/>
    </xf>
    <xf numFmtId="0" fontId="24" fillId="9" borderId="62" xfId="0" applyFont="1" applyFill="1" applyBorder="1" applyAlignment="1" applyProtection="1">
      <alignment vertical="center" wrapText="1"/>
      <protection hidden="1"/>
    </xf>
    <xf numFmtId="165" fontId="10" fillId="0" borderId="21" xfId="1" applyNumberFormat="1" applyFont="1" applyBorder="1" applyAlignment="1" applyProtection="1">
      <alignment horizontal="center" vertical="center" wrapText="1"/>
      <protection hidden="1"/>
    </xf>
    <xf numFmtId="165" fontId="10" fillId="0" borderId="23" xfId="1" applyNumberFormat="1" applyFont="1" applyBorder="1" applyAlignment="1" applyProtection="1">
      <alignment horizontal="center" vertical="center" wrapText="1"/>
      <protection hidden="1"/>
    </xf>
    <xf numFmtId="0" fontId="24" fillId="9" borderId="64" xfId="0" applyFont="1" applyFill="1" applyBorder="1" applyAlignment="1" applyProtection="1">
      <alignment vertical="center" wrapText="1"/>
      <protection hidden="1"/>
    </xf>
    <xf numFmtId="0" fontId="24" fillId="10" borderId="58" xfId="0" applyFont="1" applyFill="1" applyBorder="1" applyAlignment="1" applyProtection="1">
      <alignment vertical="center" wrapText="1"/>
      <protection hidden="1"/>
    </xf>
    <xf numFmtId="165" fontId="26" fillId="0" borderId="17" xfId="0" applyNumberFormat="1" applyFont="1" applyBorder="1" applyAlignment="1" applyProtection="1">
      <alignment horizontal="center" vertical="center" wrapText="1"/>
      <protection hidden="1"/>
    </xf>
    <xf numFmtId="165" fontId="26" fillId="0" borderId="19" xfId="0" applyNumberFormat="1" applyFont="1" applyBorder="1" applyAlignment="1" applyProtection="1">
      <alignment horizontal="center" vertical="center" wrapText="1"/>
      <protection hidden="1"/>
    </xf>
    <xf numFmtId="2" fontId="24" fillId="6" borderId="8" xfId="1" applyNumberFormat="1" applyFont="1" applyFill="1" applyBorder="1" applyAlignment="1" applyProtection="1">
      <alignment horizontal="center" vertical="center" wrapText="1"/>
      <protection hidden="1"/>
    </xf>
    <xf numFmtId="0" fontId="24" fillId="10" borderId="59" xfId="0" applyFont="1" applyFill="1" applyBorder="1" applyAlignment="1" applyProtection="1">
      <alignment vertical="center" wrapText="1"/>
      <protection hidden="1"/>
    </xf>
    <xf numFmtId="165" fontId="25" fillId="12" borderId="21" xfId="0" applyNumberFormat="1" applyFont="1" applyFill="1" applyBorder="1" applyAlignment="1" applyProtection="1">
      <alignment horizontal="center" vertical="center" wrapText="1"/>
      <protection hidden="1"/>
    </xf>
    <xf numFmtId="165" fontId="25" fillId="12" borderId="23" xfId="0" applyNumberFormat="1" applyFont="1" applyFill="1" applyBorder="1" applyAlignment="1" applyProtection="1">
      <alignment horizontal="center" vertical="center" wrapText="1"/>
      <protection hidden="1"/>
    </xf>
    <xf numFmtId="2" fontId="24" fillId="6" borderId="5" xfId="1" applyNumberFormat="1" applyFont="1" applyFill="1" applyBorder="1" applyAlignment="1" applyProtection="1">
      <alignment horizontal="center" vertical="center" wrapText="1"/>
      <protection hidden="1"/>
    </xf>
    <xf numFmtId="0" fontId="24" fillId="10" borderId="60" xfId="0" applyFont="1" applyFill="1" applyBorder="1" applyAlignment="1" applyProtection="1">
      <alignment vertical="center" wrapText="1"/>
      <protection hidden="1"/>
    </xf>
    <xf numFmtId="0" fontId="26" fillId="3" borderId="43" xfId="0" applyFont="1" applyFill="1" applyBorder="1" applyAlignment="1" applyProtection="1">
      <alignment vertical="center" wrapText="1"/>
      <protection hidden="1"/>
    </xf>
    <xf numFmtId="0" fontId="26" fillId="3" borderId="9" xfId="0" applyFont="1" applyFill="1" applyBorder="1" applyAlignment="1" applyProtection="1">
      <alignment vertical="center" wrapText="1"/>
      <protection hidden="1"/>
    </xf>
    <xf numFmtId="0" fontId="27" fillId="22" borderId="58" xfId="0" applyFont="1" applyFill="1" applyBorder="1" applyAlignment="1" applyProtection="1">
      <alignment vertical="center" wrapText="1"/>
      <protection hidden="1"/>
    </xf>
    <xf numFmtId="165" fontId="23" fillId="0" borderId="15" xfId="0" applyNumberFormat="1" applyFont="1" applyBorder="1" applyAlignment="1" applyProtection="1">
      <alignment horizontal="center" vertical="center" wrapText="1"/>
      <protection hidden="1"/>
    </xf>
    <xf numFmtId="2" fontId="22" fillId="11" borderId="8" xfId="1" applyNumberFormat="1" applyFont="1" applyFill="1" applyBorder="1" applyAlignment="1" applyProtection="1">
      <alignment horizontal="center" vertical="center" wrapText="1"/>
      <protection hidden="1"/>
    </xf>
    <xf numFmtId="0" fontId="27" fillId="22" borderId="59" xfId="0" applyFont="1" applyFill="1" applyBorder="1" applyAlignment="1" applyProtection="1">
      <alignment vertical="center" wrapText="1"/>
      <protection hidden="1"/>
    </xf>
    <xf numFmtId="165" fontId="22" fillId="0" borderId="15" xfId="0" applyNumberFormat="1" applyFont="1" applyBorder="1" applyAlignment="1" applyProtection="1">
      <alignment horizontal="center" vertical="center" wrapText="1"/>
      <protection hidden="1"/>
    </xf>
    <xf numFmtId="165" fontId="48" fillId="25" borderId="20" xfId="0" applyNumberFormat="1" applyFont="1" applyFill="1" applyBorder="1" applyAlignment="1" applyProtection="1">
      <alignment horizontal="center" vertical="center" wrapText="1"/>
      <protection hidden="1"/>
    </xf>
    <xf numFmtId="165" fontId="23" fillId="0" borderId="21" xfId="0" applyNumberFormat="1" applyFont="1" applyBorder="1" applyAlignment="1" applyProtection="1">
      <alignment horizontal="center" vertical="center" wrapText="1"/>
      <protection hidden="1"/>
    </xf>
    <xf numFmtId="165" fontId="23" fillId="0" borderId="23" xfId="0" applyNumberFormat="1" applyFont="1" applyBorder="1" applyAlignment="1" applyProtection="1">
      <alignment horizontal="center" vertical="center" wrapText="1"/>
      <protection hidden="1"/>
    </xf>
    <xf numFmtId="0" fontId="27" fillId="22" borderId="60" xfId="0" applyFont="1" applyFill="1" applyBorder="1" applyAlignment="1" applyProtection="1">
      <alignment vertical="center" wrapText="1"/>
      <protection hidden="1"/>
    </xf>
    <xf numFmtId="165" fontId="49" fillId="25" borderId="17" xfId="0" applyNumberFormat="1" applyFont="1" applyFill="1" applyBorder="1" applyAlignment="1" applyProtection="1">
      <alignment horizontal="center" vertical="center" wrapText="1"/>
      <protection hidden="1"/>
    </xf>
    <xf numFmtId="0" fontId="38" fillId="25" borderId="19" xfId="0" applyFont="1" applyFill="1" applyBorder="1" applyAlignment="1" applyProtection="1">
      <alignment horizontal="center" vertical="center" wrapText="1"/>
      <protection hidden="1"/>
    </xf>
    <xf numFmtId="0" fontId="24" fillId="8" borderId="58" xfId="0" applyFont="1" applyFill="1" applyBorder="1" applyAlignment="1" applyProtection="1">
      <alignment vertical="center" wrapText="1"/>
      <protection hidden="1"/>
    </xf>
    <xf numFmtId="0" fontId="23" fillId="0" borderId="15" xfId="0" applyFont="1" applyBorder="1" applyAlignment="1" applyProtection="1">
      <alignment horizontal="center" vertical="center" wrapText="1"/>
      <protection hidden="1"/>
    </xf>
    <xf numFmtId="0" fontId="23" fillId="0" borderId="20" xfId="0" applyFont="1" applyBorder="1" applyAlignment="1" applyProtection="1">
      <alignment horizontal="center" vertical="center" wrapText="1"/>
      <protection hidden="1"/>
    </xf>
    <xf numFmtId="0" fontId="24" fillId="8" borderId="59" xfId="0" applyFont="1" applyFill="1" applyBorder="1" applyAlignment="1" applyProtection="1">
      <alignment vertical="center" wrapText="1"/>
      <protection hidden="1"/>
    </xf>
    <xf numFmtId="0" fontId="25" fillId="25" borderId="15" xfId="0" applyFont="1" applyFill="1" applyBorder="1" applyAlignment="1" applyProtection="1">
      <alignment horizontal="center" vertical="center" wrapText="1"/>
      <protection hidden="1"/>
    </xf>
    <xf numFmtId="0" fontId="25" fillId="25" borderId="20" xfId="0" applyFont="1" applyFill="1" applyBorder="1" applyAlignment="1" applyProtection="1">
      <alignment horizontal="center" vertical="center" wrapText="1"/>
      <protection hidden="1"/>
    </xf>
    <xf numFmtId="0" fontId="25" fillId="0" borderId="21" xfId="0" applyFont="1" applyBorder="1" applyAlignment="1" applyProtection="1">
      <alignment horizontal="center" vertical="center" wrapText="1"/>
      <protection hidden="1"/>
    </xf>
    <xf numFmtId="0" fontId="25" fillId="0" borderId="23" xfId="0" applyFont="1" applyBorder="1" applyAlignment="1" applyProtection="1">
      <alignment horizontal="center" vertical="center" wrapText="1"/>
      <protection hidden="1"/>
    </xf>
    <xf numFmtId="0" fontId="24" fillId="8" borderId="60" xfId="0" applyFont="1" applyFill="1" applyBorder="1" applyAlignment="1" applyProtection="1">
      <alignment vertical="center" wrapText="1"/>
      <protection hidden="1"/>
    </xf>
    <xf numFmtId="0" fontId="26" fillId="3" borderId="70" xfId="0" applyFont="1" applyFill="1" applyBorder="1" applyAlignment="1" applyProtection="1">
      <alignment vertical="center" wrapText="1"/>
      <protection hidden="1"/>
    </xf>
    <xf numFmtId="0" fontId="26" fillId="3" borderId="71" xfId="0" applyFont="1" applyFill="1" applyBorder="1" applyAlignment="1" applyProtection="1">
      <alignment vertical="center" wrapText="1"/>
      <protection hidden="1"/>
    </xf>
    <xf numFmtId="165" fontId="23" fillId="12" borderId="50" xfId="0" applyNumberFormat="1" applyFont="1" applyFill="1" applyBorder="1" applyAlignment="1" applyProtection="1">
      <alignment horizontal="center" vertical="center" wrapText="1"/>
      <protection hidden="1"/>
    </xf>
    <xf numFmtId="165" fontId="23" fillId="12" borderId="52" xfId="0" applyNumberFormat="1" applyFont="1" applyFill="1" applyBorder="1" applyAlignment="1" applyProtection="1">
      <alignment horizontal="center" vertical="center" wrapText="1"/>
      <protection hidden="1"/>
    </xf>
    <xf numFmtId="0" fontId="24" fillId="4" borderId="51" xfId="0" applyFont="1" applyFill="1" applyBorder="1" applyAlignment="1" applyProtection="1">
      <alignment vertical="center" wrapText="1"/>
      <protection hidden="1"/>
    </xf>
    <xf numFmtId="165" fontId="23" fillId="0" borderId="50" xfId="0" applyNumberFormat="1" applyFont="1" applyBorder="1" applyAlignment="1" applyProtection="1">
      <alignment horizontal="center" vertical="center" wrapText="1"/>
      <protection hidden="1"/>
    </xf>
    <xf numFmtId="165" fontId="23" fillId="0" borderId="36" xfId="0" applyNumberFormat="1" applyFont="1" applyBorder="1" applyAlignment="1" applyProtection="1">
      <alignment horizontal="center" vertical="center" wrapText="1"/>
      <protection hidden="1"/>
    </xf>
    <xf numFmtId="0" fontId="22" fillId="0" borderId="75" xfId="0" applyFont="1" applyBorder="1" applyAlignment="1" applyProtection="1">
      <alignment horizontal="center" vertical="center" wrapText="1"/>
      <protection hidden="1"/>
    </xf>
    <xf numFmtId="0" fontId="26" fillId="12" borderId="50" xfId="0" applyFont="1" applyFill="1" applyBorder="1" applyAlignment="1" applyProtection="1">
      <alignment horizontal="center" vertical="center" wrapText="1"/>
      <protection hidden="1"/>
    </xf>
    <xf numFmtId="0" fontId="26" fillId="12" borderId="52" xfId="0" applyFont="1" applyFill="1" applyBorder="1" applyAlignment="1" applyProtection="1">
      <alignment horizontal="center" vertical="center" wrapText="1"/>
      <protection hidden="1"/>
    </xf>
    <xf numFmtId="0" fontId="23" fillId="12" borderId="50" xfId="0" applyFont="1" applyFill="1" applyBorder="1" applyAlignment="1" applyProtection="1">
      <alignment horizontal="center" vertical="center" wrapText="1"/>
      <protection hidden="1"/>
    </xf>
    <xf numFmtId="0" fontId="23" fillId="12" borderId="52" xfId="0" applyFont="1" applyFill="1" applyBorder="1" applyAlignment="1" applyProtection="1">
      <alignment horizontal="center" vertical="center" wrapText="1"/>
      <protection hidden="1"/>
    </xf>
    <xf numFmtId="0" fontId="22" fillId="4" borderId="51" xfId="0" applyFont="1" applyFill="1" applyBorder="1" applyAlignment="1" applyProtection="1">
      <alignment vertical="center" wrapText="1"/>
      <protection hidden="1"/>
    </xf>
    <xf numFmtId="0" fontId="6" fillId="3" borderId="7" xfId="0" applyFont="1" applyFill="1" applyBorder="1" applyAlignment="1" applyProtection="1">
      <alignment vertical="center" wrapText="1"/>
      <protection hidden="1"/>
    </xf>
    <xf numFmtId="166" fontId="26" fillId="30" borderId="17" xfId="0" applyNumberFormat="1" applyFont="1" applyFill="1" applyBorder="1" applyAlignment="1" applyProtection="1">
      <alignment horizontal="center" vertical="center" wrapText="1"/>
      <protection hidden="1"/>
    </xf>
    <xf numFmtId="166" fontId="26" fillId="30" borderId="19" xfId="0" applyNumberFormat="1" applyFont="1" applyFill="1" applyBorder="1" applyAlignment="1" applyProtection="1">
      <alignment horizontal="center" vertical="center" wrapText="1"/>
      <protection hidden="1"/>
    </xf>
    <xf numFmtId="4" fontId="24" fillId="0" borderId="49" xfId="0" applyNumberFormat="1" applyFont="1" applyBorder="1" applyAlignment="1" applyProtection="1">
      <alignment horizontal="center" vertical="center" wrapText="1"/>
      <protection hidden="1"/>
    </xf>
    <xf numFmtId="0" fontId="24" fillId="22" borderId="58" xfId="0" applyFont="1" applyFill="1" applyBorder="1" applyAlignment="1" applyProtection="1">
      <alignment vertical="center" wrapText="1"/>
      <protection hidden="1"/>
    </xf>
    <xf numFmtId="165" fontId="23" fillId="25" borderId="21" xfId="0" applyNumberFormat="1" applyFont="1" applyFill="1" applyBorder="1" applyAlignment="1" applyProtection="1">
      <alignment horizontal="center" vertical="center" wrapText="1"/>
      <protection hidden="1"/>
    </xf>
    <xf numFmtId="165" fontId="23" fillId="25" borderId="23" xfId="0" applyNumberFormat="1" applyFont="1" applyFill="1" applyBorder="1" applyAlignment="1" applyProtection="1">
      <alignment horizontal="center" vertical="center" wrapText="1"/>
      <protection hidden="1"/>
    </xf>
    <xf numFmtId="0" fontId="24" fillId="12" borderId="27" xfId="0" applyFont="1" applyFill="1" applyBorder="1" applyAlignment="1" applyProtection="1">
      <alignment horizontal="center" vertical="center" wrapText="1"/>
      <protection hidden="1"/>
    </xf>
    <xf numFmtId="0" fontId="24" fillId="22" borderId="59" xfId="0" applyFont="1" applyFill="1" applyBorder="1" applyAlignment="1" applyProtection="1">
      <alignment vertical="center" wrapText="1"/>
      <protection hidden="1"/>
    </xf>
    <xf numFmtId="0" fontId="26" fillId="3" borderId="16" xfId="0" applyFont="1" applyFill="1" applyBorder="1" applyAlignment="1" applyProtection="1">
      <alignment vertical="center" wrapText="1"/>
      <protection hidden="1"/>
    </xf>
    <xf numFmtId="0" fontId="26" fillId="3" borderId="7" xfId="0" applyFont="1" applyFill="1" applyBorder="1" applyAlignment="1" applyProtection="1">
      <alignment vertical="center" wrapText="1"/>
      <protection hidden="1"/>
    </xf>
    <xf numFmtId="0" fontId="6" fillId="3" borderId="45" xfId="0" applyFont="1" applyFill="1" applyBorder="1" applyAlignment="1" applyProtection="1">
      <alignment vertical="center" wrapText="1"/>
      <protection hidden="1"/>
    </xf>
    <xf numFmtId="0" fontId="23" fillId="0" borderId="54" xfId="0" applyFont="1" applyBorder="1" applyAlignment="1" applyProtection="1">
      <alignment horizontal="center" vertical="center" wrapText="1"/>
      <protection hidden="1"/>
    </xf>
    <xf numFmtId="0" fontId="23" fillId="0" borderId="12" xfId="0" applyFont="1" applyBorder="1" applyAlignment="1" applyProtection="1">
      <alignment horizontal="center" vertical="center" wrapText="1"/>
      <protection hidden="1"/>
    </xf>
    <xf numFmtId="0" fontId="24" fillId="5" borderId="27" xfId="0" applyFont="1" applyFill="1" applyBorder="1" applyAlignment="1" applyProtection="1">
      <alignment vertical="center" wrapText="1"/>
      <protection hidden="1"/>
    </xf>
    <xf numFmtId="165" fontId="23" fillId="25" borderId="15" xfId="0" applyNumberFormat="1" applyFont="1" applyFill="1" applyBorder="1" applyAlignment="1" applyProtection="1">
      <alignment horizontal="center" vertical="center" wrapText="1"/>
      <protection hidden="1"/>
    </xf>
    <xf numFmtId="165" fontId="23" fillId="25" borderId="20" xfId="0" applyNumberFormat="1" applyFont="1" applyFill="1" applyBorder="1" applyAlignment="1" applyProtection="1">
      <alignment horizontal="center" vertical="center" wrapText="1"/>
      <protection hidden="1"/>
    </xf>
    <xf numFmtId="0" fontId="26" fillId="3" borderId="2" xfId="0" applyFont="1" applyFill="1" applyBorder="1" applyAlignment="1" applyProtection="1">
      <alignment vertical="center" wrapText="1"/>
      <protection hidden="1"/>
    </xf>
    <xf numFmtId="0" fontId="26" fillId="3" borderId="4" xfId="0" applyFont="1" applyFill="1" applyBorder="1" applyAlignment="1" applyProtection="1">
      <alignment vertical="center" wrapText="1"/>
      <protection hidden="1"/>
    </xf>
    <xf numFmtId="0" fontId="3" fillId="3" borderId="45" xfId="0" applyFont="1" applyFill="1" applyBorder="1" applyAlignment="1" applyProtection="1">
      <alignment vertical="center" wrapText="1"/>
      <protection hidden="1"/>
    </xf>
    <xf numFmtId="0" fontId="23" fillId="12" borderId="17" xfId="0" applyFont="1" applyFill="1" applyBorder="1" applyAlignment="1" applyProtection="1">
      <alignment horizontal="center" vertical="center" wrapText="1"/>
      <protection hidden="1"/>
    </xf>
    <xf numFmtId="0" fontId="23" fillId="12" borderId="19" xfId="0" applyFont="1" applyFill="1" applyBorder="1" applyAlignment="1" applyProtection="1">
      <alignment horizontal="center" vertical="center" wrapText="1"/>
      <protection hidden="1"/>
    </xf>
    <xf numFmtId="0" fontId="24" fillId="10" borderId="29" xfId="0" applyFont="1" applyFill="1" applyBorder="1" applyAlignment="1" applyProtection="1">
      <alignment vertical="center" wrapText="1"/>
      <protection hidden="1"/>
    </xf>
    <xf numFmtId="0" fontId="23" fillId="12" borderId="21" xfId="0" applyFont="1" applyFill="1" applyBorder="1" applyAlignment="1" applyProtection="1">
      <alignment horizontal="center" vertical="center" wrapText="1"/>
      <protection hidden="1"/>
    </xf>
    <xf numFmtId="0" fontId="23" fillId="12" borderId="23" xfId="0" applyFont="1" applyFill="1" applyBorder="1" applyAlignment="1" applyProtection="1">
      <alignment horizontal="center" vertical="center" wrapText="1"/>
      <protection hidden="1"/>
    </xf>
    <xf numFmtId="0" fontId="24" fillId="10" borderId="31" xfId="0" applyFont="1" applyFill="1" applyBorder="1" applyAlignment="1" applyProtection="1">
      <alignment vertical="center" wrapText="1"/>
      <protection hidden="1"/>
    </xf>
    <xf numFmtId="0" fontId="41" fillId="2" borderId="16" xfId="0" applyFont="1" applyFill="1" applyBorder="1" applyAlignment="1" applyProtection="1">
      <alignment vertical="center" wrapText="1"/>
      <protection hidden="1"/>
    </xf>
    <xf numFmtId="0" fontId="41" fillId="2" borderId="7" xfId="0" applyFont="1" applyFill="1" applyBorder="1" applyAlignment="1" applyProtection="1">
      <alignment vertical="center" wrapText="1"/>
      <protection hidden="1"/>
    </xf>
    <xf numFmtId="0" fontId="0" fillId="2" borderId="7" xfId="0" applyFill="1" applyBorder="1" applyAlignment="1" applyProtection="1">
      <alignment vertical="center" wrapText="1"/>
      <protection hidden="1"/>
    </xf>
    <xf numFmtId="0" fontId="38" fillId="0" borderId="17" xfId="0" applyFont="1" applyBorder="1" applyAlignment="1" applyProtection="1">
      <alignment horizontal="center" vertical="center" wrapText="1"/>
      <protection hidden="1"/>
    </xf>
    <xf numFmtId="0" fontId="38" fillId="0" borderId="46" xfId="0" applyFont="1" applyBorder="1" applyAlignment="1" applyProtection="1">
      <alignment horizontal="center" vertical="center" wrapText="1"/>
      <protection hidden="1"/>
    </xf>
    <xf numFmtId="0" fontId="25" fillId="0" borderId="56" xfId="0" applyFont="1" applyBorder="1" applyAlignment="1" applyProtection="1">
      <alignment horizontal="center" vertical="center" wrapText="1"/>
      <protection hidden="1"/>
    </xf>
    <xf numFmtId="0" fontId="25" fillId="0" borderId="65" xfId="0" applyFont="1" applyBorder="1" applyAlignment="1" applyProtection="1">
      <alignment horizontal="center" vertical="center" wrapText="1"/>
      <protection hidden="1"/>
    </xf>
    <xf numFmtId="0" fontId="41" fillId="3" borderId="2" xfId="0" applyFont="1" applyFill="1" applyBorder="1" applyAlignment="1" applyProtection="1">
      <alignment vertical="center" wrapText="1"/>
      <protection hidden="1"/>
    </xf>
    <xf numFmtId="0" fontId="41" fillId="3" borderId="4" xfId="0" applyFont="1" applyFill="1" applyBorder="1" applyAlignment="1" applyProtection="1">
      <alignment vertical="center" wrapText="1"/>
      <protection hidden="1"/>
    </xf>
    <xf numFmtId="0" fontId="0" fillId="3" borderId="0" xfId="0" applyFill="1" applyAlignment="1" applyProtection="1">
      <alignment vertical="center" wrapText="1"/>
      <protection hidden="1"/>
    </xf>
    <xf numFmtId="0" fontId="26" fillId="12" borderId="36" xfId="0" applyFont="1" applyFill="1" applyBorder="1" applyAlignment="1" applyProtection="1">
      <alignment horizontal="center" vertical="center" wrapText="1"/>
      <protection hidden="1"/>
    </xf>
    <xf numFmtId="0" fontId="5" fillId="12" borderId="45" xfId="0" applyFont="1" applyFill="1" applyBorder="1" applyAlignment="1" applyProtection="1">
      <alignment vertical="center" wrapText="1"/>
      <protection hidden="1"/>
    </xf>
    <xf numFmtId="0" fontId="26" fillId="3" borderId="42" xfId="0" applyFont="1" applyFill="1" applyBorder="1" applyAlignment="1" applyProtection="1">
      <alignment vertical="center" wrapText="1"/>
      <protection hidden="1"/>
    </xf>
    <xf numFmtId="0" fontId="26" fillId="3" borderId="45" xfId="0" applyFont="1" applyFill="1" applyBorder="1" applyAlignment="1" applyProtection="1">
      <alignment vertical="center" wrapText="1"/>
      <protection hidden="1"/>
    </xf>
    <xf numFmtId="0" fontId="3" fillId="3" borderId="4" xfId="0" applyFont="1" applyFill="1" applyBorder="1" applyAlignment="1" applyProtection="1">
      <alignment vertical="center" wrapText="1"/>
      <protection hidden="1"/>
    </xf>
    <xf numFmtId="0" fontId="24" fillId="12" borderId="17" xfId="0" applyFont="1" applyFill="1" applyBorder="1" applyAlignment="1" applyProtection="1">
      <alignment horizontal="center" vertical="center" wrapText="1"/>
      <protection hidden="1"/>
    </xf>
    <xf numFmtId="0" fontId="24" fillId="12" borderId="19" xfId="0" applyFont="1" applyFill="1" applyBorder="1" applyAlignment="1" applyProtection="1">
      <alignment horizontal="center" vertical="center" wrapText="1"/>
      <protection hidden="1"/>
    </xf>
    <xf numFmtId="0" fontId="24" fillId="19" borderId="29" xfId="0" applyFont="1" applyFill="1" applyBorder="1" applyAlignment="1" applyProtection="1">
      <alignment vertical="center" wrapText="1"/>
      <protection hidden="1"/>
    </xf>
    <xf numFmtId="2" fontId="24" fillId="0" borderId="8" xfId="1" applyNumberFormat="1" applyFont="1" applyBorder="1" applyAlignment="1" applyProtection="1">
      <alignment horizontal="center" vertical="center" wrapText="1"/>
      <protection hidden="1"/>
    </xf>
    <xf numFmtId="0" fontId="24" fillId="19" borderId="30" xfId="0" applyFont="1" applyFill="1" applyBorder="1" applyAlignment="1" applyProtection="1">
      <alignment vertical="center" wrapText="1"/>
      <protection hidden="1"/>
    </xf>
    <xf numFmtId="0" fontId="26" fillId="0" borderId="15" xfId="0" applyFont="1" applyBorder="1" applyAlignment="1" applyProtection="1">
      <alignment horizontal="center" vertical="center" wrapText="1"/>
      <protection hidden="1"/>
    </xf>
    <xf numFmtId="0" fontId="26" fillId="0" borderId="20" xfId="0" applyFont="1" applyBorder="1" applyAlignment="1" applyProtection="1">
      <alignment horizontal="center" vertical="center" wrapText="1"/>
      <protection hidden="1"/>
    </xf>
    <xf numFmtId="2" fontId="24" fillId="0" borderId="5" xfId="1" applyNumberFormat="1" applyFont="1" applyBorder="1" applyAlignment="1" applyProtection="1">
      <alignment horizontal="center" vertical="center" wrapText="1"/>
      <protection hidden="1"/>
    </xf>
    <xf numFmtId="0" fontId="24" fillId="19" borderId="31" xfId="0" applyFont="1" applyFill="1" applyBorder="1" applyAlignment="1" applyProtection="1">
      <alignment vertical="center" wrapText="1"/>
      <protection hidden="1"/>
    </xf>
    <xf numFmtId="0" fontId="2" fillId="2" borderId="7" xfId="0" applyFont="1" applyFill="1" applyBorder="1" applyAlignment="1" applyProtection="1">
      <alignment vertical="center" wrapText="1"/>
      <protection hidden="1"/>
    </xf>
    <xf numFmtId="165" fontId="23" fillId="25" borderId="17" xfId="0" applyNumberFormat="1" applyFont="1" applyFill="1" applyBorder="1" applyAlignment="1" applyProtection="1">
      <alignment horizontal="center" vertical="center" wrapText="1"/>
      <protection hidden="1"/>
    </xf>
    <xf numFmtId="165" fontId="23" fillId="25" borderId="19" xfId="0" applyNumberFormat="1" applyFont="1" applyFill="1" applyBorder="1" applyAlignment="1" applyProtection="1">
      <alignment horizontal="center" vertical="center" wrapText="1"/>
      <protection hidden="1"/>
    </xf>
    <xf numFmtId="1" fontId="23" fillId="0" borderId="15" xfId="0" applyNumberFormat="1" applyFont="1" applyBorder="1" applyAlignment="1" applyProtection="1">
      <alignment horizontal="center" vertical="center" wrapText="1"/>
      <protection hidden="1"/>
    </xf>
    <xf numFmtId="1" fontId="23" fillId="0" borderId="20" xfId="0" applyNumberFormat="1" applyFont="1" applyBorder="1" applyAlignment="1" applyProtection="1">
      <alignment horizontal="center" vertical="center" wrapText="1"/>
      <protection hidden="1"/>
    </xf>
    <xf numFmtId="165" fontId="23" fillId="0" borderId="20" xfId="0" applyNumberFormat="1" applyFont="1" applyBorder="1" applyAlignment="1" applyProtection="1">
      <alignment horizontal="center" vertical="center" wrapText="1"/>
      <protection hidden="1"/>
    </xf>
    <xf numFmtId="0" fontId="24" fillId="22" borderId="60" xfId="0" applyFont="1" applyFill="1" applyBorder="1" applyAlignment="1" applyProtection="1">
      <alignment vertical="center" wrapText="1"/>
      <protection hidden="1"/>
    </xf>
    <xf numFmtId="0" fontId="3" fillId="3" borderId="7" xfId="0" applyFont="1" applyFill="1" applyBorder="1" applyAlignment="1" applyProtection="1">
      <alignment vertical="center" wrapText="1"/>
      <protection hidden="1"/>
    </xf>
    <xf numFmtId="2" fontId="26" fillId="0" borderId="50" xfId="0" applyNumberFormat="1" applyFont="1" applyBorder="1" applyAlignment="1" applyProtection="1">
      <alignment horizontal="center" vertical="center" wrapText="1"/>
      <protection hidden="1"/>
    </xf>
    <xf numFmtId="0" fontId="26" fillId="0" borderId="36" xfId="0" applyFont="1" applyBorder="1" applyAlignment="1" applyProtection="1">
      <alignment horizontal="center" vertical="center" wrapText="1"/>
      <protection hidden="1"/>
    </xf>
    <xf numFmtId="0" fontId="22" fillId="0" borderId="3" xfId="0" applyFont="1" applyBorder="1" applyAlignment="1" applyProtection="1">
      <alignment horizontal="left" vertical="center" wrapText="1"/>
      <protection hidden="1"/>
    </xf>
    <xf numFmtId="0" fontId="41" fillId="9" borderId="2" xfId="0" applyFont="1" applyFill="1" applyBorder="1" applyAlignment="1" applyProtection="1">
      <alignment vertical="center" wrapText="1"/>
      <protection hidden="1"/>
    </xf>
    <xf numFmtId="0" fontId="41" fillId="9" borderId="4" xfId="0" applyFont="1" applyFill="1" applyBorder="1" applyAlignment="1" applyProtection="1">
      <alignment vertical="center" wrapText="1"/>
      <protection hidden="1"/>
    </xf>
    <xf numFmtId="0" fontId="0" fillId="9" borderId="3" xfId="0" applyFill="1" applyBorder="1" applyAlignment="1" applyProtection="1">
      <alignment vertical="center" wrapText="1"/>
      <protection hidden="1"/>
    </xf>
    <xf numFmtId="165" fontId="23" fillId="12" borderId="15" xfId="0" applyNumberFormat="1" applyFont="1" applyFill="1" applyBorder="1" applyAlignment="1" applyProtection="1">
      <alignment horizontal="center" vertical="center" wrapText="1"/>
      <protection hidden="1"/>
    </xf>
    <xf numFmtId="165" fontId="23" fillId="12" borderId="20" xfId="0" applyNumberFormat="1" applyFont="1" applyFill="1" applyBorder="1" applyAlignment="1" applyProtection="1">
      <alignment horizontal="center" vertical="center" wrapText="1"/>
      <protection hidden="1"/>
    </xf>
    <xf numFmtId="0" fontId="22" fillId="9" borderId="27" xfId="0" applyFont="1" applyFill="1" applyBorder="1" applyAlignment="1" applyProtection="1">
      <alignment vertical="center" wrapText="1"/>
      <protection hidden="1"/>
    </xf>
    <xf numFmtId="0" fontId="6" fillId="3" borderId="4" xfId="0" applyFont="1" applyFill="1" applyBorder="1" applyAlignment="1" applyProtection="1">
      <alignment vertical="center" wrapText="1"/>
      <protection hidden="1"/>
    </xf>
    <xf numFmtId="0" fontId="24" fillId="21" borderId="4" xfId="0" applyFont="1" applyFill="1" applyBorder="1" applyAlignment="1" applyProtection="1">
      <alignment vertical="center" wrapText="1"/>
      <protection hidden="1"/>
    </xf>
    <xf numFmtId="0" fontId="26" fillId="12" borderId="1" xfId="0" applyFont="1" applyFill="1" applyBorder="1" applyAlignment="1" applyProtection="1">
      <alignment horizontal="center" vertical="center" wrapText="1"/>
      <protection hidden="1"/>
    </xf>
    <xf numFmtId="0" fontId="24" fillId="17" borderId="27" xfId="0" applyFont="1" applyFill="1" applyBorder="1" applyAlignment="1" applyProtection="1">
      <alignment vertical="center" wrapText="1"/>
      <protection hidden="1"/>
    </xf>
    <xf numFmtId="0" fontId="41" fillId="2" borderId="2" xfId="0" applyFont="1" applyFill="1" applyBorder="1" applyAlignment="1" applyProtection="1">
      <alignment vertical="center" wrapText="1"/>
      <protection hidden="1"/>
    </xf>
    <xf numFmtId="0" fontId="41" fillId="2" borderId="4" xfId="0" applyFont="1" applyFill="1" applyBorder="1" applyAlignment="1" applyProtection="1">
      <alignment vertical="center" wrapText="1"/>
      <protection hidden="1"/>
    </xf>
    <xf numFmtId="0" fontId="0" fillId="2" borderId="4" xfId="0" applyFill="1" applyBorder="1" applyAlignment="1" applyProtection="1">
      <alignment vertical="center" wrapText="1"/>
      <protection hidden="1"/>
    </xf>
    <xf numFmtId="0" fontId="23" fillId="0" borderId="50" xfId="0" applyFont="1" applyBorder="1" applyAlignment="1" applyProtection="1">
      <alignment horizontal="center" vertical="center" wrapText="1"/>
      <protection hidden="1"/>
    </xf>
    <xf numFmtId="0" fontId="23" fillId="0" borderId="52" xfId="0" applyFont="1" applyBorder="1" applyAlignment="1" applyProtection="1">
      <alignment horizontal="center" vertical="center" wrapText="1"/>
      <protection hidden="1"/>
    </xf>
    <xf numFmtId="0" fontId="24" fillId="8" borderId="27" xfId="0" applyFont="1" applyFill="1" applyBorder="1" applyAlignment="1" applyProtection="1">
      <alignment vertical="center" wrapText="1"/>
      <protection hidden="1"/>
    </xf>
    <xf numFmtId="0" fontId="3" fillId="11" borderId="45" xfId="0" applyFont="1" applyFill="1" applyBorder="1" applyAlignment="1" applyProtection="1">
      <alignment vertical="center" wrapText="1"/>
      <protection hidden="1"/>
    </xf>
    <xf numFmtId="0" fontId="23" fillId="0" borderId="17" xfId="0" applyFont="1" applyBorder="1" applyAlignment="1" applyProtection="1">
      <alignment horizontal="center" vertical="center" wrapText="1"/>
      <protection hidden="1"/>
    </xf>
    <xf numFmtId="0" fontId="23" fillId="0" borderId="19" xfId="0" applyFont="1" applyBorder="1" applyAlignment="1" applyProtection="1">
      <alignment horizontal="center" vertical="center" wrapText="1"/>
      <protection hidden="1"/>
    </xf>
    <xf numFmtId="0" fontId="24" fillId="9" borderId="29" xfId="0" applyFont="1" applyFill="1" applyBorder="1" applyAlignment="1" applyProtection="1">
      <alignment vertical="center" wrapText="1"/>
      <protection hidden="1"/>
    </xf>
    <xf numFmtId="0" fontId="23" fillId="0" borderId="21" xfId="0" applyFont="1" applyBorder="1" applyAlignment="1" applyProtection="1">
      <alignment horizontal="center" vertical="center" wrapText="1"/>
      <protection hidden="1"/>
    </xf>
    <xf numFmtId="0" fontId="23" fillId="0" borderId="23" xfId="0" applyFont="1" applyBorder="1" applyAlignment="1" applyProtection="1">
      <alignment horizontal="center" vertical="center" wrapText="1"/>
      <protection hidden="1"/>
    </xf>
    <xf numFmtId="0" fontId="24" fillId="9" borderId="31" xfId="0" applyFont="1" applyFill="1" applyBorder="1" applyAlignment="1" applyProtection="1">
      <alignment vertical="center" wrapText="1"/>
      <protection hidden="1"/>
    </xf>
    <xf numFmtId="0" fontId="24" fillId="9" borderId="58" xfId="0" applyFont="1" applyFill="1" applyBorder="1" applyAlignment="1" applyProtection="1">
      <alignment vertical="center" wrapText="1"/>
      <protection hidden="1"/>
    </xf>
    <xf numFmtId="0" fontId="22" fillId="25" borderId="15" xfId="0" applyFont="1" applyFill="1" applyBorder="1" applyAlignment="1" applyProtection="1">
      <alignment horizontal="center" vertical="center" wrapText="1"/>
      <protection hidden="1"/>
    </xf>
    <xf numFmtId="0" fontId="24" fillId="25" borderId="20" xfId="0" applyFont="1" applyFill="1" applyBorder="1" applyAlignment="1" applyProtection="1">
      <alignment horizontal="center" vertical="center" wrapText="1"/>
      <protection hidden="1"/>
    </xf>
    <xf numFmtId="0" fontId="24" fillId="9" borderId="59" xfId="0" applyFont="1" applyFill="1" applyBorder="1" applyAlignment="1" applyProtection="1">
      <alignment vertical="center" wrapText="1"/>
      <protection hidden="1"/>
    </xf>
    <xf numFmtId="165" fontId="23" fillId="0" borderId="56" xfId="0" applyNumberFormat="1" applyFont="1" applyBorder="1" applyAlignment="1" applyProtection="1">
      <alignment horizontal="center" vertical="center" wrapText="1"/>
      <protection hidden="1"/>
    </xf>
    <xf numFmtId="0" fontId="24" fillId="9" borderId="60" xfId="0" applyFont="1" applyFill="1" applyBorder="1" applyAlignment="1" applyProtection="1">
      <alignment vertical="center" wrapText="1"/>
      <protection hidden="1"/>
    </xf>
    <xf numFmtId="165" fontId="25" fillId="0" borderId="54" xfId="0" applyNumberFormat="1" applyFont="1" applyBorder="1" applyAlignment="1" applyProtection="1">
      <alignment horizontal="center" vertical="center" wrapText="1"/>
      <protection hidden="1"/>
    </xf>
    <xf numFmtId="165" fontId="23" fillId="0" borderId="74" xfId="0" applyNumberFormat="1" applyFont="1" applyBorder="1" applyAlignment="1" applyProtection="1">
      <alignment horizontal="center" vertical="center" wrapText="1"/>
      <protection hidden="1"/>
    </xf>
    <xf numFmtId="0" fontId="24" fillId="16" borderId="61" xfId="0" applyFont="1" applyFill="1" applyBorder="1" applyAlignment="1" applyProtection="1">
      <alignment vertical="center" wrapText="1"/>
      <protection hidden="1"/>
    </xf>
    <xf numFmtId="0" fontId="24" fillId="16" borderId="30" xfId="0" applyFont="1" applyFill="1" applyBorder="1" applyAlignment="1" applyProtection="1">
      <alignment vertical="center" wrapText="1"/>
      <protection hidden="1"/>
    </xf>
    <xf numFmtId="165" fontId="25" fillId="0" borderId="15" xfId="0" applyNumberFormat="1" applyFont="1" applyBorder="1" applyAlignment="1" applyProtection="1">
      <alignment horizontal="center" vertical="center" wrapText="1"/>
      <protection hidden="1"/>
    </xf>
    <xf numFmtId="165" fontId="25" fillId="25" borderId="20" xfId="0" applyNumberFormat="1" applyFont="1" applyFill="1" applyBorder="1" applyAlignment="1" applyProtection="1">
      <alignment horizontal="center" vertical="center" wrapText="1"/>
      <protection hidden="1"/>
    </xf>
    <xf numFmtId="165" fontId="22" fillId="25" borderId="15" xfId="0" applyNumberFormat="1" applyFont="1" applyFill="1" applyBorder="1" applyAlignment="1" applyProtection="1">
      <alignment horizontal="center" vertical="center" wrapText="1"/>
      <protection hidden="1"/>
    </xf>
    <xf numFmtId="165" fontId="22" fillId="25" borderId="20" xfId="0" applyNumberFormat="1" applyFont="1" applyFill="1" applyBorder="1" applyAlignment="1" applyProtection="1">
      <alignment horizontal="center" vertical="center" wrapText="1"/>
      <protection hidden="1"/>
    </xf>
    <xf numFmtId="0" fontId="22" fillId="16" borderId="30" xfId="0" applyFont="1" applyFill="1" applyBorder="1" applyAlignment="1" applyProtection="1">
      <alignment vertical="center" wrapText="1"/>
      <protection hidden="1"/>
    </xf>
    <xf numFmtId="165" fontId="26" fillId="0" borderId="21" xfId="0" applyNumberFormat="1" applyFont="1" applyBorder="1" applyAlignment="1" applyProtection="1">
      <alignment horizontal="center" vertical="center" wrapText="1"/>
      <protection hidden="1"/>
    </xf>
    <xf numFmtId="165" fontId="25" fillId="0" borderId="23" xfId="0" applyNumberFormat="1" applyFont="1" applyBorder="1" applyAlignment="1" applyProtection="1">
      <alignment horizontal="center" vertical="center" wrapText="1"/>
      <protection hidden="1"/>
    </xf>
    <xf numFmtId="0" fontId="24" fillId="16" borderId="31" xfId="0" applyFont="1" applyFill="1" applyBorder="1" applyAlignment="1" applyProtection="1">
      <alignment vertical="center" wrapText="1"/>
      <protection hidden="1"/>
    </xf>
    <xf numFmtId="1" fontId="23" fillId="0" borderId="17" xfId="0" applyNumberFormat="1" applyFont="1" applyBorder="1" applyAlignment="1" applyProtection="1">
      <alignment horizontal="center" vertical="center" wrapText="1"/>
      <protection hidden="1"/>
    </xf>
    <xf numFmtId="1" fontId="23" fillId="0" borderId="46" xfId="0" applyNumberFormat="1" applyFont="1" applyBorder="1" applyAlignment="1" applyProtection="1">
      <alignment horizontal="center" vertical="center" wrapText="1"/>
      <protection hidden="1"/>
    </xf>
    <xf numFmtId="0" fontId="24" fillId="18" borderId="58" xfId="0" applyFont="1" applyFill="1" applyBorder="1" applyAlignment="1" applyProtection="1">
      <alignment vertical="center" wrapText="1"/>
      <protection hidden="1"/>
    </xf>
    <xf numFmtId="0" fontId="23" fillId="25" borderId="15" xfId="0" applyFont="1" applyFill="1" applyBorder="1" applyAlignment="1" applyProtection="1">
      <alignment horizontal="center" vertical="center" wrapText="1"/>
      <protection hidden="1"/>
    </xf>
    <xf numFmtId="0" fontId="23" fillId="25" borderId="47" xfId="0" applyFont="1" applyFill="1" applyBorder="1" applyAlignment="1" applyProtection="1">
      <alignment horizontal="center" vertical="center" wrapText="1"/>
      <protection hidden="1"/>
    </xf>
    <xf numFmtId="0" fontId="24" fillId="18" borderId="59" xfId="0" applyFont="1" applyFill="1" applyBorder="1" applyAlignment="1" applyProtection="1">
      <alignment vertical="center" wrapText="1"/>
      <protection hidden="1"/>
    </xf>
    <xf numFmtId="0" fontId="23" fillId="0" borderId="48" xfId="0" applyFont="1" applyBorder="1" applyAlignment="1" applyProtection="1">
      <alignment horizontal="center" vertical="center" wrapText="1"/>
      <protection hidden="1"/>
    </xf>
    <xf numFmtId="0" fontId="24" fillId="18" borderId="60" xfId="0" applyFont="1" applyFill="1" applyBorder="1" applyAlignment="1" applyProtection="1">
      <alignment vertical="center" wrapText="1"/>
      <protection hidden="1"/>
    </xf>
    <xf numFmtId="0" fontId="26" fillId="11" borderId="16" xfId="0" applyFont="1" applyFill="1" applyBorder="1" applyAlignment="1" applyProtection="1">
      <alignment vertical="center" wrapText="1"/>
      <protection hidden="1"/>
    </xf>
    <xf numFmtId="0" fontId="26" fillId="11" borderId="7" xfId="0" applyFont="1" applyFill="1" applyBorder="1" applyAlignment="1" applyProtection="1">
      <alignment vertical="center" wrapText="1"/>
      <protection hidden="1"/>
    </xf>
    <xf numFmtId="0" fontId="10" fillId="11" borderId="45" xfId="0" applyFont="1" applyFill="1" applyBorder="1" applyAlignment="1" applyProtection="1">
      <alignment vertical="center" wrapText="1"/>
      <protection hidden="1"/>
    </xf>
    <xf numFmtId="2" fontId="26" fillId="25" borderId="50" xfId="0" applyNumberFormat="1" applyFont="1" applyFill="1" applyBorder="1" applyAlignment="1" applyProtection="1">
      <alignment horizontal="center" vertical="center" wrapText="1"/>
      <protection hidden="1"/>
    </xf>
    <xf numFmtId="0" fontId="26" fillId="25" borderId="36" xfId="0" applyFont="1" applyFill="1" applyBorder="1" applyAlignment="1" applyProtection="1">
      <alignment horizontal="center" vertical="center" wrapText="1"/>
      <protection hidden="1"/>
    </xf>
    <xf numFmtId="0" fontId="5" fillId="5" borderId="4" xfId="0" applyFont="1" applyFill="1" applyBorder="1" applyAlignment="1" applyProtection="1">
      <alignment vertical="center" wrapText="1"/>
      <protection hidden="1"/>
    </xf>
    <xf numFmtId="0" fontId="26" fillId="0" borderId="50" xfId="0" applyFont="1" applyBorder="1" applyAlignment="1" applyProtection="1">
      <alignment horizontal="center" vertical="center" wrapText="1"/>
      <protection hidden="1"/>
    </xf>
    <xf numFmtId="0" fontId="26" fillId="0" borderId="19" xfId="0" applyFont="1" applyBorder="1" applyAlignment="1" applyProtection="1">
      <alignment horizontal="center" vertical="center" wrapText="1"/>
      <protection hidden="1"/>
    </xf>
    <xf numFmtId="9" fontId="24" fillId="11" borderId="10" xfId="1" applyFont="1" applyFill="1" applyBorder="1" applyAlignment="1" applyProtection="1">
      <alignment horizontal="center" vertical="center" wrapText="1"/>
      <protection hidden="1"/>
    </xf>
    <xf numFmtId="0" fontId="5" fillId="5" borderId="29" xfId="0" applyFont="1" applyFill="1" applyBorder="1" applyAlignment="1" applyProtection="1">
      <alignment vertical="center" wrapText="1"/>
      <protection hidden="1"/>
    </xf>
    <xf numFmtId="0" fontId="26" fillId="25" borderId="21" xfId="0" applyFont="1" applyFill="1" applyBorder="1" applyAlignment="1" applyProtection="1">
      <alignment horizontal="center" vertical="center" wrapText="1"/>
      <protection hidden="1"/>
    </xf>
    <xf numFmtId="0" fontId="26" fillId="25" borderId="23" xfId="0" applyFont="1" applyFill="1" applyBorder="1" applyAlignment="1" applyProtection="1">
      <alignment horizontal="center" vertical="center" wrapText="1"/>
      <protection hidden="1"/>
    </xf>
    <xf numFmtId="0" fontId="5" fillId="5" borderId="31" xfId="0" applyFont="1" applyFill="1" applyBorder="1" applyAlignment="1" applyProtection="1">
      <alignment vertical="center" wrapText="1"/>
      <protection hidden="1"/>
    </xf>
    <xf numFmtId="0" fontId="0" fillId="14" borderId="35" xfId="0" applyFill="1" applyBorder="1" applyProtection="1">
      <protection hidden="1"/>
    </xf>
    <xf numFmtId="165" fontId="26" fillId="0" borderId="17" xfId="1" applyNumberFormat="1" applyFont="1" applyBorder="1" applyAlignment="1" applyProtection="1">
      <alignment horizontal="center" vertical="center" wrapText="1"/>
      <protection hidden="1"/>
    </xf>
    <xf numFmtId="165" fontId="26" fillId="0" borderId="19" xfId="1" applyNumberFormat="1" applyFont="1" applyBorder="1" applyAlignment="1" applyProtection="1">
      <alignment horizontal="center" vertical="center" wrapText="1"/>
      <protection hidden="1"/>
    </xf>
    <xf numFmtId="165" fontId="26" fillId="0" borderId="21" xfId="1" applyNumberFormat="1" applyFont="1" applyBorder="1" applyAlignment="1" applyProtection="1">
      <alignment horizontal="center" vertical="center" wrapText="1"/>
      <protection hidden="1"/>
    </xf>
    <xf numFmtId="165" fontId="26" fillId="0" borderId="23" xfId="1" applyNumberFormat="1" applyFont="1" applyBorder="1" applyAlignment="1" applyProtection="1">
      <alignment horizontal="center" vertical="center" wrapText="1"/>
      <protection hidden="1"/>
    </xf>
    <xf numFmtId="165" fontId="10" fillId="0" borderId="54" xfId="1" applyNumberFormat="1" applyFont="1" applyBorder="1" applyAlignment="1" applyProtection="1">
      <alignment horizontal="center" vertical="center" wrapText="1"/>
      <protection hidden="1"/>
    </xf>
    <xf numFmtId="165" fontId="10" fillId="0" borderId="74" xfId="1" applyNumberFormat="1" applyFont="1" applyBorder="1" applyAlignment="1" applyProtection="1">
      <alignment horizontal="center" vertical="center" wrapText="1"/>
      <protection hidden="1"/>
    </xf>
    <xf numFmtId="165" fontId="10" fillId="0" borderId="38" xfId="1" applyNumberFormat="1" applyFont="1" applyBorder="1" applyAlignment="1" applyProtection="1">
      <alignment horizontal="center" vertical="center" wrapText="1"/>
      <protection hidden="1"/>
    </xf>
    <xf numFmtId="165" fontId="10" fillId="0" borderId="39" xfId="1" applyNumberFormat="1" applyFont="1" applyBorder="1" applyAlignment="1" applyProtection="1">
      <alignment horizontal="center" vertical="center" wrapText="1"/>
      <protection hidden="1"/>
    </xf>
    <xf numFmtId="165" fontId="26" fillId="12" borderId="15" xfId="0" applyNumberFormat="1" applyFont="1" applyFill="1" applyBorder="1" applyAlignment="1" applyProtection="1">
      <alignment horizontal="center" vertical="center" wrapText="1"/>
      <protection hidden="1"/>
    </xf>
    <xf numFmtId="165" fontId="26" fillId="12" borderId="20" xfId="0" applyNumberFormat="1" applyFont="1" applyFill="1" applyBorder="1" applyAlignment="1" applyProtection="1">
      <alignment horizontal="center" vertical="center" wrapText="1"/>
      <protection hidden="1"/>
    </xf>
    <xf numFmtId="165" fontId="26" fillId="12" borderId="21" xfId="0" applyNumberFormat="1" applyFont="1" applyFill="1" applyBorder="1" applyAlignment="1" applyProtection="1">
      <alignment horizontal="center" vertical="center" wrapText="1"/>
      <protection hidden="1"/>
    </xf>
    <xf numFmtId="165" fontId="26" fillId="12" borderId="23" xfId="0" applyNumberFormat="1" applyFont="1" applyFill="1" applyBorder="1" applyAlignment="1" applyProtection="1">
      <alignment horizontal="center" vertical="center" wrapText="1"/>
      <protection hidden="1"/>
    </xf>
    <xf numFmtId="0" fontId="26" fillId="0" borderId="17" xfId="0" applyFont="1" applyBorder="1" applyAlignment="1" applyProtection="1">
      <alignment horizontal="center" vertical="center" wrapText="1"/>
      <protection hidden="1"/>
    </xf>
    <xf numFmtId="0" fontId="26" fillId="30" borderId="15" xfId="0" applyFont="1" applyFill="1" applyBorder="1" applyAlignment="1" applyProtection="1">
      <alignment horizontal="center" vertical="center" wrapText="1"/>
      <protection hidden="1"/>
    </xf>
    <xf numFmtId="0" fontId="26" fillId="30" borderId="20" xfId="0" applyFont="1" applyFill="1" applyBorder="1" applyAlignment="1" applyProtection="1">
      <alignment horizontal="center" vertical="center" wrapText="1"/>
      <protection hidden="1"/>
    </xf>
    <xf numFmtId="1" fontId="26" fillId="0" borderId="21" xfId="0" applyNumberFormat="1" applyFont="1" applyBorder="1" applyAlignment="1" applyProtection="1">
      <alignment horizontal="center" vertical="center" wrapText="1"/>
      <protection hidden="1"/>
    </xf>
    <xf numFmtId="0" fontId="26" fillId="0" borderId="23" xfId="0" applyFont="1" applyBorder="1" applyAlignment="1" applyProtection="1">
      <alignment horizontal="center" vertical="center" wrapText="1"/>
      <protection hidden="1"/>
    </xf>
    <xf numFmtId="0" fontId="26" fillId="0" borderId="21" xfId="0" applyFont="1" applyBorder="1" applyAlignment="1" applyProtection="1">
      <alignment horizontal="center" vertical="center" wrapText="1"/>
      <protection hidden="1"/>
    </xf>
    <xf numFmtId="165" fontId="22" fillId="12" borderId="51" xfId="0" applyNumberFormat="1" applyFont="1" applyFill="1" applyBorder="1" applyAlignment="1" applyProtection="1">
      <alignment horizontal="center" vertical="center" wrapText="1"/>
      <protection hidden="1"/>
    </xf>
    <xf numFmtId="0" fontId="22" fillId="12" borderId="51" xfId="0" applyFont="1" applyFill="1" applyBorder="1" applyAlignment="1" applyProtection="1">
      <alignment horizontal="center" vertical="center" wrapText="1"/>
      <protection hidden="1"/>
    </xf>
    <xf numFmtId="0" fontId="22" fillId="0" borderId="51" xfId="0" applyFont="1" applyBorder="1" applyAlignment="1" applyProtection="1">
      <alignment horizontal="center" vertical="center" wrapText="1"/>
      <protection hidden="1"/>
    </xf>
    <xf numFmtId="3" fontId="26" fillId="0" borderId="17" xfId="0" applyNumberFormat="1" applyFont="1" applyBorder="1" applyAlignment="1" applyProtection="1">
      <alignment horizontal="center" vertical="center" wrapText="1"/>
      <protection hidden="1"/>
    </xf>
    <xf numFmtId="4" fontId="26" fillId="0" borderId="19" xfId="0" applyNumberFormat="1" applyFont="1" applyBorder="1" applyAlignment="1" applyProtection="1">
      <alignment horizontal="center" vertical="center" wrapText="1"/>
      <protection hidden="1"/>
    </xf>
    <xf numFmtId="0" fontId="26" fillId="0" borderId="54" xfId="0" applyFont="1" applyBorder="1" applyAlignment="1" applyProtection="1">
      <alignment horizontal="center" vertical="center" wrapText="1"/>
      <protection hidden="1"/>
    </xf>
    <xf numFmtId="0" fontId="26" fillId="0" borderId="12" xfId="0" applyFont="1" applyBorder="1" applyAlignment="1" applyProtection="1">
      <alignment horizontal="center" vertical="center" wrapText="1"/>
      <protection hidden="1"/>
    </xf>
    <xf numFmtId="0" fontId="26" fillId="25" borderId="38" xfId="0" applyFont="1" applyFill="1" applyBorder="1" applyAlignment="1" applyProtection="1">
      <alignment horizontal="center" vertical="center" wrapText="1"/>
      <protection hidden="1"/>
    </xf>
    <xf numFmtId="0" fontId="26" fillId="25" borderId="55" xfId="0" applyFont="1" applyFill="1" applyBorder="1" applyAlignment="1" applyProtection="1">
      <alignment horizontal="center" vertical="center" wrapText="1"/>
      <protection hidden="1"/>
    </xf>
    <xf numFmtId="0" fontId="26" fillId="30" borderId="17" xfId="0" applyFont="1" applyFill="1" applyBorder="1" applyAlignment="1" applyProtection="1">
      <alignment horizontal="center" vertical="center" wrapText="1"/>
      <protection hidden="1"/>
    </xf>
    <xf numFmtId="0" fontId="26" fillId="30" borderId="19" xfId="0" applyFont="1" applyFill="1" applyBorder="1" applyAlignment="1" applyProtection="1">
      <alignment horizontal="center" vertical="center" wrapText="1"/>
      <protection hidden="1"/>
    </xf>
    <xf numFmtId="0" fontId="26" fillId="30" borderId="21" xfId="0" applyFont="1" applyFill="1" applyBorder="1" applyAlignment="1" applyProtection="1">
      <alignment horizontal="center" vertical="center" wrapText="1"/>
      <protection hidden="1"/>
    </xf>
    <xf numFmtId="0" fontId="26" fillId="30" borderId="23" xfId="0" applyFont="1" applyFill="1" applyBorder="1" applyAlignment="1" applyProtection="1">
      <alignment horizontal="center" vertical="center" wrapText="1"/>
      <protection hidden="1"/>
    </xf>
    <xf numFmtId="0" fontId="26" fillId="25" borderId="17" xfId="0" applyFont="1" applyFill="1" applyBorder="1" applyAlignment="1" applyProtection="1">
      <alignment horizontal="center" vertical="center" wrapText="1"/>
      <protection hidden="1"/>
    </xf>
    <xf numFmtId="0" fontId="26" fillId="25" borderId="46" xfId="0" applyFont="1" applyFill="1" applyBorder="1" applyAlignment="1" applyProtection="1">
      <alignment horizontal="center" vertical="center" wrapText="1"/>
      <protection hidden="1"/>
    </xf>
    <xf numFmtId="0" fontId="26" fillId="0" borderId="56" xfId="0" applyFont="1" applyBorder="1" applyAlignment="1" applyProtection="1">
      <alignment horizontal="center" vertical="center" wrapText="1"/>
      <protection hidden="1"/>
    </xf>
    <xf numFmtId="0" fontId="26" fillId="0" borderId="65" xfId="0" applyFont="1" applyBorder="1" applyAlignment="1" applyProtection="1">
      <alignment horizontal="center" vertical="center" wrapText="1"/>
      <protection hidden="1"/>
    </xf>
    <xf numFmtId="0" fontId="26" fillId="12" borderId="17" xfId="0" applyFont="1" applyFill="1" applyBorder="1" applyAlignment="1" applyProtection="1">
      <alignment horizontal="center" vertical="center" wrapText="1"/>
      <protection hidden="1"/>
    </xf>
    <xf numFmtId="0" fontId="26" fillId="12" borderId="19" xfId="0" applyFont="1" applyFill="1" applyBorder="1" applyAlignment="1" applyProtection="1">
      <alignment horizontal="center" vertical="center" wrapText="1"/>
      <protection hidden="1"/>
    </xf>
    <xf numFmtId="0" fontId="26" fillId="25" borderId="15" xfId="0" applyFont="1" applyFill="1" applyBorder="1" applyAlignment="1" applyProtection="1">
      <alignment horizontal="center" vertical="center" wrapText="1"/>
      <protection hidden="1"/>
    </xf>
    <xf numFmtId="0" fontId="26" fillId="25" borderId="20" xfId="0" applyFont="1" applyFill="1" applyBorder="1" applyAlignment="1" applyProtection="1">
      <alignment horizontal="center" vertical="center" wrapText="1"/>
      <protection hidden="1"/>
    </xf>
    <xf numFmtId="1" fontId="26" fillId="0" borderId="15" xfId="0" applyNumberFormat="1" applyFont="1" applyBorder="1" applyAlignment="1" applyProtection="1">
      <alignment horizontal="center" vertical="center" wrapText="1"/>
      <protection hidden="1"/>
    </xf>
    <xf numFmtId="1" fontId="26" fillId="25" borderId="21" xfId="0" applyNumberFormat="1" applyFont="1" applyFill="1" applyBorder="1" applyAlignment="1" applyProtection="1">
      <alignment horizontal="center" vertical="center" wrapText="1"/>
      <protection hidden="1"/>
    </xf>
    <xf numFmtId="0" fontId="24" fillId="22" borderId="29" xfId="0" applyFont="1" applyFill="1" applyBorder="1" applyAlignment="1" applyProtection="1">
      <alignment vertical="center" wrapText="1"/>
      <protection hidden="1"/>
    </xf>
    <xf numFmtId="0" fontId="24" fillId="22" borderId="30" xfId="0" applyFont="1" applyFill="1" applyBorder="1" applyAlignment="1" applyProtection="1">
      <alignment vertical="center" wrapText="1"/>
      <protection hidden="1"/>
    </xf>
    <xf numFmtId="165" fontId="26" fillId="25" borderId="21" xfId="0" applyNumberFormat="1" applyFont="1" applyFill="1" applyBorder="1" applyAlignment="1" applyProtection="1">
      <alignment horizontal="center" vertical="center" wrapText="1"/>
      <protection hidden="1"/>
    </xf>
    <xf numFmtId="165" fontId="26" fillId="25" borderId="23" xfId="0" applyNumberFormat="1" applyFont="1" applyFill="1" applyBorder="1" applyAlignment="1" applyProtection="1">
      <alignment horizontal="center" vertical="center" wrapText="1"/>
      <protection hidden="1"/>
    </xf>
    <xf numFmtId="0" fontId="24" fillId="22" borderId="31" xfId="0" applyFont="1" applyFill="1" applyBorder="1" applyAlignment="1" applyProtection="1">
      <alignment vertical="center" wrapText="1"/>
      <protection hidden="1"/>
    </xf>
    <xf numFmtId="0" fontId="26" fillId="25" borderId="50" xfId="0" applyFont="1" applyFill="1" applyBorder="1" applyAlignment="1" applyProtection="1">
      <alignment horizontal="center" vertical="center" wrapText="1"/>
      <protection hidden="1"/>
    </xf>
    <xf numFmtId="0" fontId="26" fillId="25" borderId="1" xfId="0" applyFont="1" applyFill="1" applyBorder="1" applyAlignment="1" applyProtection="1">
      <alignment horizontal="center" vertical="center" wrapText="1"/>
      <protection hidden="1"/>
    </xf>
    <xf numFmtId="0" fontId="24" fillId="9" borderId="49" xfId="0" applyFont="1" applyFill="1" applyBorder="1" applyAlignment="1" applyProtection="1">
      <alignment vertical="center" wrapText="1"/>
      <protection hidden="1"/>
    </xf>
    <xf numFmtId="0" fontId="24" fillId="9" borderId="28" xfId="0" applyFont="1" applyFill="1" applyBorder="1" applyAlignment="1" applyProtection="1">
      <alignment vertical="center" wrapText="1"/>
      <protection hidden="1"/>
    </xf>
    <xf numFmtId="0" fontId="26" fillId="25" borderId="54" xfId="0" applyFont="1" applyFill="1" applyBorder="1" applyAlignment="1" applyProtection="1">
      <alignment horizontal="center" vertical="center" wrapText="1"/>
      <protection hidden="1"/>
    </xf>
    <xf numFmtId="0" fontId="26" fillId="25" borderId="74" xfId="0" applyFont="1" applyFill="1" applyBorder="1" applyAlignment="1" applyProtection="1">
      <alignment horizontal="center" vertical="center" wrapText="1"/>
      <protection hidden="1"/>
    </xf>
    <xf numFmtId="165" fontId="26" fillId="0" borderId="23" xfId="0" applyNumberFormat="1" applyFont="1" applyBorder="1" applyAlignment="1" applyProtection="1">
      <alignment horizontal="center" vertical="center" wrapText="1"/>
      <protection hidden="1"/>
    </xf>
    <xf numFmtId="165" fontId="26" fillId="0" borderId="46" xfId="0" applyNumberFormat="1" applyFont="1" applyBorder="1" applyAlignment="1" applyProtection="1">
      <alignment horizontal="center" vertical="center" wrapText="1"/>
      <protection hidden="1"/>
    </xf>
    <xf numFmtId="0" fontId="26" fillId="0" borderId="47" xfId="0" applyFont="1" applyBorder="1" applyAlignment="1" applyProtection="1">
      <alignment horizontal="center" vertical="center" wrapText="1"/>
      <protection hidden="1"/>
    </xf>
    <xf numFmtId="0" fontId="26" fillId="0" borderId="48" xfId="0" applyFont="1" applyBorder="1" applyAlignment="1" applyProtection="1">
      <alignment horizontal="center" vertical="center" wrapText="1"/>
      <protection hidden="1"/>
    </xf>
    <xf numFmtId="0" fontId="26" fillId="0" borderId="46" xfId="0" applyFont="1" applyBorder="1" applyAlignment="1" applyProtection="1">
      <alignment horizontal="center" vertical="center" wrapText="1"/>
      <protection hidden="1"/>
    </xf>
    <xf numFmtId="0" fontId="5" fillId="5" borderId="58" xfId="0" applyFont="1" applyFill="1" applyBorder="1" applyAlignment="1" applyProtection="1">
      <alignment vertical="center" wrapText="1"/>
      <protection hidden="1"/>
    </xf>
    <xf numFmtId="0" fontId="5" fillId="5" borderId="60" xfId="0" applyFont="1" applyFill="1" applyBorder="1" applyAlignment="1" applyProtection="1">
      <alignment vertical="center" wrapText="1"/>
      <protection hidden="1"/>
    </xf>
  </cellXfs>
  <cellStyles count="4">
    <cellStyle name="Comma" xfId="2" builtinId="3"/>
    <cellStyle name="Hyperlink" xfId="3" builtinId="8"/>
    <cellStyle name="Normal" xfId="0" builtinId="0"/>
    <cellStyle name="Percent" xfId="1" builtinId="5"/>
  </cellStyles>
  <dxfs count="0"/>
  <tableStyles count="0" defaultTableStyle="TableStyleMedium2" defaultPivotStyle="PivotStyleLight16"/>
  <colors>
    <mruColors>
      <color rgb="FFFF6600"/>
      <color rgb="FFFF5050"/>
      <color rgb="FFFF9933"/>
      <color rgb="FFFFFF00"/>
      <color rgb="FFFF0066"/>
      <color rgb="FFFFFF99"/>
      <color rgb="FF66FF33"/>
      <color rgb="FFCCFF99"/>
      <color rgb="FFFF99FF"/>
      <color rgb="FF00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598496749244636"/>
          <c:y val="0.16020748730001719"/>
          <c:w val="0.39596288382167844"/>
          <c:h val="0.74485307469533013"/>
        </c:manualLayout>
      </c:layout>
      <c:radarChart>
        <c:radarStyle val="marker"/>
        <c:varyColors val="0"/>
        <c:ser>
          <c:idx val="0"/>
          <c:order val="0"/>
          <c:tx>
            <c:strRef>
              <c:f>'Aspiration Chart'!$B$3</c:f>
              <c:strCache>
                <c:ptCount val="1"/>
                <c:pt idx="0">
                  <c:v>Achievement</c:v>
                </c:pt>
              </c:strCache>
            </c:strRef>
          </c:tx>
          <c:spPr>
            <a:ln w="28575" cap="rnd">
              <a:solidFill>
                <a:schemeClr val="accent1"/>
              </a:solidFill>
              <a:round/>
            </a:ln>
            <a:effectLst/>
          </c:spPr>
          <c:marker>
            <c:symbol val="none"/>
          </c:marker>
          <c:dLbls>
            <c:dLbl>
              <c:idx val="0"/>
              <c:layout>
                <c:manualLayout>
                  <c:x val="1.6522098306485529E-3"/>
                  <c:y val="0"/>
                </c:manualLayout>
              </c:layout>
              <c:spPr>
                <a:solidFill>
                  <a:srgbClr val="FFC0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1A8-4178-8334-E3F2CC107E7E}"/>
                </c:ext>
              </c:extLst>
            </c:dLbl>
            <c:dLbl>
              <c:idx val="1"/>
              <c:layout>
                <c:manualLayout>
                  <c:x val="-3.3044196612969846E-2"/>
                  <c:y val="-1.0878008215894106E-2"/>
                </c:manualLayout>
              </c:layout>
              <c:spPr>
                <a:solidFill>
                  <a:srgbClr val="FFC000"/>
                </a:solid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3.5819909128459317E-2"/>
                      <c:h val="4.6573537538060795E-2"/>
                    </c:manualLayout>
                  </c15:layout>
                </c:ext>
                <c:ext xmlns:c16="http://schemas.microsoft.com/office/drawing/2014/chart" uri="{C3380CC4-5D6E-409C-BE32-E72D297353CC}">
                  <c16:uniqueId val="{00000001-F1A8-4178-8334-E3F2CC107E7E}"/>
                </c:ext>
              </c:extLst>
            </c:dLbl>
            <c:dLbl>
              <c:idx val="2"/>
              <c:spPr>
                <a:solidFill>
                  <a:srgbClr val="FF0000"/>
                </a:solidFill>
                <a:ln>
                  <a:solidFill>
                    <a:srgbClr val="0070C0"/>
                  </a:solid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2-F1A8-4178-8334-E3F2CC107E7E}"/>
                </c:ext>
              </c:extLst>
            </c:dLbl>
            <c:dLbl>
              <c:idx val="3"/>
              <c:layout>
                <c:manualLayout>
                  <c:x val="-1.6522098306484924E-3"/>
                  <c:y val="-3.418802582138139E-2"/>
                </c:manualLayout>
              </c:layout>
              <c:spPr>
                <a:solidFill>
                  <a:srgbClr val="FF9933"/>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1A8-4178-8334-E3F2CC107E7E}"/>
                </c:ext>
              </c:extLst>
            </c:dLbl>
            <c:dLbl>
              <c:idx val="4"/>
              <c:spPr>
                <a:solidFill>
                  <a:srgbClr val="FF9933"/>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4-F1A8-4178-8334-E3F2CC107E7E}"/>
                </c:ext>
              </c:extLst>
            </c:dLbl>
            <c:dLbl>
              <c:idx val="5"/>
              <c:layout>
                <c:manualLayout>
                  <c:x val="2.6435357290375879E-2"/>
                  <c:y val="2.7972021126584774E-2"/>
                </c:manualLayout>
              </c:layout>
              <c:spPr>
                <a:solidFill>
                  <a:srgbClr val="FFFF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1A8-4178-8334-E3F2CC107E7E}"/>
                </c:ext>
              </c:extLst>
            </c:dLbl>
            <c:dLbl>
              <c:idx val="6"/>
              <c:layout>
                <c:manualLayout>
                  <c:x val="0"/>
                  <c:y val="1.2432009389593233E-2"/>
                </c:manualLayout>
              </c:layout>
              <c:spPr>
                <a:solidFill>
                  <a:srgbClr val="FF66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1A8-4178-8334-E3F2CC107E7E}"/>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'Aspiration Chart'!$A$4:$A$10</c:f>
              <c:strCache>
                <c:ptCount val="7"/>
                <c:pt idx="0">
                  <c:v>Apriration 1:  A properous Africa based on inclusive growth and sustainable development</c:v>
                </c:pt>
                <c:pt idx="1">
                  <c:v> Aspiration 2:  An integrated continent, politically united and based on the ideals of Pan - Africanism and a Vision of the African Renaissance</c:v>
                </c:pt>
                <c:pt idx="2">
                  <c:v>Aspiration 3: An African of good governance, democracy, respect for human rigjhts and the rule of law</c:v>
                </c:pt>
                <c:pt idx="3">
                  <c:v> Aspiration 4. A peaceful and secure Africa</c:v>
                </c:pt>
                <c:pt idx="4">
                  <c:v>Aspiration 5: African with a strong cultural identity, common heritage, value and beliefs</c:v>
                </c:pt>
                <c:pt idx="5">
                  <c:v>Aspiration 6 An Africa whose development of people driven, relying on the potential of the African People</c:v>
                </c:pt>
                <c:pt idx="6">
                  <c:v> Aspiration 7: Africa as a strong and influential global partner</c:v>
                </c:pt>
              </c:strCache>
            </c:strRef>
          </c:cat>
          <c:val>
            <c:numRef>
              <c:f>'Aspiration Chart'!$B$4:$B$10</c:f>
              <c:numCache>
                <c:formatCode>0%</c:formatCode>
                <c:ptCount val="7"/>
                <c:pt idx="0">
                  <c:v>0.4319930250373894</c:v>
                </c:pt>
                <c:pt idx="1">
                  <c:v>0.45369105880298294</c:v>
                </c:pt>
                <c:pt idx="2">
                  <c:v>0.16071428571428573</c:v>
                </c:pt>
                <c:pt idx="3">
                  <c:v>0.33333333333333331</c:v>
                </c:pt>
                <c:pt idx="4">
                  <c:v>0.33333333333333331</c:v>
                </c:pt>
                <c:pt idx="5">
                  <c:v>0.56976469559494314</c:v>
                </c:pt>
                <c:pt idx="6">
                  <c:v>0.28226895170653216</c:v>
                </c:pt>
              </c:numCache>
            </c:numRef>
          </c:val>
          <c:extLst>
            <c:ext xmlns:c16="http://schemas.microsoft.com/office/drawing/2014/chart" uri="{C3380CC4-5D6E-409C-BE32-E72D297353CC}">
              <c16:uniqueId val="{00000007-F1A8-4178-8334-E3F2CC107E7E}"/>
            </c:ext>
          </c:extLst>
        </c:ser>
        <c:dLbls>
          <c:showLegendKey val="0"/>
          <c:showVal val="0"/>
          <c:showCatName val="0"/>
          <c:showSerName val="0"/>
          <c:showPercent val="0"/>
          <c:showBubbleSize val="0"/>
        </c:dLbls>
        <c:axId val="2053271680"/>
        <c:axId val="1858782976"/>
      </c:radarChart>
      <c:catAx>
        <c:axId val="20532716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8782976"/>
        <c:crosses val="autoZero"/>
        <c:auto val="1"/>
        <c:lblAlgn val="ctr"/>
        <c:lblOffset val="100"/>
        <c:noMultiLvlLbl val="0"/>
      </c:catAx>
      <c:valAx>
        <c:axId val="1858782976"/>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20532716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134665310928717E-2"/>
          <c:y val="1.9196212729668042E-2"/>
          <c:w val="0.92860254583032675"/>
          <c:h val="0.86577617299847409"/>
        </c:manualLayout>
      </c:layout>
      <c:barChart>
        <c:barDir val="col"/>
        <c:grouping val="stacked"/>
        <c:varyColors val="0"/>
        <c:ser>
          <c:idx val="0"/>
          <c:order val="0"/>
          <c:tx>
            <c:strRef>
              <c:f>'Performance by Goal'!$D$1</c:f>
              <c:strCache>
                <c:ptCount val="1"/>
                <c:pt idx="0">
                  <c:v>Decription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'Performance by Goal'!$C$2:$C$23</c:f>
              <c:strCache>
                <c:ptCount val="20"/>
                <c:pt idx="0">
                  <c:v>Goal 1</c:v>
                </c:pt>
                <c:pt idx="1">
                  <c:v>Goal 2</c:v>
                </c:pt>
                <c:pt idx="2">
                  <c:v>Goal 3</c:v>
                </c:pt>
                <c:pt idx="3">
                  <c:v>Goal 4</c:v>
                </c:pt>
                <c:pt idx="4">
                  <c:v>Goal 5</c:v>
                </c:pt>
                <c:pt idx="5">
                  <c:v>Goal 6</c:v>
                </c:pt>
                <c:pt idx="6">
                  <c:v>Goal 7</c:v>
                </c:pt>
                <c:pt idx="7">
                  <c:v>Goal 8</c:v>
                </c:pt>
                <c:pt idx="8">
                  <c:v>Goal 9</c:v>
                </c:pt>
                <c:pt idx="9">
                  <c:v>Goal 10</c:v>
                </c:pt>
                <c:pt idx="10">
                  <c:v>Goal 11</c:v>
                </c:pt>
                <c:pt idx="11">
                  <c:v>Goal 12</c:v>
                </c:pt>
                <c:pt idx="12">
                  <c:v>Goal 13</c:v>
                </c:pt>
                <c:pt idx="13">
                  <c:v>Goal 14</c:v>
                </c:pt>
                <c:pt idx="14">
                  <c:v>Goal 15</c:v>
                </c:pt>
                <c:pt idx="15">
                  <c:v>Goal 16</c:v>
                </c:pt>
                <c:pt idx="16">
                  <c:v>Goal 17</c:v>
                </c:pt>
                <c:pt idx="17">
                  <c:v>Goal 18</c:v>
                </c:pt>
                <c:pt idx="18">
                  <c:v>Goal 19</c:v>
                </c:pt>
                <c:pt idx="19">
                  <c:v>Goal 20</c:v>
                </c:pt>
              </c:strCache>
            </c:strRef>
          </c:cat>
          <c:val>
            <c:numRef>
              <c:f>'Performance by Goal'!$D$2:$D$23</c:f>
            </c:numRef>
          </c:val>
          <c:extLst>
            <c:ext xmlns:c16="http://schemas.microsoft.com/office/drawing/2014/chart" uri="{C3380CC4-5D6E-409C-BE32-E72D297353CC}">
              <c16:uniqueId val="{00000000-3BD5-42DB-A8DD-68ED77B36605}"/>
            </c:ext>
          </c:extLst>
        </c:ser>
        <c:ser>
          <c:idx val="1"/>
          <c:order val="1"/>
          <c:tx>
            <c:strRef>
              <c:f>'Performance by Goal'!$E$1</c:f>
              <c:strCache>
                <c:ptCount val="1"/>
                <c:pt idx="0">
                  <c:v>Achievement</c:v>
                </c:pt>
              </c:strCache>
            </c:strRef>
          </c:tx>
          <c:spPr>
            <a:solidFill>
              <a:schemeClr val="accent2"/>
            </a:solidFill>
            <a:ln>
              <a:noFill/>
            </a:ln>
            <a:effectLst/>
          </c:spPr>
          <c:invertIfNegative val="0"/>
          <c:dPt>
            <c:idx val="0"/>
            <c:invertIfNegative val="0"/>
            <c:bubble3D val="0"/>
            <c:spPr>
              <a:solidFill>
                <a:srgbClr val="FFFF00"/>
              </a:solidFill>
              <a:ln>
                <a:noFill/>
              </a:ln>
              <a:effectLst/>
            </c:spPr>
            <c:extLst>
              <c:ext xmlns:c16="http://schemas.microsoft.com/office/drawing/2014/chart" uri="{C3380CC4-5D6E-409C-BE32-E72D297353CC}">
                <c16:uniqueId val="{00000001-DF58-4B5C-AB0F-1BFB69053935}"/>
              </c:ext>
            </c:extLst>
          </c:dPt>
          <c:dPt>
            <c:idx val="1"/>
            <c:invertIfNegative val="0"/>
            <c:bubble3D val="0"/>
            <c:spPr>
              <a:solidFill>
                <a:srgbClr val="FF6600"/>
              </a:solidFill>
              <a:ln>
                <a:noFill/>
              </a:ln>
              <a:effectLst/>
            </c:spPr>
            <c:extLst>
              <c:ext xmlns:c16="http://schemas.microsoft.com/office/drawing/2014/chart" uri="{C3380CC4-5D6E-409C-BE32-E72D297353CC}">
                <c16:uniqueId val="{00000003-DF58-4B5C-AB0F-1BFB69053935}"/>
              </c:ext>
            </c:extLst>
          </c:dPt>
          <c:dPt>
            <c:idx val="2"/>
            <c:invertIfNegative val="0"/>
            <c:bubble3D val="0"/>
            <c:spPr>
              <a:solidFill>
                <a:srgbClr val="FFFF00"/>
              </a:solidFill>
              <a:ln>
                <a:noFill/>
              </a:ln>
              <a:effectLst/>
            </c:spPr>
            <c:extLst>
              <c:ext xmlns:c16="http://schemas.microsoft.com/office/drawing/2014/chart" uri="{C3380CC4-5D6E-409C-BE32-E72D297353CC}">
                <c16:uniqueId val="{00000005-DF58-4B5C-AB0F-1BFB69053935}"/>
              </c:ext>
            </c:extLst>
          </c:dPt>
          <c:dPt>
            <c:idx val="3"/>
            <c:invertIfNegative val="0"/>
            <c:bubble3D val="0"/>
            <c:spPr>
              <a:solidFill>
                <a:srgbClr val="FF6600"/>
              </a:solidFill>
              <a:ln>
                <a:noFill/>
              </a:ln>
              <a:effectLst/>
            </c:spPr>
            <c:extLst>
              <c:ext xmlns:c16="http://schemas.microsoft.com/office/drawing/2014/chart" uri="{C3380CC4-5D6E-409C-BE32-E72D297353CC}">
                <c16:uniqueId val="{00000007-DF58-4B5C-AB0F-1BFB69053935}"/>
              </c:ext>
            </c:extLst>
          </c:dPt>
          <c:dPt>
            <c:idx val="4"/>
            <c:invertIfNegative val="0"/>
            <c:bubble3D val="0"/>
            <c:spPr>
              <a:solidFill>
                <a:srgbClr val="FF6600"/>
              </a:solidFill>
              <a:ln>
                <a:noFill/>
              </a:ln>
              <a:effectLst/>
            </c:spPr>
            <c:extLst>
              <c:ext xmlns:c16="http://schemas.microsoft.com/office/drawing/2014/chart" uri="{C3380CC4-5D6E-409C-BE32-E72D297353CC}">
                <c16:uniqueId val="{00000009-DF58-4B5C-AB0F-1BFB69053935}"/>
              </c:ext>
            </c:extLst>
          </c:dPt>
          <c:dPt>
            <c:idx val="5"/>
            <c:invertIfNegative val="0"/>
            <c:bubble3D val="0"/>
            <c:spPr>
              <a:solidFill>
                <a:srgbClr val="FFFF00"/>
              </a:solidFill>
              <a:ln>
                <a:noFill/>
              </a:ln>
              <a:effectLst/>
            </c:spPr>
            <c:extLst>
              <c:ext xmlns:c16="http://schemas.microsoft.com/office/drawing/2014/chart" uri="{C3380CC4-5D6E-409C-BE32-E72D297353CC}">
                <c16:uniqueId val="{0000000B-DF58-4B5C-AB0F-1BFB69053935}"/>
              </c:ext>
            </c:extLst>
          </c:dPt>
          <c:dPt>
            <c:idx val="6"/>
            <c:invertIfNegative val="0"/>
            <c:bubble3D val="0"/>
            <c:spPr>
              <a:solidFill>
                <a:srgbClr val="FFFF00"/>
              </a:solidFill>
              <a:ln>
                <a:noFill/>
              </a:ln>
              <a:effectLst/>
            </c:spPr>
            <c:extLst>
              <c:ext xmlns:c16="http://schemas.microsoft.com/office/drawing/2014/chart" uri="{C3380CC4-5D6E-409C-BE32-E72D297353CC}">
                <c16:uniqueId val="{0000000D-DF58-4B5C-AB0F-1BFB69053935}"/>
              </c:ext>
            </c:extLst>
          </c:dPt>
          <c:dPt>
            <c:idx val="7"/>
            <c:invertIfNegative val="0"/>
            <c:bubble3D val="0"/>
            <c:spPr>
              <a:solidFill>
                <a:srgbClr val="FF0000"/>
              </a:solidFill>
              <a:ln>
                <a:noFill/>
              </a:ln>
              <a:effectLst/>
            </c:spPr>
            <c:extLst>
              <c:ext xmlns:c16="http://schemas.microsoft.com/office/drawing/2014/chart" uri="{C3380CC4-5D6E-409C-BE32-E72D297353CC}">
                <c16:uniqueId val="{0000000F-DF58-4B5C-AB0F-1BFB69053935}"/>
              </c:ext>
            </c:extLst>
          </c:dPt>
          <c:dPt>
            <c:idx val="8"/>
            <c:invertIfNegative val="0"/>
            <c:bubble3D val="0"/>
            <c:spPr>
              <a:solidFill>
                <a:srgbClr val="66FF33"/>
              </a:solidFill>
              <a:ln>
                <a:noFill/>
              </a:ln>
              <a:effectLst/>
            </c:spPr>
            <c:extLst>
              <c:ext xmlns:c16="http://schemas.microsoft.com/office/drawing/2014/chart" uri="{C3380CC4-5D6E-409C-BE32-E72D297353CC}">
                <c16:uniqueId val="{00000011-DF58-4B5C-AB0F-1BFB69053935}"/>
              </c:ext>
            </c:extLst>
          </c:dPt>
          <c:dPt>
            <c:idx val="9"/>
            <c:invertIfNegative val="0"/>
            <c:bubble3D val="0"/>
            <c:spPr>
              <a:solidFill>
                <a:srgbClr val="FFC000"/>
              </a:solidFill>
              <a:ln>
                <a:noFill/>
              </a:ln>
              <a:effectLst/>
            </c:spPr>
            <c:extLst>
              <c:ext xmlns:c16="http://schemas.microsoft.com/office/drawing/2014/chart" uri="{C3380CC4-5D6E-409C-BE32-E72D297353CC}">
                <c16:uniqueId val="{00000013-DF58-4B5C-AB0F-1BFB69053935}"/>
              </c:ext>
            </c:extLst>
          </c:dPt>
          <c:dPt>
            <c:idx val="10"/>
            <c:invertIfNegative val="0"/>
            <c:bubble3D val="0"/>
            <c:spPr>
              <a:solidFill>
                <a:srgbClr val="FF9933"/>
              </a:solidFill>
              <a:ln>
                <a:noFill/>
              </a:ln>
              <a:effectLst/>
            </c:spPr>
            <c:extLst>
              <c:ext xmlns:c16="http://schemas.microsoft.com/office/drawing/2014/chart" uri="{C3380CC4-5D6E-409C-BE32-E72D297353CC}">
                <c16:uniqueId val="{00000015-DF58-4B5C-AB0F-1BFB69053935}"/>
              </c:ext>
            </c:extLst>
          </c:dPt>
          <c:dPt>
            <c:idx val="11"/>
            <c:invertIfNegative val="0"/>
            <c:bubble3D val="0"/>
            <c:spPr>
              <a:solidFill>
                <a:srgbClr val="FF0000"/>
              </a:solidFill>
              <a:ln>
                <a:noFill/>
              </a:ln>
              <a:effectLst/>
            </c:spPr>
            <c:extLst>
              <c:ext xmlns:c16="http://schemas.microsoft.com/office/drawing/2014/chart" uri="{C3380CC4-5D6E-409C-BE32-E72D297353CC}">
                <c16:uniqueId val="{00000017-DF58-4B5C-AB0F-1BFB69053935}"/>
              </c:ext>
            </c:extLst>
          </c:dPt>
          <c:dPt>
            <c:idx val="12"/>
            <c:invertIfNegative val="0"/>
            <c:bubble3D val="0"/>
            <c:spPr>
              <a:solidFill>
                <a:srgbClr val="FF9933"/>
              </a:solidFill>
              <a:ln>
                <a:noFill/>
              </a:ln>
              <a:effectLst/>
            </c:spPr>
            <c:extLst>
              <c:ext xmlns:c16="http://schemas.microsoft.com/office/drawing/2014/chart" uri="{C3380CC4-5D6E-409C-BE32-E72D297353CC}">
                <c16:uniqueId val="{00000019-DF58-4B5C-AB0F-1BFB69053935}"/>
              </c:ext>
            </c:extLst>
          </c:dPt>
          <c:dPt>
            <c:idx val="13"/>
            <c:invertIfNegative val="0"/>
            <c:bubble3D val="0"/>
            <c:spPr>
              <a:solidFill>
                <a:srgbClr val="FF9933"/>
              </a:solidFill>
              <a:ln>
                <a:noFill/>
              </a:ln>
              <a:effectLst/>
            </c:spPr>
            <c:extLst>
              <c:ext xmlns:c16="http://schemas.microsoft.com/office/drawing/2014/chart" uri="{C3380CC4-5D6E-409C-BE32-E72D297353CC}">
                <c16:uniqueId val="{0000001B-DF58-4B5C-AB0F-1BFB69053935}"/>
              </c:ext>
            </c:extLst>
          </c:dPt>
          <c:dPt>
            <c:idx val="14"/>
            <c:invertIfNegative val="0"/>
            <c:bubble3D val="0"/>
            <c:spPr>
              <a:solidFill>
                <a:srgbClr val="FF9933"/>
              </a:solidFill>
              <a:ln>
                <a:noFill/>
              </a:ln>
              <a:effectLst/>
            </c:spPr>
            <c:extLst>
              <c:ext xmlns:c16="http://schemas.microsoft.com/office/drawing/2014/chart" uri="{C3380CC4-5D6E-409C-BE32-E72D297353CC}">
                <c16:uniqueId val="{0000001D-DF58-4B5C-AB0F-1BFB69053935}"/>
              </c:ext>
            </c:extLst>
          </c:dPt>
          <c:dPt>
            <c:idx val="15"/>
            <c:invertIfNegative val="0"/>
            <c:bubble3D val="0"/>
            <c:spPr>
              <a:solidFill>
                <a:srgbClr val="FF9933"/>
              </a:solidFill>
              <a:ln>
                <a:noFill/>
              </a:ln>
              <a:effectLst/>
            </c:spPr>
            <c:extLst>
              <c:ext xmlns:c16="http://schemas.microsoft.com/office/drawing/2014/chart" uri="{C3380CC4-5D6E-409C-BE32-E72D297353CC}">
                <c16:uniqueId val="{00000025-77E3-48E2-9CD8-270ACE34747F}"/>
              </c:ext>
            </c:extLst>
          </c:dPt>
          <c:dPt>
            <c:idx val="16"/>
            <c:invertIfNegative val="0"/>
            <c:bubble3D val="0"/>
            <c:spPr>
              <a:solidFill>
                <a:srgbClr val="FFFF00"/>
              </a:solidFill>
              <a:ln>
                <a:noFill/>
              </a:ln>
              <a:effectLst/>
            </c:spPr>
            <c:extLst>
              <c:ext xmlns:c16="http://schemas.microsoft.com/office/drawing/2014/chart" uri="{C3380CC4-5D6E-409C-BE32-E72D297353CC}">
                <c16:uniqueId val="{00000021-DF58-4B5C-AB0F-1BFB69053935}"/>
              </c:ext>
            </c:extLst>
          </c:dPt>
          <c:dPt>
            <c:idx val="17"/>
            <c:invertIfNegative val="0"/>
            <c:bubble3D val="0"/>
            <c:spPr>
              <a:solidFill>
                <a:srgbClr val="FFFF00"/>
              </a:solidFill>
              <a:ln>
                <a:noFill/>
              </a:ln>
              <a:effectLst/>
            </c:spPr>
            <c:extLst>
              <c:ext xmlns:c16="http://schemas.microsoft.com/office/drawing/2014/chart" uri="{C3380CC4-5D6E-409C-BE32-E72D297353CC}">
                <c16:uniqueId val="{00000023-DF58-4B5C-AB0F-1BFB69053935}"/>
              </c:ext>
            </c:extLst>
          </c:dPt>
          <c:dPt>
            <c:idx val="18"/>
            <c:invertIfNegative val="0"/>
            <c:bubble3D val="0"/>
            <c:spPr>
              <a:solidFill>
                <a:srgbClr val="FFC000"/>
              </a:solidFill>
              <a:ln>
                <a:noFill/>
              </a:ln>
              <a:effectLst/>
            </c:spPr>
            <c:extLst>
              <c:ext xmlns:c16="http://schemas.microsoft.com/office/drawing/2014/chart" uri="{C3380CC4-5D6E-409C-BE32-E72D297353CC}">
                <c16:uniqueId val="{00000023-77E3-48E2-9CD8-270ACE34747F}"/>
              </c:ext>
            </c:extLst>
          </c:dPt>
          <c:dPt>
            <c:idx val="19"/>
            <c:invertIfNegative val="0"/>
            <c:bubble3D val="0"/>
            <c:spPr>
              <a:solidFill>
                <a:srgbClr val="FF6600"/>
              </a:solidFill>
              <a:ln>
                <a:noFill/>
              </a:ln>
              <a:effectLst/>
            </c:spPr>
            <c:extLst>
              <c:ext xmlns:c16="http://schemas.microsoft.com/office/drawing/2014/chart" uri="{C3380CC4-5D6E-409C-BE32-E72D297353CC}">
                <c16:uniqueId val="{00000024-77E3-48E2-9CD8-270ACE34747F}"/>
              </c:ext>
            </c:extLst>
          </c:dPt>
          <c:dLbls>
            <c:dLbl>
              <c:idx val="0"/>
              <c:layout>
                <c:manualLayout>
                  <c:x val="1.643554026403235E-3"/>
                  <c:y val="-0.3120566601374608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F58-4B5C-AB0F-1BFB69053935}"/>
                </c:ext>
              </c:extLst>
            </c:dLbl>
            <c:dLbl>
              <c:idx val="1"/>
              <c:layout>
                <c:manualLayout>
                  <c:x val="-1.5065737868006929E-17"/>
                  <c:y val="-0.1418439364261185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58-4B5C-AB0F-1BFB69053935}"/>
                </c:ext>
              </c:extLst>
            </c:dLbl>
            <c:dLbl>
              <c:idx val="2"/>
              <c:layout>
                <c:manualLayout>
                  <c:x val="0"/>
                  <c:y val="-0.33096918499427669"/>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58-4B5C-AB0F-1BFB69053935}"/>
                </c:ext>
              </c:extLst>
            </c:dLbl>
            <c:dLbl>
              <c:idx val="3"/>
              <c:layout>
                <c:manualLayout>
                  <c:x val="0"/>
                  <c:y val="-0.1197790758973026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F58-4B5C-AB0F-1BFB69053935}"/>
                </c:ext>
              </c:extLst>
            </c:dLbl>
            <c:dLbl>
              <c:idx val="4"/>
              <c:layout>
                <c:manualLayout>
                  <c:x val="-3.0131475736013858E-17"/>
                  <c:y val="-0.1513001988545264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F58-4B5C-AB0F-1BFB69053935}"/>
                </c:ext>
              </c:extLst>
            </c:dLbl>
            <c:dLbl>
              <c:idx val="5"/>
              <c:layout>
                <c:manualLayout>
                  <c:x val="1.6435540264032424E-3"/>
                  <c:y val="-0.2616232605192853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F58-4B5C-AB0F-1BFB69053935}"/>
                </c:ext>
              </c:extLst>
            </c:dLbl>
            <c:dLbl>
              <c:idx val="6"/>
              <c:layout>
                <c:manualLayout>
                  <c:x val="1.6435540264032424E-3"/>
                  <c:y val="-0.3152087476135967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F58-4B5C-AB0F-1BFB69053935}"/>
                </c:ext>
              </c:extLst>
            </c:dLbl>
            <c:dLbl>
              <c:idx val="7"/>
              <c:layout>
                <c:manualLayout>
                  <c:x val="-6.0262951472027715E-17"/>
                  <c:y val="-5.67375745704474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DF58-4B5C-AB0F-1BFB69053935}"/>
                </c:ext>
              </c:extLst>
            </c:dLbl>
            <c:dLbl>
              <c:idx val="8"/>
              <c:layout>
                <c:manualLayout>
                  <c:x val="4.930662079209727E-3"/>
                  <c:y val="-0.4160755468499477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DF58-4B5C-AB0F-1BFB69053935}"/>
                </c:ext>
              </c:extLst>
            </c:dLbl>
            <c:dLbl>
              <c:idx val="9"/>
              <c:layout>
                <c:manualLayout>
                  <c:x val="-3.2871080528065451E-3"/>
                  <c:y val="-0.2080377734249739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DF58-4B5C-AB0F-1BFB69053935}"/>
                </c:ext>
              </c:extLst>
            </c:dLbl>
            <c:dLbl>
              <c:idx val="10"/>
              <c:layout>
                <c:manualLayout>
                  <c:x val="1.6435540264032424E-3"/>
                  <c:y val="-0.1670606362352062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F58-4B5C-AB0F-1BFB69053935}"/>
                </c:ext>
              </c:extLst>
            </c:dLbl>
            <c:dLbl>
              <c:idx val="11"/>
              <c:layout>
                <c:manualLayout>
                  <c:x val="-1.2052590294405543E-16"/>
                  <c:y val="-4.728131214203951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DF58-4B5C-AB0F-1BFB69053935}"/>
                </c:ext>
              </c:extLst>
            </c:dLbl>
            <c:dLbl>
              <c:idx val="12"/>
              <c:layout>
                <c:manualLayout>
                  <c:x val="0"/>
                  <c:y val="-0.1733648111874782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DF58-4B5C-AB0F-1BFB69053935}"/>
                </c:ext>
              </c:extLst>
            </c:dLbl>
            <c:dLbl>
              <c:idx val="13"/>
              <c:layout>
                <c:manualLayout>
                  <c:x val="3.2871080528064848E-3"/>
                  <c:y val="-0.176516898663614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DF58-4B5C-AB0F-1BFB69053935}"/>
                </c:ext>
              </c:extLst>
            </c:dLbl>
            <c:dLbl>
              <c:idx val="14"/>
              <c:layout>
                <c:manualLayout>
                  <c:x val="3.2871080528063643E-3"/>
                  <c:y val="-0.1733648111874782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DF58-4B5C-AB0F-1BFB69053935}"/>
                </c:ext>
              </c:extLst>
            </c:dLbl>
            <c:dLbl>
              <c:idx val="15"/>
              <c:layout>
                <c:manualLayout>
                  <c:x val="-1.6435540264032424E-3"/>
                  <c:y val="-0.1702127237113422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77E3-48E2-9CD8-270ACE34747F}"/>
                </c:ext>
              </c:extLst>
            </c:dLbl>
            <c:dLbl>
              <c:idx val="16"/>
              <c:layout>
                <c:manualLayout>
                  <c:x val="-1.2052590294405543E-16"/>
                  <c:y val="-0.2647753479954213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DF58-4B5C-AB0F-1BFB69053935}"/>
                </c:ext>
              </c:extLst>
            </c:dLbl>
            <c:dLbl>
              <c:idx val="17"/>
              <c:layout>
                <c:manualLayout>
                  <c:x val="-1.2052590294405543E-16"/>
                  <c:y val="-0.3026003977090529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DF58-4B5C-AB0F-1BFB69053935}"/>
                </c:ext>
              </c:extLst>
            </c:dLbl>
            <c:dLbl>
              <c:idx val="18"/>
              <c:layout>
                <c:manualLayout>
                  <c:x val="0"/>
                  <c:y val="-0.2269502982817897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77E3-48E2-9CD8-270ACE34747F}"/>
                </c:ext>
              </c:extLst>
            </c:dLbl>
            <c:dLbl>
              <c:idx val="19"/>
              <c:layout>
                <c:manualLayout>
                  <c:x val="-1.2052590294405543E-16"/>
                  <c:y val="-0.12923558652157469"/>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77E3-48E2-9CD8-270ACE34747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'Performance by Goal'!$C$2:$C$23</c:f>
              <c:strCache>
                <c:ptCount val="20"/>
                <c:pt idx="0">
                  <c:v>Goal 1</c:v>
                </c:pt>
                <c:pt idx="1">
                  <c:v>Goal 2</c:v>
                </c:pt>
                <c:pt idx="2">
                  <c:v>Goal 3</c:v>
                </c:pt>
                <c:pt idx="3">
                  <c:v>Goal 4</c:v>
                </c:pt>
                <c:pt idx="4">
                  <c:v>Goal 5</c:v>
                </c:pt>
                <c:pt idx="5">
                  <c:v>Goal 6</c:v>
                </c:pt>
                <c:pt idx="6">
                  <c:v>Goal 7</c:v>
                </c:pt>
                <c:pt idx="7">
                  <c:v>Goal 8</c:v>
                </c:pt>
                <c:pt idx="8">
                  <c:v>Goal 9</c:v>
                </c:pt>
                <c:pt idx="9">
                  <c:v>Goal 10</c:v>
                </c:pt>
                <c:pt idx="10">
                  <c:v>Goal 11</c:v>
                </c:pt>
                <c:pt idx="11">
                  <c:v>Goal 12</c:v>
                </c:pt>
                <c:pt idx="12">
                  <c:v>Goal 13</c:v>
                </c:pt>
                <c:pt idx="13">
                  <c:v>Goal 14</c:v>
                </c:pt>
                <c:pt idx="14">
                  <c:v>Goal 15</c:v>
                </c:pt>
                <c:pt idx="15">
                  <c:v>Goal 16</c:v>
                </c:pt>
                <c:pt idx="16">
                  <c:v>Goal 17</c:v>
                </c:pt>
                <c:pt idx="17">
                  <c:v>Goal 18</c:v>
                </c:pt>
                <c:pt idx="18">
                  <c:v>Goal 19</c:v>
                </c:pt>
                <c:pt idx="19">
                  <c:v>Goal 20</c:v>
                </c:pt>
              </c:strCache>
            </c:strRef>
          </c:cat>
          <c:val>
            <c:numRef>
              <c:f>'Performance by Goal'!$E$2:$E$23</c:f>
              <c:numCache>
                <c:formatCode>0%</c:formatCode>
                <c:ptCount val="20"/>
                <c:pt idx="0">
                  <c:v>0.65551614525762159</c:v>
                </c:pt>
                <c:pt idx="1">
                  <c:v>0.25995592063651768</c:v>
                </c:pt>
                <c:pt idx="2">
                  <c:v>0.6780699586600395</c:v>
                </c:pt>
                <c:pt idx="3">
                  <c:v>0.19710816585816585</c:v>
                </c:pt>
                <c:pt idx="4">
                  <c:v>0.28075468774213541</c:v>
                </c:pt>
                <c:pt idx="5">
                  <c:v>0.5434782608695653</c:v>
                </c:pt>
                <c:pt idx="6">
                  <c:v>0.66667637333488639</c:v>
                </c:pt>
                <c:pt idx="7">
                  <c:v>6.3934820802575357E-2</c:v>
                </c:pt>
                <c:pt idx="8">
                  <c:v>0.88888888888888895</c:v>
                </c:pt>
                <c:pt idx="9">
                  <c:v>0.4082494667174843</c:v>
                </c:pt>
                <c:pt idx="10">
                  <c:v>0.32142857142857145</c:v>
                </c:pt>
                <c:pt idx="11">
                  <c:v>0</c:v>
                </c:pt>
                <c:pt idx="12">
                  <c:v>0.33333333333333331</c:v>
                </c:pt>
                <c:pt idx="13">
                  <c:v>0.33333333333333331</c:v>
                </c:pt>
                <c:pt idx="14">
                  <c:v>0.33333333333333331</c:v>
                </c:pt>
                <c:pt idx="15">
                  <c:v>0.33333333333333331</c:v>
                </c:pt>
                <c:pt idx="16">
                  <c:v>0.53560773120122074</c:v>
                </c:pt>
                <c:pt idx="17">
                  <c:v>0.63807862438238783</c:v>
                </c:pt>
                <c:pt idx="18">
                  <c:v>0.4445385139279277</c:v>
                </c:pt>
                <c:pt idx="19">
                  <c:v>0.22817909763273367</c:v>
                </c:pt>
              </c:numCache>
            </c:numRef>
          </c:val>
          <c:extLst>
            <c:ext xmlns:c16="http://schemas.microsoft.com/office/drawing/2014/chart" uri="{C3380CC4-5D6E-409C-BE32-E72D297353CC}">
              <c16:uniqueId val="{00000022-77E3-48E2-9CD8-270ACE34747F}"/>
            </c:ext>
          </c:extLst>
        </c:ser>
        <c:dLbls>
          <c:showLegendKey val="0"/>
          <c:showVal val="0"/>
          <c:showCatName val="0"/>
          <c:showSerName val="0"/>
          <c:showPercent val="0"/>
          <c:showBubbleSize val="0"/>
        </c:dLbls>
        <c:gapWidth val="150"/>
        <c:overlap val="100"/>
        <c:axId val="2052780656"/>
        <c:axId val="2051166640"/>
      </c:barChart>
      <c:catAx>
        <c:axId val="2052780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1166640"/>
        <c:crosses val="autoZero"/>
        <c:auto val="1"/>
        <c:lblAlgn val="ctr"/>
        <c:lblOffset val="100"/>
        <c:noMultiLvlLbl val="0"/>
      </c:catAx>
      <c:valAx>
        <c:axId val="20511666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052780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133349</xdr:colOff>
      <xdr:row>10</xdr:row>
      <xdr:rowOff>123824</xdr:rowOff>
    </xdr:from>
    <xdr:to>
      <xdr:col>2</xdr:col>
      <xdr:colOff>404811</xdr:colOff>
      <xdr:row>33</xdr:row>
      <xdr:rowOff>47625</xdr:rowOff>
    </xdr:to>
    <xdr:graphicFrame macro="">
      <xdr:nvGraphicFramePr>
        <xdr:cNvPr id="3" name="Chart 2">
          <a:extLst>
            <a:ext uri="{FF2B5EF4-FFF2-40B4-BE49-F238E27FC236}">
              <a16:creationId xmlns:a16="http://schemas.microsoft.com/office/drawing/2014/main" id="{FDC33054-816A-4312-B67C-1D671D5113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130967</xdr:colOff>
      <xdr:row>1</xdr:row>
      <xdr:rowOff>33337</xdr:rowOff>
    </xdr:from>
    <xdr:to>
      <xdr:col>15</xdr:col>
      <xdr:colOff>347662</xdr:colOff>
      <xdr:row>15</xdr:row>
      <xdr:rowOff>185738</xdr:rowOff>
    </xdr:to>
    <xdr:graphicFrame macro="">
      <xdr:nvGraphicFramePr>
        <xdr:cNvPr id="2" name="Chart 1">
          <a:extLst>
            <a:ext uri="{FF2B5EF4-FFF2-40B4-BE49-F238E27FC236}">
              <a16:creationId xmlns:a16="http://schemas.microsoft.com/office/drawing/2014/main" id="{FFEA0A31-29D2-4AD0-86B5-E9F1425171C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E6453-5B53-4B7A-8243-4114A4C9C88E}">
  <dimension ref="A1:B10"/>
  <sheetViews>
    <sheetView topLeftCell="A14" workbookViewId="0">
      <selection activeCell="B11" sqref="B11"/>
    </sheetView>
  </sheetViews>
  <sheetFormatPr defaultRowHeight="14.25" x14ac:dyDescent="0.45"/>
  <cols>
    <col min="1" max="1" width="91.46484375" customWidth="1"/>
    <col min="2" max="2" width="12.33203125" customWidth="1"/>
  </cols>
  <sheetData>
    <row r="1" spans="1:2" x14ac:dyDescent="0.45">
      <c r="A1" t="s">
        <v>360</v>
      </c>
      <c r="B1" t="s">
        <v>330</v>
      </c>
    </row>
    <row r="3" spans="1:2" x14ac:dyDescent="0.45">
      <c r="A3" t="s">
        <v>361</v>
      </c>
      <c r="B3" t="s">
        <v>331</v>
      </c>
    </row>
    <row r="4" spans="1:2" x14ac:dyDescent="0.45">
      <c r="A4" s="303" t="s">
        <v>374</v>
      </c>
      <c r="B4" s="304">
        <f>'Initial Analysis Table'!E2</f>
        <v>0.4319930250373894</v>
      </c>
    </row>
    <row r="5" spans="1:2" ht="24" x14ac:dyDescent="0.45">
      <c r="A5" s="303" t="s">
        <v>375</v>
      </c>
      <c r="B5" s="304">
        <f>'Initial Analysis Table'!E10</f>
        <v>0.45369105880298294</v>
      </c>
    </row>
    <row r="6" spans="1:2" x14ac:dyDescent="0.45">
      <c r="A6" s="303" t="s">
        <v>376</v>
      </c>
      <c r="B6" s="304">
        <f>'Initial Analysis Table'!E14</f>
        <v>0.16071428571428573</v>
      </c>
    </row>
    <row r="7" spans="1:2" x14ac:dyDescent="0.45">
      <c r="A7" s="303" t="s">
        <v>377</v>
      </c>
      <c r="B7" s="304">
        <f>'Initial Analysis Table'!E17</f>
        <v>0.33333333333333331</v>
      </c>
    </row>
    <row r="8" spans="1:2" x14ac:dyDescent="0.45">
      <c r="A8" s="303" t="s">
        <v>378</v>
      </c>
      <c r="B8" s="304">
        <f>'Initial Analysis Table'!E21</f>
        <v>0.33333333333333331</v>
      </c>
    </row>
    <row r="9" spans="1:2" x14ac:dyDescent="0.45">
      <c r="A9" s="303" t="s">
        <v>379</v>
      </c>
      <c r="B9" s="304">
        <f>'Initial Analysis Table'!E23</f>
        <v>0.56976469559494314</v>
      </c>
    </row>
    <row r="10" spans="1:2" x14ac:dyDescent="0.45">
      <c r="A10" s="303" t="s">
        <v>380</v>
      </c>
      <c r="B10" s="304">
        <f>'Initial Analysis Table'!E26</f>
        <v>0.28226895170653216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5A0B6-26E0-4B61-8FE9-C980F33022EF}">
  <dimension ref="B1:P24"/>
  <sheetViews>
    <sheetView topLeftCell="E4" workbookViewId="0">
      <selection activeCell="Q10" sqref="Q10"/>
    </sheetView>
  </sheetViews>
  <sheetFormatPr defaultColWidth="8.86328125" defaultRowHeight="14.25" x14ac:dyDescent="0.45"/>
  <cols>
    <col min="1" max="1" width="0" style="5" hidden="1" customWidth="1"/>
    <col min="2" max="2" width="14.796875" style="5" customWidth="1"/>
    <col min="3" max="3" width="14.19921875" style="5" customWidth="1"/>
    <col min="4" max="4" width="72.1328125" style="5" hidden="1" customWidth="1"/>
    <col min="5" max="5" width="15.73046875" style="5" customWidth="1"/>
    <col min="6" max="6" width="38.6640625" style="5" customWidth="1"/>
    <col min="7" max="7" width="36.59765625" style="21" customWidth="1"/>
    <col min="8" max="8" width="16.1328125" style="5" customWidth="1"/>
    <col min="9" max="9" width="4.86328125" style="5" customWidth="1"/>
    <col min="10" max="10" width="8.86328125" style="21"/>
    <col min="11" max="15" width="0" style="21" hidden="1" customWidth="1"/>
    <col min="16" max="16" width="8.86328125" style="21"/>
    <col min="17" max="19" width="28.46484375" style="5" customWidth="1"/>
    <col min="20" max="16384" width="8.86328125" style="5"/>
  </cols>
  <sheetData>
    <row r="1" spans="2:5" ht="22.5" customHeight="1" thickBot="1" x14ac:dyDescent="0.55000000000000004">
      <c r="B1" s="318" t="s">
        <v>360</v>
      </c>
      <c r="C1" s="258" t="s">
        <v>359</v>
      </c>
      <c r="D1" s="268" t="s">
        <v>358</v>
      </c>
      <c r="E1" s="258" t="s">
        <v>331</v>
      </c>
    </row>
    <row r="2" spans="2:5" ht="22.5" customHeight="1" x14ac:dyDescent="0.45">
      <c r="B2" s="309" t="s">
        <v>332</v>
      </c>
      <c r="C2" s="310" t="s">
        <v>340</v>
      </c>
      <c r="D2" s="311" t="s">
        <v>1</v>
      </c>
      <c r="E2" s="312">
        <f>'Initial Analysis Table'!E3</f>
        <v>0.65551614525762159</v>
      </c>
    </row>
    <row r="3" spans="2:5" ht="22.5" customHeight="1" x14ac:dyDescent="0.45">
      <c r="B3" s="313" t="s">
        <v>332</v>
      </c>
      <c r="C3" s="307" t="s">
        <v>341</v>
      </c>
      <c r="D3" s="308" t="s">
        <v>11</v>
      </c>
      <c r="E3" s="314">
        <f>'Initial Analysis Table'!E4</f>
        <v>0.25995592063651768</v>
      </c>
    </row>
    <row r="4" spans="2:5" ht="22.5" customHeight="1" x14ac:dyDescent="0.45">
      <c r="B4" s="313" t="s">
        <v>332</v>
      </c>
      <c r="C4" s="307" t="s">
        <v>342</v>
      </c>
      <c r="D4" s="308" t="s">
        <v>13</v>
      </c>
      <c r="E4" s="314">
        <f>'Initial Analysis Table'!E5</f>
        <v>0.6780699586600395</v>
      </c>
    </row>
    <row r="5" spans="2:5" ht="22.5" customHeight="1" x14ac:dyDescent="0.45">
      <c r="B5" s="313" t="s">
        <v>332</v>
      </c>
      <c r="C5" s="307" t="s">
        <v>343</v>
      </c>
      <c r="D5" s="308" t="s">
        <v>18</v>
      </c>
      <c r="E5" s="314">
        <f>'Initial Analysis Table'!E6</f>
        <v>0.19710816585816585</v>
      </c>
    </row>
    <row r="6" spans="2:5" ht="22.5" customHeight="1" x14ac:dyDescent="0.45">
      <c r="B6" s="313" t="s">
        <v>332</v>
      </c>
      <c r="C6" s="307" t="s">
        <v>344</v>
      </c>
      <c r="D6" s="308" t="s">
        <v>26</v>
      </c>
      <c r="E6" s="314">
        <f>'Initial Analysis Table'!E7</f>
        <v>0.28075468774213541</v>
      </c>
    </row>
    <row r="7" spans="2:5" ht="22.5" customHeight="1" x14ac:dyDescent="0.45">
      <c r="B7" s="313" t="s">
        <v>332</v>
      </c>
      <c r="C7" s="307" t="s">
        <v>345</v>
      </c>
      <c r="D7" s="308" t="s">
        <v>28</v>
      </c>
      <c r="E7" s="314">
        <f>'Initial Analysis Table'!E8</f>
        <v>0.5434782608695653</v>
      </c>
    </row>
    <row r="8" spans="2:5" ht="22.5" customHeight="1" x14ac:dyDescent="0.45">
      <c r="B8" s="313" t="s">
        <v>332</v>
      </c>
      <c r="C8" s="307" t="s">
        <v>346</v>
      </c>
      <c r="D8" s="308" t="s">
        <v>32</v>
      </c>
      <c r="E8" s="314">
        <f>'Initial Analysis Table'!E9</f>
        <v>0.66667637333488639</v>
      </c>
    </row>
    <row r="9" spans="2:5" ht="20.350000000000001" customHeight="1" x14ac:dyDescent="0.45">
      <c r="B9" s="313" t="s">
        <v>332</v>
      </c>
      <c r="C9" s="307" t="s">
        <v>347</v>
      </c>
      <c r="D9" s="308" t="s">
        <v>37</v>
      </c>
      <c r="E9" s="314">
        <f>'Initial Analysis Table'!E11</f>
        <v>6.3934820802575357E-2</v>
      </c>
    </row>
    <row r="10" spans="2:5" ht="20.350000000000001" customHeight="1" x14ac:dyDescent="0.45">
      <c r="B10" s="313" t="s">
        <v>332</v>
      </c>
      <c r="C10" s="307" t="s">
        <v>348</v>
      </c>
      <c r="D10" s="308" t="s">
        <v>39</v>
      </c>
      <c r="E10" s="314">
        <f>'Initial Analysis Table'!E12</f>
        <v>0.88888888888888895</v>
      </c>
    </row>
    <row r="11" spans="2:5" ht="20.350000000000001" customHeight="1" x14ac:dyDescent="0.45">
      <c r="B11" s="313" t="s">
        <v>332</v>
      </c>
      <c r="C11" s="307" t="s">
        <v>349</v>
      </c>
      <c r="D11" s="308" t="s">
        <v>40</v>
      </c>
      <c r="E11" s="314">
        <f>'Initial Analysis Table'!E13</f>
        <v>0.4082494667174843</v>
      </c>
    </row>
    <row r="12" spans="2:5" ht="21.85" customHeight="1" x14ac:dyDescent="0.45">
      <c r="B12" s="313" t="s">
        <v>332</v>
      </c>
      <c r="C12" s="307" t="s">
        <v>350</v>
      </c>
      <c r="D12" s="308" t="s">
        <v>48</v>
      </c>
      <c r="E12" s="314">
        <f>'Initial Analysis Table'!E15</f>
        <v>0.32142857142857145</v>
      </c>
    </row>
    <row r="13" spans="2:5" ht="21.85" customHeight="1" x14ac:dyDescent="0.45">
      <c r="B13" s="313" t="s">
        <v>332</v>
      </c>
      <c r="C13" s="307" t="s">
        <v>351</v>
      </c>
      <c r="D13" s="308" t="s">
        <v>366</v>
      </c>
      <c r="E13" s="314">
        <f>'Initial Analysis Table'!E16</f>
        <v>0</v>
      </c>
    </row>
    <row r="14" spans="2:5" ht="21.85" customHeight="1" x14ac:dyDescent="0.45">
      <c r="B14" s="313" t="s">
        <v>332</v>
      </c>
      <c r="C14" s="307" t="s">
        <v>352</v>
      </c>
      <c r="D14" s="308" t="s">
        <v>59</v>
      </c>
      <c r="E14" s="314">
        <f>'Initial Analysis Table'!E18</f>
        <v>0.33333333333333331</v>
      </c>
    </row>
    <row r="15" spans="2:5" ht="21.85" customHeight="1" x14ac:dyDescent="0.45">
      <c r="B15" s="313" t="s">
        <v>332</v>
      </c>
      <c r="C15" s="307" t="s">
        <v>353</v>
      </c>
      <c r="D15" s="308" t="s">
        <v>368</v>
      </c>
      <c r="E15" s="314">
        <f>'Initial Analysis Table'!E19</f>
        <v>0.33333333333333331</v>
      </c>
    </row>
    <row r="16" spans="2:5" ht="21.85" customHeight="1" x14ac:dyDescent="0.45">
      <c r="B16" s="313" t="s">
        <v>332</v>
      </c>
      <c r="C16" s="307" t="s">
        <v>354</v>
      </c>
      <c r="D16" s="308" t="s">
        <v>64</v>
      </c>
      <c r="E16" s="314">
        <f>'Initial Analysis Table'!E20</f>
        <v>0.33333333333333331</v>
      </c>
    </row>
    <row r="17" spans="2:5" ht="21.85" customHeight="1" x14ac:dyDescent="0.45">
      <c r="B17" s="313" t="s">
        <v>332</v>
      </c>
      <c r="C17" s="307" t="s">
        <v>355</v>
      </c>
      <c r="D17" s="308" t="s">
        <v>370</v>
      </c>
      <c r="E17" s="314">
        <f>'Initial Analysis Table'!E22</f>
        <v>0.33333333333333331</v>
      </c>
    </row>
    <row r="18" spans="2:5" ht="21.85" customHeight="1" x14ac:dyDescent="0.45">
      <c r="B18" s="313" t="s">
        <v>332</v>
      </c>
      <c r="C18" s="307" t="s">
        <v>356</v>
      </c>
      <c r="D18" s="308" t="s">
        <v>72</v>
      </c>
      <c r="E18" s="314">
        <f>'Initial Analysis Table'!E24</f>
        <v>0.53560773120122074</v>
      </c>
    </row>
    <row r="19" spans="2:5" ht="21.85" customHeight="1" thickBot="1" x14ac:dyDescent="0.5">
      <c r="B19" s="315" t="s">
        <v>332</v>
      </c>
      <c r="C19" s="316" t="s">
        <v>357</v>
      </c>
      <c r="D19" s="317" t="s">
        <v>75</v>
      </c>
      <c r="E19" s="248">
        <f>'Initial Analysis Table'!E25</f>
        <v>0.63807862438238783</v>
      </c>
    </row>
    <row r="20" spans="2:5" ht="24.85" hidden="1" customHeight="1" x14ac:dyDescent="0.5">
      <c r="B20" s="305" t="s">
        <v>332</v>
      </c>
      <c r="C20" s="270" t="s">
        <v>357</v>
      </c>
      <c r="D20" s="186" t="s">
        <v>82</v>
      </c>
      <c r="E20" s="306">
        <f>'Continental Level Dashboard'!F94</f>
        <v>0.4445385139279277</v>
      </c>
    </row>
    <row r="21" spans="2:5" ht="24.85" hidden="1" customHeight="1" x14ac:dyDescent="0.45">
      <c r="B21" s="254" t="s">
        <v>332</v>
      </c>
      <c r="C21" s="250" t="s">
        <v>357</v>
      </c>
      <c r="D21" s="184" t="s">
        <v>373</v>
      </c>
      <c r="E21" s="110">
        <f>'Continental Level Dashboard'!F98</f>
        <v>0.22817909763273367</v>
      </c>
    </row>
    <row r="22" spans="2:5" ht="24.85" customHeight="1" thickBot="1" x14ac:dyDescent="0.5">
      <c r="B22" s="5" t="s">
        <v>332</v>
      </c>
      <c r="C22" s="5" t="s">
        <v>393</v>
      </c>
      <c r="D22" s="259"/>
      <c r="E22" s="248">
        <f>'Initial Analysis Table'!E27</f>
        <v>0.4445385139279277</v>
      </c>
    </row>
    <row r="23" spans="2:5" ht="24.85" customHeight="1" thickBot="1" x14ac:dyDescent="0.5">
      <c r="B23" s="5" t="s">
        <v>332</v>
      </c>
      <c r="C23" s="5" t="s">
        <v>394</v>
      </c>
      <c r="D23" s="259"/>
      <c r="E23" s="248">
        <f>'Initial Analysis Table'!E28</f>
        <v>0.22817909763273367</v>
      </c>
    </row>
    <row r="24" spans="2:5" ht="24.85" customHeight="1" x14ac:dyDescent="0.45">
      <c r="D24" s="259"/>
      <c r="E24" s="260"/>
    </row>
  </sheetData>
  <conditionalFormatting sqref="E2:E21">
    <cfRule type="colorScale" priority="3">
      <colorScale>
        <cfvo type="num" val="0"/>
        <cfvo type="num" val="0.6"/>
        <cfvo type="num" val="1"/>
        <color rgb="FFFF0000"/>
        <color rgb="FFFFFF00"/>
        <color rgb="FF92FB4B"/>
      </colorScale>
    </cfRule>
  </conditionalFormatting>
  <conditionalFormatting sqref="E22">
    <cfRule type="colorScale" priority="2">
      <colorScale>
        <cfvo type="num" val="0"/>
        <cfvo type="num" val="0.6"/>
        <cfvo type="num" val="1"/>
        <color rgb="FFFF0000"/>
        <color rgb="FFFFFF00"/>
        <color rgb="FF92FB4B"/>
      </colorScale>
    </cfRule>
  </conditionalFormatting>
  <conditionalFormatting sqref="E23">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B88EB-6562-4DFF-A761-0C5719E7760C}">
  <dimension ref="B1:P31"/>
  <sheetViews>
    <sheetView topLeftCell="B1" zoomScaleNormal="100" workbookViewId="0">
      <selection activeCell="E2" sqref="E2"/>
    </sheetView>
  </sheetViews>
  <sheetFormatPr defaultColWidth="8.86328125" defaultRowHeight="14.25" x14ac:dyDescent="0.45"/>
  <cols>
    <col min="1" max="1" width="0" style="5" hidden="1" customWidth="1"/>
    <col min="2" max="2" width="14.796875" style="5" customWidth="1"/>
    <col min="3" max="3" width="14.19921875" style="5" customWidth="1"/>
    <col min="4" max="4" width="72.1328125" style="5" customWidth="1"/>
    <col min="5" max="5" width="15.73046875" style="5" customWidth="1"/>
    <col min="6" max="6" width="38.6640625" style="5" customWidth="1"/>
    <col min="7" max="7" width="36.59765625" style="21" customWidth="1"/>
    <col min="8" max="8" width="16.1328125" style="5" customWidth="1"/>
    <col min="9" max="9" width="4.86328125" style="5" customWidth="1"/>
    <col min="10" max="10" width="8.86328125" style="21"/>
    <col min="11" max="15" width="0" style="21" hidden="1" customWidth="1"/>
    <col min="16" max="16" width="8.86328125" style="21"/>
    <col min="17" max="19" width="28.46484375" style="5" customWidth="1"/>
    <col min="20" max="16384" width="8.86328125" style="5"/>
  </cols>
  <sheetData>
    <row r="1" spans="2:5" ht="22.5" customHeight="1" thickBot="1" x14ac:dyDescent="0.55000000000000004">
      <c r="B1" s="262" t="s">
        <v>360</v>
      </c>
      <c r="C1" s="258" t="s">
        <v>359</v>
      </c>
      <c r="D1" s="268" t="s">
        <v>358</v>
      </c>
      <c r="E1" s="258" t="s">
        <v>331</v>
      </c>
    </row>
    <row r="2" spans="2:5" ht="22.5" customHeight="1" thickBot="1" x14ac:dyDescent="0.5">
      <c r="B2" s="263" t="s">
        <v>330</v>
      </c>
      <c r="C2" s="269" t="s">
        <v>333</v>
      </c>
      <c r="D2" s="300" t="s">
        <v>363</v>
      </c>
      <c r="E2" s="110">
        <f>'Continental Level Dashboard'!F10</f>
        <v>0.4319930250373894</v>
      </c>
    </row>
    <row r="3" spans="2:5" ht="22.5" customHeight="1" thickBot="1" x14ac:dyDescent="0.5">
      <c r="B3" s="264" t="s">
        <v>332</v>
      </c>
      <c r="C3" s="270" t="s">
        <v>340</v>
      </c>
      <c r="D3" s="186" t="s">
        <v>1</v>
      </c>
      <c r="E3" s="110">
        <f>'Continental Level Dashboard'!F11</f>
        <v>0.65551614525762159</v>
      </c>
    </row>
    <row r="4" spans="2:5" ht="22.5" customHeight="1" thickBot="1" x14ac:dyDescent="0.5">
      <c r="B4" s="265" t="s">
        <v>332</v>
      </c>
      <c r="C4" s="249" t="s">
        <v>341</v>
      </c>
      <c r="D4" s="185" t="s">
        <v>11</v>
      </c>
      <c r="E4" s="110">
        <f>'Continental Level Dashboard'!F19</f>
        <v>0.25995592063651768</v>
      </c>
    </row>
    <row r="5" spans="2:5" ht="22.5" customHeight="1" thickBot="1" x14ac:dyDescent="0.5">
      <c r="B5" s="265" t="s">
        <v>332</v>
      </c>
      <c r="C5" s="249" t="s">
        <v>342</v>
      </c>
      <c r="D5" s="185" t="s">
        <v>13</v>
      </c>
      <c r="E5" s="110">
        <f>'Continental Level Dashboard'!F24</f>
        <v>0.6780699586600395</v>
      </c>
    </row>
    <row r="6" spans="2:5" ht="22.5" customHeight="1" thickBot="1" x14ac:dyDescent="0.5">
      <c r="B6" s="265" t="s">
        <v>332</v>
      </c>
      <c r="C6" s="249" t="s">
        <v>343</v>
      </c>
      <c r="D6" s="185" t="s">
        <v>18</v>
      </c>
      <c r="E6" s="110">
        <f>'Continental Level Dashboard'!F33</f>
        <v>0.19710816585816585</v>
      </c>
    </row>
    <row r="7" spans="2:5" ht="22.5" customHeight="1" thickBot="1" x14ac:dyDescent="0.5">
      <c r="B7" s="265" t="s">
        <v>332</v>
      </c>
      <c r="C7" s="249" t="s">
        <v>344</v>
      </c>
      <c r="D7" s="185" t="s">
        <v>26</v>
      </c>
      <c r="E7" s="110">
        <f>'Continental Level Dashboard'!F38</f>
        <v>0.28075468774213541</v>
      </c>
    </row>
    <row r="8" spans="2:5" ht="22.5" customHeight="1" thickBot="1" x14ac:dyDescent="0.5">
      <c r="B8" s="265" t="s">
        <v>332</v>
      </c>
      <c r="C8" s="249" t="s">
        <v>345</v>
      </c>
      <c r="D8" s="185" t="s">
        <v>28</v>
      </c>
      <c r="E8" s="110">
        <f>'Continental Level Dashboard'!F41</f>
        <v>0.5434782608695653</v>
      </c>
    </row>
    <row r="9" spans="2:5" ht="22.5" customHeight="1" thickBot="1" x14ac:dyDescent="0.5">
      <c r="B9" s="266" t="s">
        <v>332</v>
      </c>
      <c r="C9" s="271" t="s">
        <v>346</v>
      </c>
      <c r="D9" s="301" t="s">
        <v>32</v>
      </c>
      <c r="E9" s="110">
        <f>'Continental Level Dashboard'!F44</f>
        <v>0.66667637333488639</v>
      </c>
    </row>
    <row r="10" spans="2:5" ht="35.25" customHeight="1" thickBot="1" x14ac:dyDescent="0.5">
      <c r="B10" s="263" t="s">
        <v>330</v>
      </c>
      <c r="C10" s="269" t="s">
        <v>334</v>
      </c>
      <c r="D10" s="300" t="s">
        <v>364</v>
      </c>
      <c r="E10" s="110">
        <f>'Continental Level Dashboard'!F47</f>
        <v>0.45369105880298294</v>
      </c>
    </row>
    <row r="11" spans="2:5" ht="20.350000000000001" customHeight="1" thickBot="1" x14ac:dyDescent="0.5">
      <c r="B11" s="264" t="s">
        <v>332</v>
      </c>
      <c r="C11" s="272" t="s">
        <v>347</v>
      </c>
      <c r="D11" s="186" t="s">
        <v>37</v>
      </c>
      <c r="E11" s="110">
        <f>'Continental Level Dashboard'!F48</f>
        <v>6.3934820802575357E-2</v>
      </c>
    </row>
    <row r="12" spans="2:5" ht="20.350000000000001" customHeight="1" thickBot="1" x14ac:dyDescent="0.5">
      <c r="B12" s="265" t="s">
        <v>332</v>
      </c>
      <c r="C12" s="272" t="s">
        <v>348</v>
      </c>
      <c r="D12" s="186" t="s">
        <v>39</v>
      </c>
      <c r="E12" s="110">
        <f>'Continental Level Dashboard'!F51</f>
        <v>0.88888888888888895</v>
      </c>
    </row>
    <row r="13" spans="2:5" ht="20.350000000000001" customHeight="1" thickBot="1" x14ac:dyDescent="0.5">
      <c r="B13" s="266" t="s">
        <v>332</v>
      </c>
      <c r="C13" s="272" t="s">
        <v>349</v>
      </c>
      <c r="D13" s="302" t="s">
        <v>40</v>
      </c>
      <c r="E13" s="110">
        <f>'Continental Level Dashboard'!F53</f>
        <v>0.4082494667174843</v>
      </c>
    </row>
    <row r="14" spans="2:5" ht="21.85" customHeight="1" thickBot="1" x14ac:dyDescent="0.5">
      <c r="B14" s="263" t="s">
        <v>330</v>
      </c>
      <c r="C14" s="269" t="s">
        <v>335</v>
      </c>
      <c r="D14" s="300" t="s">
        <v>365</v>
      </c>
      <c r="E14" s="110">
        <f>'Continental Level Dashboard'!F60</f>
        <v>0.16071428571428573</v>
      </c>
    </row>
    <row r="15" spans="2:5" ht="21.85" customHeight="1" thickBot="1" x14ac:dyDescent="0.5">
      <c r="B15" s="264" t="s">
        <v>332</v>
      </c>
      <c r="C15" s="272" t="s">
        <v>350</v>
      </c>
      <c r="D15" s="186" t="s">
        <v>48</v>
      </c>
      <c r="E15" s="110">
        <f>'Continental Level Dashboard'!F61</f>
        <v>0.32142857142857145</v>
      </c>
    </row>
    <row r="16" spans="2:5" ht="21.85" customHeight="1" thickBot="1" x14ac:dyDescent="0.5">
      <c r="B16" s="266" t="s">
        <v>332</v>
      </c>
      <c r="C16" s="272" t="s">
        <v>351</v>
      </c>
      <c r="D16" s="301" t="s">
        <v>366</v>
      </c>
      <c r="E16" s="110">
        <f>'Continental Level Dashboard'!F68</f>
        <v>0</v>
      </c>
    </row>
    <row r="17" spans="2:5" ht="21.85" customHeight="1" thickBot="1" x14ac:dyDescent="0.5">
      <c r="B17" s="263" t="s">
        <v>330</v>
      </c>
      <c r="C17" s="269" t="s">
        <v>336</v>
      </c>
      <c r="D17" s="300" t="s">
        <v>367</v>
      </c>
      <c r="E17" s="110">
        <f>'Continental Level Dashboard'!F70</f>
        <v>0.33333333333333331</v>
      </c>
    </row>
    <row r="18" spans="2:5" ht="21.85" customHeight="1" thickBot="1" x14ac:dyDescent="0.5">
      <c r="B18" s="264" t="s">
        <v>332</v>
      </c>
      <c r="C18" s="270" t="s">
        <v>352</v>
      </c>
      <c r="D18" s="186" t="s">
        <v>59</v>
      </c>
      <c r="E18" s="110">
        <f>'Continental Level Dashboard'!F71</f>
        <v>0.33333333333333331</v>
      </c>
    </row>
    <row r="19" spans="2:5" ht="21.85" customHeight="1" thickBot="1" x14ac:dyDescent="0.5">
      <c r="B19" s="265" t="s">
        <v>332</v>
      </c>
      <c r="C19" s="249" t="s">
        <v>353</v>
      </c>
      <c r="D19" s="185" t="s">
        <v>368</v>
      </c>
      <c r="E19" s="110">
        <f>'Continental Level Dashboard'!F73</f>
        <v>0.33333333333333331</v>
      </c>
    </row>
    <row r="20" spans="2:5" ht="21.85" customHeight="1" thickBot="1" x14ac:dyDescent="0.5">
      <c r="B20" s="266" t="s">
        <v>332</v>
      </c>
      <c r="C20" s="271" t="s">
        <v>354</v>
      </c>
      <c r="D20" s="301" t="s">
        <v>64</v>
      </c>
      <c r="E20" s="110">
        <f>'Continental Level Dashboard'!F75</f>
        <v>0.33333333333333331</v>
      </c>
    </row>
    <row r="21" spans="2:5" ht="21.85" customHeight="1" thickBot="1" x14ac:dyDescent="0.5">
      <c r="B21" s="263" t="s">
        <v>330</v>
      </c>
      <c r="C21" s="269" t="s">
        <v>337</v>
      </c>
      <c r="D21" s="300" t="s">
        <v>369</v>
      </c>
      <c r="E21" s="110">
        <f>'Continental Level Dashboard'!F77</f>
        <v>0.33333333333333331</v>
      </c>
    </row>
    <row r="22" spans="2:5" ht="21.85" customHeight="1" thickBot="1" x14ac:dyDescent="0.5">
      <c r="B22" s="267" t="s">
        <v>332</v>
      </c>
      <c r="C22" s="272" t="s">
        <v>355</v>
      </c>
      <c r="D22" s="302" t="s">
        <v>370</v>
      </c>
      <c r="E22" s="110">
        <f>'Continental Level Dashboard'!F78</f>
        <v>0.33333333333333331</v>
      </c>
    </row>
    <row r="23" spans="2:5" ht="21.85" customHeight="1" thickBot="1" x14ac:dyDescent="0.5">
      <c r="B23" s="263" t="s">
        <v>330</v>
      </c>
      <c r="C23" s="269" t="s">
        <v>338</v>
      </c>
      <c r="D23" s="300" t="s">
        <v>371</v>
      </c>
      <c r="E23" s="110">
        <f>'Continental Level Dashboard'!F80</f>
        <v>0.56976469559494314</v>
      </c>
    </row>
    <row r="24" spans="2:5" ht="21.85" customHeight="1" thickBot="1" x14ac:dyDescent="0.5">
      <c r="B24" s="264" t="s">
        <v>332</v>
      </c>
      <c r="C24" s="270" t="s">
        <v>356</v>
      </c>
      <c r="D24" s="302" t="s">
        <v>72</v>
      </c>
      <c r="E24" s="110">
        <f>'Continental Level Dashboard'!F81</f>
        <v>0.53560773120122074</v>
      </c>
    </row>
    <row r="25" spans="2:5" ht="21.85" customHeight="1" thickBot="1" x14ac:dyDescent="0.5">
      <c r="B25" s="266" t="s">
        <v>332</v>
      </c>
      <c r="C25" s="271" t="s">
        <v>357</v>
      </c>
      <c r="D25" s="301" t="s">
        <v>75</v>
      </c>
      <c r="E25" s="110">
        <f>'Continental Level Dashboard'!F87</f>
        <v>0.63807862438238783</v>
      </c>
    </row>
    <row r="26" spans="2:5" ht="38.65" customHeight="1" thickBot="1" x14ac:dyDescent="0.5">
      <c r="B26" s="263" t="s">
        <v>330</v>
      </c>
      <c r="C26" s="269" t="s">
        <v>339</v>
      </c>
      <c r="D26" s="300" t="s">
        <v>372</v>
      </c>
      <c r="E26" s="110">
        <f>'Continental Level Dashboard'!F93</f>
        <v>0.28226895170653216</v>
      </c>
    </row>
    <row r="27" spans="2:5" ht="22.25" customHeight="1" thickBot="1" x14ac:dyDescent="0.5">
      <c r="B27" s="253" t="s">
        <v>332</v>
      </c>
      <c r="C27" s="261" t="s">
        <v>393</v>
      </c>
      <c r="D27" s="138" t="s">
        <v>82</v>
      </c>
      <c r="E27" s="110">
        <f>'Continental Level Dashboard'!F94</f>
        <v>0.4445385139279277</v>
      </c>
    </row>
    <row r="28" spans="2:5" ht="22.25" customHeight="1" thickBot="1" x14ac:dyDescent="0.5">
      <c r="B28" s="254" t="s">
        <v>332</v>
      </c>
      <c r="C28" s="250" t="s">
        <v>394</v>
      </c>
      <c r="D28" s="184" t="s">
        <v>373</v>
      </c>
      <c r="E28" s="110">
        <f>'Continental Level Dashboard'!F98</f>
        <v>0.22817909763273367</v>
      </c>
    </row>
    <row r="29" spans="2:5" ht="24.85" customHeight="1" x14ac:dyDescent="0.45">
      <c r="D29" s="259"/>
      <c r="E29" s="260"/>
    </row>
    <row r="30" spans="2:5" ht="24.85" customHeight="1" x14ac:dyDescent="0.45">
      <c r="D30" s="259"/>
      <c r="E30" s="260"/>
    </row>
    <row r="31" spans="2:5" ht="24.85" customHeight="1" x14ac:dyDescent="0.45">
      <c r="D31" s="259"/>
      <c r="E31" s="260"/>
    </row>
  </sheetData>
  <conditionalFormatting sqref="E2:E28">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8"/>
  <sheetViews>
    <sheetView topLeftCell="B4" zoomScale="70" zoomScaleNormal="70" workbookViewId="0">
      <selection activeCell="N13" sqref="N13"/>
    </sheetView>
  </sheetViews>
  <sheetFormatPr defaultColWidth="8.86328125" defaultRowHeight="15.75" x14ac:dyDescent="0.5"/>
  <cols>
    <col min="1" max="1" width="0" style="5" hidden="1" customWidth="1"/>
    <col min="2" max="2" width="24" style="5" customWidth="1"/>
    <col min="3" max="3" width="41.86328125" style="5" customWidth="1"/>
    <col min="4" max="4" width="38.6640625" style="5" customWidth="1"/>
    <col min="5" max="5" width="36.59765625" style="21" customWidth="1"/>
    <col min="6" max="6" width="16.1328125" style="19" customWidth="1"/>
    <col min="7" max="7" width="4.86328125" style="5" customWidth="1"/>
    <col min="8" max="8" width="8.86328125" style="21"/>
    <col min="9" max="13" width="0" style="21" hidden="1" customWidth="1"/>
    <col min="14" max="14" width="8.86328125" style="21"/>
    <col min="15" max="17" width="28.46484375" style="5" customWidth="1"/>
    <col min="18" max="16384" width="8.86328125" style="5"/>
  </cols>
  <sheetData>
    <row r="1" spans="1:14" x14ac:dyDescent="0.5">
      <c r="B1" s="201"/>
      <c r="C1" s="202"/>
      <c r="D1" s="202"/>
      <c r="E1" s="203"/>
      <c r="F1" s="666"/>
    </row>
    <row r="2" spans="1:14" ht="46.15" customHeight="1" x14ac:dyDescent="0.45">
      <c r="B2" s="670" t="s">
        <v>323</v>
      </c>
      <c r="C2" s="671"/>
      <c r="D2" s="671"/>
      <c r="E2" s="671"/>
      <c r="F2" s="672"/>
    </row>
    <row r="3" spans="1:14" x14ac:dyDescent="0.5">
      <c r="B3" s="190"/>
      <c r="C3" s="191"/>
      <c r="D3" s="192"/>
      <c r="E3" s="191"/>
      <c r="F3" s="667"/>
    </row>
    <row r="4" spans="1:14" ht="26.45" customHeight="1" x14ac:dyDescent="0.45">
      <c r="B4" s="190"/>
      <c r="C4" s="779" t="s">
        <v>482</v>
      </c>
      <c r="D4" s="780"/>
      <c r="E4" s="191"/>
      <c r="F4" s="661"/>
    </row>
    <row r="5" spans="1:14" ht="18.399999999999999" thickBot="1" x14ac:dyDescent="0.6">
      <c r="B5" s="771"/>
      <c r="C5" s="772"/>
      <c r="D5" s="772"/>
      <c r="E5" s="191"/>
      <c r="F5" s="667"/>
    </row>
    <row r="6" spans="1:14" ht="23.65" thickBot="1" x14ac:dyDescent="0.75">
      <c r="B6" s="193"/>
      <c r="C6" s="194"/>
      <c r="D6" s="194"/>
      <c r="E6" s="198" t="s">
        <v>292</v>
      </c>
      <c r="F6" s="662">
        <f>'Continental Dboard Targets'!G6</f>
        <v>0.39421855389753863</v>
      </c>
    </row>
    <row r="7" spans="1:14" ht="18.399999999999999" thickBot="1" x14ac:dyDescent="0.6">
      <c r="B7" s="195"/>
      <c r="C7" s="196"/>
      <c r="D7" s="196"/>
      <c r="E7" s="197"/>
      <c r="F7" s="668"/>
    </row>
    <row r="8" spans="1:14" ht="6.75" customHeight="1" thickBot="1" x14ac:dyDescent="0.5">
      <c r="B8" s="773"/>
      <c r="C8" s="774"/>
      <c r="D8" s="775"/>
      <c r="E8" s="200"/>
      <c r="F8" s="423"/>
    </row>
    <row r="9" spans="1:14" ht="25.25" customHeight="1" thickBot="1" x14ac:dyDescent="0.5">
      <c r="B9" s="199" t="s">
        <v>2</v>
      </c>
      <c r="C9" s="199" t="s">
        <v>3</v>
      </c>
      <c r="D9" s="199" t="s">
        <v>324</v>
      </c>
      <c r="E9" s="199" t="s">
        <v>102</v>
      </c>
      <c r="F9" s="663" t="s">
        <v>325</v>
      </c>
      <c r="I9" s="43" t="s">
        <v>151</v>
      </c>
      <c r="J9" s="44"/>
      <c r="K9" s="44"/>
      <c r="L9" s="44"/>
      <c r="M9" s="45"/>
    </row>
    <row r="10" spans="1:14" ht="25.25" customHeight="1" thickBot="1" x14ac:dyDescent="0.5">
      <c r="B10" s="776" t="s">
        <v>0</v>
      </c>
      <c r="C10" s="777"/>
      <c r="D10" s="778"/>
      <c r="E10" s="100"/>
      <c r="F10" s="662">
        <f>'Continental Dboard Targets'!G10</f>
        <v>0.4319930250373894</v>
      </c>
      <c r="I10" s="101"/>
      <c r="J10" s="102"/>
      <c r="K10" s="102"/>
      <c r="L10" s="102"/>
      <c r="M10" s="103"/>
    </row>
    <row r="11" spans="1:14" s="85" customFormat="1" ht="25.25" customHeight="1" thickBot="1" x14ac:dyDescent="0.5">
      <c r="B11" s="702" t="s">
        <v>1</v>
      </c>
      <c r="C11" s="688"/>
      <c r="D11" s="688"/>
      <c r="E11" s="365"/>
      <c r="F11" s="662">
        <f>'Continental Dboard Targets'!G11</f>
        <v>0.65551614525762159</v>
      </c>
      <c r="H11" s="105"/>
      <c r="I11" s="106"/>
      <c r="J11" s="107"/>
      <c r="K11" s="107"/>
      <c r="L11" s="107"/>
      <c r="M11" s="108"/>
      <c r="N11" s="105"/>
    </row>
    <row r="12" spans="1:14" ht="27.6" customHeight="1" x14ac:dyDescent="0.45">
      <c r="A12" s="679">
        <v>1</v>
      </c>
      <c r="B12" s="763" t="s">
        <v>4</v>
      </c>
      <c r="C12" s="292" t="s">
        <v>111</v>
      </c>
      <c r="D12" s="50" t="s">
        <v>5</v>
      </c>
      <c r="E12" s="288" t="s">
        <v>97</v>
      </c>
      <c r="F12" s="765">
        <f>'Continental Dboard Targets'!G12:G13</f>
        <v>0.61111596444522087</v>
      </c>
      <c r="I12" s="22" t="s">
        <v>109</v>
      </c>
      <c r="J12" s="23" t="e">
        <f>#REF!</f>
        <v>#REF!</v>
      </c>
      <c r="K12" s="24"/>
      <c r="L12" s="24"/>
      <c r="M12" s="25"/>
    </row>
    <row r="13" spans="1:14" ht="27" customHeight="1" thickBot="1" x14ac:dyDescent="0.5">
      <c r="A13" s="679"/>
      <c r="B13" s="764"/>
      <c r="C13" s="293" t="s">
        <v>112</v>
      </c>
      <c r="D13" s="52" t="s">
        <v>281</v>
      </c>
      <c r="E13" s="283" t="s">
        <v>98</v>
      </c>
      <c r="F13" s="766"/>
      <c r="I13" s="26">
        <v>0.02</v>
      </c>
      <c r="J13" s="27" t="e">
        <f>(J12-(J12*I13))</f>
        <v>#REF!</v>
      </c>
      <c r="K13" s="27" t="e">
        <f>J12-(I13*J12)</f>
        <v>#REF!</v>
      </c>
      <c r="L13" s="24"/>
      <c r="M13" s="25"/>
    </row>
    <row r="14" spans="1:14" ht="32.450000000000003" customHeight="1" x14ac:dyDescent="0.45">
      <c r="A14" s="679">
        <v>2</v>
      </c>
      <c r="B14" s="767" t="s">
        <v>6</v>
      </c>
      <c r="C14" s="294" t="s">
        <v>273</v>
      </c>
      <c r="D14" s="295" t="s">
        <v>7</v>
      </c>
      <c r="E14" s="284" t="s">
        <v>99</v>
      </c>
      <c r="F14" s="769">
        <f>'Continental Dboard Targets'!G14:G15</f>
        <v>0.64849126544281244</v>
      </c>
      <c r="I14" s="26">
        <v>0.02</v>
      </c>
      <c r="J14" s="27" t="e">
        <f>(#REF!-(#REF!*I14))</f>
        <v>#REF!</v>
      </c>
      <c r="K14" s="27" t="e">
        <f>(J12-(I13*J12))-((J12-(I13*J12))*0.02)-(((J12-(I13*J12))-((J12-(I13*J12))*0.02))*0.02)-(((J12-(I13*J12))-((J12-(I13*J12))*0.02)-(((J12-(I13*J12))-((J12-(I13*J12))*0.02))*0.02))*0.02)</f>
        <v>#REF!</v>
      </c>
      <c r="L14" s="28" t="e">
        <f>(J12-J15)/J12</f>
        <v>#REF!</v>
      </c>
      <c r="M14" s="25"/>
    </row>
    <row r="15" spans="1:14" ht="33" customHeight="1" thickBot="1" x14ac:dyDescent="0.5">
      <c r="A15" s="679"/>
      <c r="B15" s="768"/>
      <c r="C15" s="294" t="s">
        <v>274</v>
      </c>
      <c r="D15" s="295" t="s">
        <v>8</v>
      </c>
      <c r="E15" s="285" t="s">
        <v>100</v>
      </c>
      <c r="F15" s="770"/>
      <c r="I15" s="29">
        <v>0.02</v>
      </c>
      <c r="J15" s="30" t="e">
        <f>(#REF!-(#REF!*I15))</f>
        <v>#REF!</v>
      </c>
      <c r="K15" s="30" t="e">
        <f>(J12-(I13*J12))-((J12-(I13*J12))*0.02)-(((J12-(I13*J12))-((J12-(I13*J12))*0.02))*0.02)-(((J12-(I13*J12))-((J12-(I13*J12))*0.02)-(((J12-(I13*J12))-((J12-(I13*J12))*0.02))*0.02))*0.02)-(((J12-(I13*J12))-((J12-(I13*J12))*0.02)-(((J12-(I13*J12))-((J12-(I13*J12))*0.02))*0.02)-(((J12-(I13*J12))-((J12-(I13*J12))*0.02)-(((J12-(I13*J12))-((J12-(I13*J13))*0.02))*0.02))*0.02))*0.02)-(((J12-(I13*J12))-((J12-(I13*J12))*0.02)-(((J12-(I13*J12))-((J12-(I13*J12))*0.02))*0.02)-(((J12-(I13*J12))-((J12-(I13*J12))*0.02)-(((J12-(I13*J12))-((J12-(I13*J12))*0.02))*0.02))*0.02)-(((J12-(I13*J12))-((J12-(I13*J12))*0.02)-(((J12-(I13*J12))-((J12-(I13*J12))*0.02))*0.02)-(((J12-(I13*J12))-((J12-(I13*J12))*0.02)-(((J12-(I13*J12))-((J12-(I13*J12))*0.02))*0.02))*0.02))*0.02))*0.02)</f>
        <v>#REF!</v>
      </c>
      <c r="L15" s="31" t="e">
        <f>J12-K15</f>
        <v>#REF!</v>
      </c>
      <c r="M15" s="32"/>
    </row>
    <row r="16" spans="1:14" ht="22.25" customHeight="1" x14ac:dyDescent="0.45">
      <c r="A16" s="679">
        <v>3</v>
      </c>
      <c r="B16" s="758" t="s">
        <v>9</v>
      </c>
      <c r="C16" s="761" t="s">
        <v>113</v>
      </c>
      <c r="D16" s="295" t="s">
        <v>221</v>
      </c>
      <c r="E16" s="289" t="s">
        <v>101</v>
      </c>
      <c r="F16" s="673">
        <f>'Continental Dboard Targets'!G16:G18</f>
        <v>0.70694120588483134</v>
      </c>
    </row>
    <row r="17" spans="1:6" ht="14.25" x14ac:dyDescent="0.45">
      <c r="A17" s="679"/>
      <c r="B17" s="759"/>
      <c r="C17" s="761"/>
      <c r="D17" s="295" t="s">
        <v>220</v>
      </c>
      <c r="E17" s="290" t="s">
        <v>95</v>
      </c>
      <c r="F17" s="674"/>
    </row>
    <row r="18" spans="1:6" ht="25.25" customHeight="1" thickBot="1" x14ac:dyDescent="0.5">
      <c r="A18" s="679"/>
      <c r="B18" s="760"/>
      <c r="C18" s="762"/>
      <c r="D18" s="297" t="s">
        <v>10</v>
      </c>
      <c r="E18" s="291" t="s">
        <v>162</v>
      </c>
      <c r="F18" s="675"/>
    </row>
    <row r="19" spans="1:6" ht="26.25" customHeight="1" thickBot="1" x14ac:dyDescent="0.7">
      <c r="A19" s="14"/>
      <c r="B19" s="702" t="s">
        <v>11</v>
      </c>
      <c r="C19" s="755"/>
      <c r="D19" s="756"/>
      <c r="E19" s="35"/>
      <c r="F19" s="662">
        <f>'Continental Dboard Targets'!G19</f>
        <v>0.25995592063651768</v>
      </c>
    </row>
    <row r="20" spans="1:6" ht="34.25" customHeight="1" x14ac:dyDescent="0.45">
      <c r="A20" s="679">
        <v>4</v>
      </c>
      <c r="B20" s="732" t="s">
        <v>12</v>
      </c>
      <c r="C20" s="49" t="s">
        <v>114</v>
      </c>
      <c r="D20" s="50" t="s">
        <v>222</v>
      </c>
      <c r="E20" s="208" t="s">
        <v>163</v>
      </c>
      <c r="F20" s="750">
        <f>'Continental Dboard Targets'!G20:G23</f>
        <v>0.25995592063651768</v>
      </c>
    </row>
    <row r="21" spans="1:6" ht="39" customHeight="1" x14ac:dyDescent="0.45">
      <c r="A21" s="679"/>
      <c r="B21" s="733"/>
      <c r="C21" s="121" t="s">
        <v>152</v>
      </c>
      <c r="D21" s="52" t="s">
        <v>265</v>
      </c>
      <c r="E21" s="209" t="s">
        <v>164</v>
      </c>
      <c r="F21" s="751"/>
    </row>
    <row r="22" spans="1:6" ht="56.45" customHeight="1" x14ac:dyDescent="0.45">
      <c r="A22" s="679"/>
      <c r="B22" s="733"/>
      <c r="C22" s="121" t="s">
        <v>153</v>
      </c>
      <c r="D22" s="52" t="s">
        <v>155</v>
      </c>
      <c r="E22" s="209" t="s">
        <v>165</v>
      </c>
      <c r="F22" s="751"/>
    </row>
    <row r="23" spans="1:6" ht="36.6" customHeight="1" thickBot="1" x14ac:dyDescent="0.5">
      <c r="A23" s="679"/>
      <c r="B23" s="734"/>
      <c r="C23" s="55" t="s">
        <v>154</v>
      </c>
      <c r="D23" s="76" t="s">
        <v>156</v>
      </c>
      <c r="E23" s="210" t="s">
        <v>95</v>
      </c>
      <c r="F23" s="757"/>
    </row>
    <row r="24" spans="1:6" ht="20.45" customHeight="1" thickBot="1" x14ac:dyDescent="0.5">
      <c r="B24" s="702" t="s">
        <v>13</v>
      </c>
      <c r="C24" s="703"/>
      <c r="D24" s="704"/>
      <c r="E24" s="35"/>
      <c r="F24" s="662">
        <f>'Continental Dboard Targets'!G24</f>
        <v>0.6780699586600395</v>
      </c>
    </row>
    <row r="25" spans="1:6" ht="36" customHeight="1" x14ac:dyDescent="0.45">
      <c r="A25" s="679">
        <v>5</v>
      </c>
      <c r="B25" s="690" t="s">
        <v>14</v>
      </c>
      <c r="C25" s="116" t="s">
        <v>115</v>
      </c>
      <c r="D25" s="116" t="s">
        <v>280</v>
      </c>
      <c r="E25" s="211" t="s">
        <v>166</v>
      </c>
      <c r="F25" s="750">
        <f>'Continental Dboard Targets'!G25:G32</f>
        <v>0.6780699586600395</v>
      </c>
    </row>
    <row r="26" spans="1:6" ht="19.8" customHeight="1" x14ac:dyDescent="0.45">
      <c r="A26" s="679"/>
      <c r="B26" s="691"/>
      <c r="C26" s="694" t="s">
        <v>158</v>
      </c>
      <c r="D26" s="117" t="s">
        <v>15</v>
      </c>
      <c r="E26" s="212" t="s">
        <v>167</v>
      </c>
      <c r="F26" s="751"/>
    </row>
    <row r="27" spans="1:6" ht="19.8" customHeight="1" x14ac:dyDescent="0.45">
      <c r="A27" s="679"/>
      <c r="B27" s="691"/>
      <c r="C27" s="752"/>
      <c r="D27" s="117" t="s">
        <v>16</v>
      </c>
      <c r="E27" s="212" t="s">
        <v>168</v>
      </c>
      <c r="F27" s="751"/>
    </row>
    <row r="28" spans="1:6" ht="19.8" customHeight="1" x14ac:dyDescent="0.45">
      <c r="A28" s="679"/>
      <c r="B28" s="691"/>
      <c r="C28" s="752"/>
      <c r="D28" s="117" t="s">
        <v>17</v>
      </c>
      <c r="E28" s="212" t="s">
        <v>169</v>
      </c>
      <c r="F28" s="751"/>
    </row>
    <row r="29" spans="1:6" ht="30.6" customHeight="1" x14ac:dyDescent="0.45">
      <c r="A29" s="115"/>
      <c r="B29" s="691"/>
      <c r="C29" s="753" t="s">
        <v>116</v>
      </c>
      <c r="D29" s="117" t="s">
        <v>148</v>
      </c>
      <c r="E29" s="212" t="s">
        <v>170</v>
      </c>
      <c r="F29" s="708"/>
    </row>
    <row r="30" spans="1:6" ht="20.45" customHeight="1" x14ac:dyDescent="0.45">
      <c r="A30" s="115"/>
      <c r="B30" s="691"/>
      <c r="C30" s="754"/>
      <c r="D30" s="117" t="s">
        <v>149</v>
      </c>
      <c r="E30" s="212" t="s">
        <v>171</v>
      </c>
      <c r="F30" s="708"/>
    </row>
    <row r="31" spans="1:6" ht="20.45" customHeight="1" x14ac:dyDescent="0.45">
      <c r="A31" s="115"/>
      <c r="B31" s="748"/>
      <c r="C31" s="754"/>
      <c r="D31" s="121" t="s">
        <v>150</v>
      </c>
      <c r="E31" s="212" t="s">
        <v>172</v>
      </c>
      <c r="F31" s="708"/>
    </row>
    <row r="32" spans="1:6" ht="23.65" thickBot="1" x14ac:dyDescent="0.5">
      <c r="A32" s="115"/>
      <c r="B32" s="749"/>
      <c r="C32" s="55" t="s">
        <v>117</v>
      </c>
      <c r="D32" s="84" t="s">
        <v>223</v>
      </c>
      <c r="E32" s="213" t="s">
        <v>95</v>
      </c>
      <c r="F32" s="709"/>
    </row>
    <row r="33" spans="1:6" ht="20.45" customHeight="1" thickBot="1" x14ac:dyDescent="0.5">
      <c r="B33" s="742" t="s">
        <v>18</v>
      </c>
      <c r="C33" s="743"/>
      <c r="D33" s="744"/>
      <c r="E33" s="35"/>
      <c r="F33" s="662">
        <f>'Continental Dboard Targets'!G33</f>
        <v>0.19710816585816585</v>
      </c>
    </row>
    <row r="34" spans="1:6" ht="33.6" customHeight="1" thickBot="1" x14ac:dyDescent="0.5">
      <c r="A34" s="115">
        <v>6</v>
      </c>
      <c r="B34" s="56" t="s">
        <v>19</v>
      </c>
      <c r="C34" s="57" t="s">
        <v>287</v>
      </c>
      <c r="D34" s="56" t="s">
        <v>288</v>
      </c>
      <c r="E34" s="214" t="s">
        <v>97</v>
      </c>
      <c r="F34" s="662">
        <f>'Continental Dboard Targets'!G34</f>
        <v>0</v>
      </c>
    </row>
    <row r="35" spans="1:6" ht="51" customHeight="1" thickBot="1" x14ac:dyDescent="0.5">
      <c r="A35" s="115">
        <v>7</v>
      </c>
      <c r="B35" s="56" t="s">
        <v>20</v>
      </c>
      <c r="C35" s="56" t="s">
        <v>118</v>
      </c>
      <c r="D35" s="56" t="s">
        <v>21</v>
      </c>
      <c r="E35" s="214" t="s">
        <v>173</v>
      </c>
      <c r="F35" s="662">
        <f>'Continental Dboard Targets'!G35</f>
        <v>0.15873015873015864</v>
      </c>
    </row>
    <row r="36" spans="1:6" ht="40.799999999999997" customHeight="1" thickBot="1" x14ac:dyDescent="0.5">
      <c r="A36" s="115">
        <v>8</v>
      </c>
      <c r="B36" s="56" t="s">
        <v>22</v>
      </c>
      <c r="C36" s="56" t="s">
        <v>119</v>
      </c>
      <c r="D36" s="56" t="s">
        <v>23</v>
      </c>
      <c r="E36" s="214" t="s">
        <v>174</v>
      </c>
      <c r="F36" s="662">
        <f>'Continental Dboard Targets'!G36</f>
        <v>0.26558839058839062</v>
      </c>
    </row>
    <row r="37" spans="1:6" ht="32.450000000000003" customHeight="1" thickBot="1" x14ac:dyDescent="0.5">
      <c r="A37" s="115">
        <v>9</v>
      </c>
      <c r="B37" s="56" t="s">
        <v>24</v>
      </c>
      <c r="C37" s="56" t="s">
        <v>275</v>
      </c>
      <c r="D37" s="58" t="s">
        <v>25</v>
      </c>
      <c r="E37" s="215" t="s">
        <v>175</v>
      </c>
      <c r="F37" s="662">
        <f>'Continental Dboard Targets'!G37</f>
        <v>0.36411411411411404</v>
      </c>
    </row>
    <row r="38" spans="1:6" ht="30.6" customHeight="1" thickBot="1" x14ac:dyDescent="0.5">
      <c r="B38" s="745" t="s">
        <v>26</v>
      </c>
      <c r="C38" s="746"/>
      <c r="D38" s="747"/>
      <c r="E38" s="36"/>
      <c r="F38" s="662">
        <f>'Continental Dboard Targets'!G38</f>
        <v>0.28075468774213541</v>
      </c>
    </row>
    <row r="39" spans="1:6" ht="25.8" customHeight="1" x14ac:dyDescent="0.45">
      <c r="A39" s="679">
        <v>10</v>
      </c>
      <c r="B39" s="732" t="s">
        <v>27</v>
      </c>
      <c r="C39" s="79" t="s">
        <v>120</v>
      </c>
      <c r="D39" s="80" t="s">
        <v>224</v>
      </c>
      <c r="E39" s="216" t="s">
        <v>176</v>
      </c>
      <c r="F39" s="673">
        <f>'Continental Dboard Targets'!G39:G40</f>
        <v>0.28075468774213541</v>
      </c>
    </row>
    <row r="40" spans="1:6" ht="35.25" thickBot="1" x14ac:dyDescent="0.5">
      <c r="A40" s="679"/>
      <c r="B40" s="734"/>
      <c r="C40" s="75" t="s">
        <v>157</v>
      </c>
      <c r="D40" s="242" t="s">
        <v>225</v>
      </c>
      <c r="E40" s="222" t="s">
        <v>95</v>
      </c>
      <c r="F40" s="675"/>
    </row>
    <row r="41" spans="1:6" ht="20.45" customHeight="1" thickBot="1" x14ac:dyDescent="0.5">
      <c r="B41" s="727" t="s">
        <v>28</v>
      </c>
      <c r="C41" s="728"/>
      <c r="D41" s="729"/>
      <c r="E41" s="37"/>
      <c r="F41" s="662">
        <f>'Continental Dboard Targets'!G41</f>
        <v>0.5434782608695653</v>
      </c>
    </row>
    <row r="42" spans="1:6" ht="34.9" x14ac:dyDescent="0.45">
      <c r="A42" s="679">
        <v>11</v>
      </c>
      <c r="B42" s="693" t="s">
        <v>29</v>
      </c>
      <c r="C42" s="119" t="s">
        <v>121</v>
      </c>
      <c r="D42" s="116" t="s">
        <v>30</v>
      </c>
      <c r="E42" s="243" t="s">
        <v>177</v>
      </c>
      <c r="F42" s="740">
        <f>'Continental Dboard Targets'!G42:G43</f>
        <v>0.5434782608695653</v>
      </c>
    </row>
    <row r="43" spans="1:6" ht="35.25" thickBot="1" x14ac:dyDescent="0.5">
      <c r="A43" s="679"/>
      <c r="B43" s="695"/>
      <c r="C43" s="120" t="s">
        <v>122</v>
      </c>
      <c r="D43" s="118" t="s">
        <v>31</v>
      </c>
      <c r="E43" s="244" t="s">
        <v>95</v>
      </c>
      <c r="F43" s="741"/>
    </row>
    <row r="44" spans="1:6" ht="30.6" customHeight="1" thickBot="1" x14ac:dyDescent="0.5">
      <c r="B44" s="702" t="s">
        <v>32</v>
      </c>
      <c r="C44" s="703"/>
      <c r="D44" s="704"/>
      <c r="E44" s="35"/>
      <c r="F44" s="662">
        <f>'Continental Dboard Targets'!G44</f>
        <v>0.66667637333488639</v>
      </c>
    </row>
    <row r="45" spans="1:6" ht="37.799999999999997" customHeight="1" x14ac:dyDescent="0.45">
      <c r="A45" s="679">
        <v>12</v>
      </c>
      <c r="B45" s="693" t="s">
        <v>33</v>
      </c>
      <c r="C45" s="116" t="s">
        <v>123</v>
      </c>
      <c r="D45" s="116" t="s">
        <v>34</v>
      </c>
      <c r="E45" s="206" t="s">
        <v>178</v>
      </c>
      <c r="F45" s="673">
        <f>'Continental Dboard Targets'!G45:G46</f>
        <v>0.66667637333488639</v>
      </c>
    </row>
    <row r="46" spans="1:6" ht="35.25" thickBot="1" x14ac:dyDescent="0.5">
      <c r="A46" s="679"/>
      <c r="B46" s="695"/>
      <c r="C46" s="118" t="s">
        <v>124</v>
      </c>
      <c r="D46" s="118" t="s">
        <v>35</v>
      </c>
      <c r="E46" s="207" t="s">
        <v>179</v>
      </c>
      <c r="F46" s="675"/>
    </row>
    <row r="47" spans="1:6" ht="30.6" customHeight="1" thickBot="1" x14ac:dyDescent="0.5">
      <c r="B47" s="721" t="s">
        <v>36</v>
      </c>
      <c r="C47" s="722"/>
      <c r="D47" s="723"/>
      <c r="E47" s="38"/>
      <c r="F47" s="662">
        <f>'Continental Dboard Targets'!G47</f>
        <v>0.45369105880298294</v>
      </c>
    </row>
    <row r="48" spans="1:6" ht="20.45" customHeight="1" thickBot="1" x14ac:dyDescent="0.5">
      <c r="B48" s="687" t="s">
        <v>37</v>
      </c>
      <c r="C48" s="688"/>
      <c r="D48" s="689"/>
      <c r="E48" s="54"/>
      <c r="F48" s="662">
        <f>'Continental Dboard Targets'!G48</f>
        <v>6.3934820802575357E-2</v>
      </c>
    </row>
    <row r="49" spans="1:8" ht="37.799999999999997" customHeight="1" x14ac:dyDescent="0.45">
      <c r="A49" s="679">
        <v>13</v>
      </c>
      <c r="B49" s="693" t="s">
        <v>38</v>
      </c>
      <c r="C49" s="112" t="s">
        <v>125</v>
      </c>
      <c r="D49" s="61" t="s">
        <v>289</v>
      </c>
      <c r="E49" s="211" t="s">
        <v>95</v>
      </c>
      <c r="F49" s="673">
        <f>'Continental Dboard Targets'!G49:G50</f>
        <v>6.3934820802575357E-2</v>
      </c>
      <c r="H49" s="299"/>
    </row>
    <row r="50" spans="1:8" ht="30.6" customHeight="1" thickBot="1" x14ac:dyDescent="0.5">
      <c r="A50" s="679"/>
      <c r="B50" s="695"/>
      <c r="C50" s="113" t="s">
        <v>126</v>
      </c>
      <c r="D50" s="113" t="s">
        <v>290</v>
      </c>
      <c r="E50" s="213" t="s">
        <v>95</v>
      </c>
      <c r="F50" s="675"/>
      <c r="H50" s="299"/>
    </row>
    <row r="51" spans="1:8" ht="23.65" customHeight="1" thickBot="1" x14ac:dyDescent="0.5">
      <c r="B51" s="702" t="s">
        <v>39</v>
      </c>
      <c r="C51" s="703"/>
      <c r="D51" s="704"/>
      <c r="E51" s="39"/>
      <c r="F51" s="662">
        <f>'Continental Dboard Targets'!G51</f>
        <v>0.88888888888888895</v>
      </c>
      <c r="H51" s="299"/>
    </row>
    <row r="52" spans="1:8" ht="30.6" customHeight="1" thickBot="1" x14ac:dyDescent="0.5">
      <c r="A52" s="15">
        <v>14</v>
      </c>
      <c r="B52" s="204" t="s">
        <v>226</v>
      </c>
      <c r="C52" s="205" t="s">
        <v>272</v>
      </c>
      <c r="D52" s="81" t="s">
        <v>266</v>
      </c>
      <c r="E52" s="218" t="s">
        <v>95</v>
      </c>
      <c r="F52" s="662">
        <f>'Continental Dboard Targets'!G52</f>
        <v>0.88888888888888895</v>
      </c>
    </row>
    <row r="53" spans="1:8" ht="27.75" customHeight="1" thickBot="1" x14ac:dyDescent="0.5">
      <c r="B53" s="702" t="s">
        <v>40</v>
      </c>
      <c r="C53" s="703"/>
      <c r="D53" s="704"/>
      <c r="E53" s="34"/>
      <c r="F53" s="662">
        <f>'Continental Dboard Targets'!G53</f>
        <v>0.4082494667174843</v>
      </c>
    </row>
    <row r="54" spans="1:8" ht="43.8" customHeight="1" x14ac:dyDescent="0.45">
      <c r="A54" s="679">
        <v>15</v>
      </c>
      <c r="B54" s="732" t="s">
        <v>108</v>
      </c>
      <c r="C54" s="62" t="s">
        <v>127</v>
      </c>
      <c r="D54" s="63" t="s">
        <v>41</v>
      </c>
      <c r="E54" s="219" t="s">
        <v>95</v>
      </c>
      <c r="F54" s="735">
        <f>'Continental Dboard Targets'!G54:G59</f>
        <v>0.4082494667174843</v>
      </c>
    </row>
    <row r="55" spans="1:8" ht="35.450000000000003" customHeight="1" x14ac:dyDescent="0.45">
      <c r="A55" s="679"/>
      <c r="B55" s="733"/>
      <c r="C55" s="83" t="s">
        <v>128</v>
      </c>
      <c r="D55" s="64" t="s">
        <v>42</v>
      </c>
      <c r="E55" s="220" t="s">
        <v>95</v>
      </c>
      <c r="F55" s="736"/>
    </row>
    <row r="56" spans="1:8" ht="34.25" customHeight="1" x14ac:dyDescent="0.45">
      <c r="A56" s="679"/>
      <c r="B56" s="733"/>
      <c r="C56" s="83" t="s">
        <v>129</v>
      </c>
      <c r="D56" s="64" t="s">
        <v>43</v>
      </c>
      <c r="E56" s="220" t="s">
        <v>95</v>
      </c>
      <c r="F56" s="736"/>
    </row>
    <row r="57" spans="1:8" ht="37.25" customHeight="1" x14ac:dyDescent="0.45">
      <c r="A57" s="679"/>
      <c r="B57" s="733"/>
      <c r="C57" s="83" t="s">
        <v>130</v>
      </c>
      <c r="D57" s="64" t="s">
        <v>44</v>
      </c>
      <c r="E57" s="220" t="s">
        <v>101</v>
      </c>
      <c r="F57" s="736"/>
    </row>
    <row r="58" spans="1:8" ht="22.8" customHeight="1" x14ac:dyDescent="0.45">
      <c r="A58" s="679"/>
      <c r="B58" s="733"/>
      <c r="C58" s="738" t="s">
        <v>131</v>
      </c>
      <c r="D58" s="64" t="s">
        <v>45</v>
      </c>
      <c r="E58" s="220" t="s">
        <v>180</v>
      </c>
      <c r="F58" s="736"/>
    </row>
    <row r="59" spans="1:8" ht="15" customHeight="1" thickBot="1" x14ac:dyDescent="0.5">
      <c r="A59" s="679"/>
      <c r="B59" s="734"/>
      <c r="C59" s="739"/>
      <c r="D59" s="47" t="s">
        <v>46</v>
      </c>
      <c r="E59" s="221" t="s">
        <v>95</v>
      </c>
      <c r="F59" s="737"/>
    </row>
    <row r="60" spans="1:8" ht="23.45" customHeight="1" thickBot="1" x14ac:dyDescent="0.5">
      <c r="B60" s="721" t="s">
        <v>47</v>
      </c>
      <c r="C60" s="722"/>
      <c r="D60" s="723"/>
      <c r="E60" s="111"/>
      <c r="F60" s="662">
        <f>'Continental Dboard Targets'!G60</f>
        <v>0.16071428571428573</v>
      </c>
    </row>
    <row r="61" spans="1:8" ht="22.25" customHeight="1" thickBot="1" x14ac:dyDescent="0.5">
      <c r="B61" s="702" t="s">
        <v>48</v>
      </c>
      <c r="C61" s="703"/>
      <c r="D61" s="704"/>
      <c r="E61" s="33"/>
      <c r="F61" s="662">
        <f>'Continental Dboard Targets'!G61</f>
        <v>0.32142857142857145</v>
      </c>
    </row>
    <row r="62" spans="1:8" ht="39" customHeight="1" x14ac:dyDescent="0.45">
      <c r="A62" s="679">
        <v>16</v>
      </c>
      <c r="B62" s="690" t="s">
        <v>49</v>
      </c>
      <c r="C62" s="112" t="s">
        <v>133</v>
      </c>
      <c r="D62" s="112" t="s">
        <v>50</v>
      </c>
      <c r="E62" s="216" t="s">
        <v>181</v>
      </c>
      <c r="F62" s="716">
        <f>'Continental Dboard Targets'!G62:G67</f>
        <v>0.32142857142857145</v>
      </c>
    </row>
    <row r="63" spans="1:8" ht="58.25" customHeight="1" x14ac:dyDescent="0.45">
      <c r="A63" s="679"/>
      <c r="B63" s="691"/>
      <c r="C63" s="114" t="s">
        <v>134</v>
      </c>
      <c r="D63" s="83" t="s">
        <v>276</v>
      </c>
      <c r="E63" s="217" t="s">
        <v>182</v>
      </c>
      <c r="F63" s="730"/>
    </row>
    <row r="64" spans="1:8" ht="26.45" customHeight="1" x14ac:dyDescent="0.45">
      <c r="A64" s="679"/>
      <c r="B64" s="691"/>
      <c r="C64" s="114" t="s">
        <v>135</v>
      </c>
      <c r="D64" s="114" t="s">
        <v>51</v>
      </c>
      <c r="E64" s="217" t="s">
        <v>95</v>
      </c>
      <c r="F64" s="730"/>
    </row>
    <row r="65" spans="1:6" ht="15" customHeight="1" x14ac:dyDescent="0.45">
      <c r="A65" s="679"/>
      <c r="B65" s="691"/>
      <c r="C65" s="694" t="s">
        <v>136</v>
      </c>
      <c r="D65" s="65" t="s">
        <v>52</v>
      </c>
      <c r="E65" s="217" t="s">
        <v>95</v>
      </c>
      <c r="F65" s="730"/>
    </row>
    <row r="66" spans="1:6" ht="14.25" x14ac:dyDescent="0.45">
      <c r="A66" s="679"/>
      <c r="B66" s="691"/>
      <c r="C66" s="694"/>
      <c r="D66" s="65" t="s">
        <v>53</v>
      </c>
      <c r="E66" s="217" t="s">
        <v>95</v>
      </c>
      <c r="F66" s="730"/>
    </row>
    <row r="67" spans="1:6" ht="27.6" customHeight="1" thickBot="1" x14ac:dyDescent="0.5">
      <c r="A67" s="679"/>
      <c r="B67" s="692"/>
      <c r="C67" s="695"/>
      <c r="D67" s="66" t="s">
        <v>54</v>
      </c>
      <c r="E67" s="222" t="s">
        <v>95</v>
      </c>
      <c r="F67" s="731"/>
    </row>
    <row r="68" spans="1:6" ht="27" customHeight="1" thickBot="1" x14ac:dyDescent="0.5">
      <c r="B68" s="687" t="s">
        <v>55</v>
      </c>
      <c r="C68" s="688"/>
      <c r="D68" s="689"/>
      <c r="E68" s="46"/>
      <c r="F68" s="662">
        <f>'Continental Dboard Targets'!G68</f>
        <v>0</v>
      </c>
    </row>
    <row r="69" spans="1:6" ht="70.150000000000006" thickBot="1" x14ac:dyDescent="0.5">
      <c r="A69" s="16">
        <v>17</v>
      </c>
      <c r="B69" s="67" t="s">
        <v>56</v>
      </c>
      <c r="C69" s="67" t="s">
        <v>137</v>
      </c>
      <c r="D69" s="67" t="s">
        <v>57</v>
      </c>
      <c r="E69" s="82" t="s">
        <v>132</v>
      </c>
      <c r="F69" s="669">
        <f>'Continental Dboard Targets'!G69</f>
        <v>0</v>
      </c>
    </row>
    <row r="70" spans="1:6" ht="22.25" customHeight="1" thickBot="1" x14ac:dyDescent="0.5">
      <c r="B70" s="724" t="s">
        <v>58</v>
      </c>
      <c r="C70" s="725"/>
      <c r="D70" s="726"/>
      <c r="E70" s="40"/>
      <c r="F70" s="662">
        <f>'Continental Dboard Targets'!G70</f>
        <v>0.33333333333333331</v>
      </c>
    </row>
    <row r="71" spans="1:6" ht="20.45" customHeight="1" thickBot="1" x14ac:dyDescent="0.5">
      <c r="B71" s="702" t="s">
        <v>59</v>
      </c>
      <c r="C71" s="703"/>
      <c r="D71" s="704"/>
      <c r="E71" s="34"/>
      <c r="F71" s="662">
        <f>'Continental Dboard Targets'!G71</f>
        <v>0.33333333333333331</v>
      </c>
    </row>
    <row r="72" spans="1:6" ht="52.25" customHeight="1" thickBot="1" x14ac:dyDescent="0.5">
      <c r="A72" s="16">
        <v>18</v>
      </c>
      <c r="B72" s="68" t="s">
        <v>60</v>
      </c>
      <c r="C72" s="69" t="s">
        <v>138</v>
      </c>
      <c r="D72" s="98" t="s">
        <v>61</v>
      </c>
      <c r="E72" s="223" t="s">
        <v>183</v>
      </c>
      <c r="F72" s="669">
        <f>'Continental Dboard Targets'!G72</f>
        <v>0.33333333333333331</v>
      </c>
    </row>
    <row r="73" spans="1:6" ht="20.45" customHeight="1" thickBot="1" x14ac:dyDescent="0.5">
      <c r="B73" s="727" t="s">
        <v>277</v>
      </c>
      <c r="C73" s="728"/>
      <c r="D73" s="729"/>
      <c r="E73" s="36"/>
      <c r="F73" s="662">
        <f>'Continental Dboard Targets'!G73</f>
        <v>0.33333333333333331</v>
      </c>
    </row>
    <row r="74" spans="1:6" ht="45" customHeight="1" thickBot="1" x14ac:dyDescent="0.5">
      <c r="A74" s="16">
        <v>19</v>
      </c>
      <c r="B74" s="70" t="s">
        <v>62</v>
      </c>
      <c r="C74" s="71" t="s">
        <v>139</v>
      </c>
      <c r="D74" s="99" t="s">
        <v>63</v>
      </c>
      <c r="E74" s="224" t="s">
        <v>95</v>
      </c>
      <c r="F74" s="669">
        <f>'Continental Dboard Targets'!G74</f>
        <v>0.33333333333333331</v>
      </c>
    </row>
    <row r="75" spans="1:6" ht="30.6" customHeight="1" thickBot="1" x14ac:dyDescent="0.5">
      <c r="B75" s="702" t="s">
        <v>64</v>
      </c>
      <c r="C75" s="703"/>
      <c r="D75" s="704"/>
      <c r="E75" s="34"/>
      <c r="F75" s="662">
        <f>'Continental Dboard Targets'!G75</f>
        <v>0.33333333333333331</v>
      </c>
    </row>
    <row r="76" spans="1:6" ht="29.45" customHeight="1" thickBot="1" x14ac:dyDescent="0.5">
      <c r="A76" s="16">
        <v>20</v>
      </c>
      <c r="B76" s="70" t="s">
        <v>65</v>
      </c>
      <c r="C76" s="69" t="s">
        <v>140</v>
      </c>
      <c r="D76" s="71" t="s">
        <v>66</v>
      </c>
      <c r="E76" s="225" t="s">
        <v>95</v>
      </c>
      <c r="F76" s="669">
        <f>'Continental Dboard Targets'!G76</f>
        <v>0.33333333333333331</v>
      </c>
    </row>
    <row r="77" spans="1:6" ht="20.45" customHeight="1" thickBot="1" x14ac:dyDescent="0.5">
      <c r="B77" s="718" t="s">
        <v>67</v>
      </c>
      <c r="C77" s="719"/>
      <c r="D77" s="720"/>
      <c r="E77" s="41"/>
      <c r="F77" s="662">
        <f>'Continental Dboard Targets'!G77</f>
        <v>0.33333333333333331</v>
      </c>
    </row>
    <row r="78" spans="1:6" ht="20.45" customHeight="1" thickBot="1" x14ac:dyDescent="0.5">
      <c r="B78" s="702" t="s">
        <v>68</v>
      </c>
      <c r="C78" s="703"/>
      <c r="D78" s="704"/>
      <c r="E78" s="34"/>
      <c r="F78" s="662">
        <f>'Continental Dboard Targets'!G78</f>
        <v>0.33333333333333331</v>
      </c>
    </row>
    <row r="79" spans="1:6" ht="35.25" thickBot="1" x14ac:dyDescent="0.5">
      <c r="A79" s="16">
        <v>21</v>
      </c>
      <c r="B79" s="70" t="s">
        <v>69</v>
      </c>
      <c r="C79" s="72" t="s">
        <v>141</v>
      </c>
      <c r="D79" s="72" t="s">
        <v>70</v>
      </c>
      <c r="E79" s="226" t="s">
        <v>95</v>
      </c>
      <c r="F79" s="669">
        <f>'Continental Dboard Targets'!G79</f>
        <v>0.33333333333333331</v>
      </c>
    </row>
    <row r="80" spans="1:6" ht="21.6" customHeight="1" thickBot="1" x14ac:dyDescent="0.5">
      <c r="B80" s="711" t="s">
        <v>71</v>
      </c>
      <c r="C80" s="712"/>
      <c r="D80" s="713"/>
      <c r="E80" s="41"/>
      <c r="F80" s="662">
        <f>'Continental Dboard Targets'!G80</f>
        <v>0.56976469559494314</v>
      </c>
    </row>
    <row r="81" spans="1:6" ht="20.45" customHeight="1" thickBot="1" x14ac:dyDescent="0.5">
      <c r="B81" s="687" t="s">
        <v>72</v>
      </c>
      <c r="C81" s="688"/>
      <c r="D81" s="689"/>
      <c r="E81" s="227"/>
      <c r="F81" s="662">
        <f>'Continental Dboard Targets'!G81</f>
        <v>0.53560773120122074</v>
      </c>
    </row>
    <row r="82" spans="1:6" ht="58.15" x14ac:dyDescent="0.45">
      <c r="A82" s="115"/>
      <c r="B82" s="714" t="s">
        <v>73</v>
      </c>
      <c r="C82" s="116" t="s">
        <v>267</v>
      </c>
      <c r="D82" s="62" t="s">
        <v>278</v>
      </c>
      <c r="E82" s="228" t="s">
        <v>279</v>
      </c>
      <c r="F82" s="716">
        <f>'Continental Dboard Targets'!G82:G83</f>
        <v>0.28657884465261513</v>
      </c>
    </row>
    <row r="83" spans="1:6" ht="39.6" customHeight="1" thickBot="1" x14ac:dyDescent="0.5">
      <c r="A83" s="115"/>
      <c r="B83" s="715"/>
      <c r="C83" s="118" t="s">
        <v>268</v>
      </c>
      <c r="D83" s="84" t="s">
        <v>74</v>
      </c>
      <c r="E83" s="229" t="s">
        <v>282</v>
      </c>
      <c r="F83" s="717"/>
    </row>
    <row r="84" spans="1:6" ht="60" customHeight="1" x14ac:dyDescent="0.45">
      <c r="A84" s="115"/>
      <c r="B84" s="696" t="s">
        <v>142</v>
      </c>
      <c r="C84" s="245" t="s">
        <v>145</v>
      </c>
      <c r="D84" s="116" t="s">
        <v>143</v>
      </c>
      <c r="E84" s="230" t="s">
        <v>184</v>
      </c>
      <c r="F84" s="699">
        <f>'Continental Dboard Targets'!G84:G86</f>
        <v>0.7846366177498264</v>
      </c>
    </row>
    <row r="85" spans="1:6" ht="45" customHeight="1" x14ac:dyDescent="0.45">
      <c r="A85" s="115"/>
      <c r="B85" s="697"/>
      <c r="C85" s="73" t="s">
        <v>146</v>
      </c>
      <c r="D85" s="83" t="s">
        <v>283</v>
      </c>
      <c r="E85" s="231" t="s">
        <v>185</v>
      </c>
      <c r="F85" s="700"/>
    </row>
    <row r="86" spans="1:6" ht="38.450000000000003" customHeight="1" thickBot="1" x14ac:dyDescent="0.5">
      <c r="A86" s="115"/>
      <c r="B86" s="698"/>
      <c r="C86" s="74" t="s">
        <v>147</v>
      </c>
      <c r="D86" s="84" t="s">
        <v>144</v>
      </c>
      <c r="E86" s="232" t="s">
        <v>284</v>
      </c>
      <c r="F86" s="701"/>
    </row>
    <row r="87" spans="1:6" ht="20.45" customHeight="1" thickBot="1" x14ac:dyDescent="0.5">
      <c r="B87" s="702" t="s">
        <v>75</v>
      </c>
      <c r="C87" s="703"/>
      <c r="D87" s="704"/>
      <c r="E87" s="35"/>
      <c r="F87" s="662">
        <f>'Continental Dboard Targets'!G87</f>
        <v>0.63807862438238783</v>
      </c>
    </row>
    <row r="88" spans="1:6" ht="27.6" customHeight="1" x14ac:dyDescent="0.45">
      <c r="A88" s="679">
        <v>24</v>
      </c>
      <c r="B88" s="705" t="s">
        <v>76</v>
      </c>
      <c r="C88" s="79" t="s">
        <v>159</v>
      </c>
      <c r="D88" s="50" t="s">
        <v>285</v>
      </c>
      <c r="E88" s="246" t="s">
        <v>186</v>
      </c>
      <c r="F88" s="673">
        <f>'Continental Dboard Targets'!G88:G92</f>
        <v>0.63807862438238783</v>
      </c>
    </row>
    <row r="89" spans="1:6" ht="25.8" customHeight="1" x14ac:dyDescent="0.45">
      <c r="A89" s="679"/>
      <c r="B89" s="706"/>
      <c r="C89" s="710" t="s">
        <v>160</v>
      </c>
      <c r="D89" s="52" t="s">
        <v>77</v>
      </c>
      <c r="E89" s="233" t="s">
        <v>187</v>
      </c>
      <c r="F89" s="708"/>
    </row>
    <row r="90" spans="1:6" ht="25.25" customHeight="1" x14ac:dyDescent="0.45">
      <c r="A90" s="679"/>
      <c r="B90" s="706"/>
      <c r="C90" s="710"/>
      <c r="D90" s="52" t="s">
        <v>78</v>
      </c>
      <c r="E90" s="233" t="s">
        <v>188</v>
      </c>
      <c r="F90" s="708"/>
    </row>
    <row r="91" spans="1:6" ht="26.45" customHeight="1" x14ac:dyDescent="0.45">
      <c r="A91" s="679"/>
      <c r="B91" s="706"/>
      <c r="C91" s="710"/>
      <c r="D91" s="52" t="s">
        <v>79</v>
      </c>
      <c r="E91" s="234" t="s">
        <v>189</v>
      </c>
      <c r="F91" s="708"/>
    </row>
    <row r="92" spans="1:6" ht="40.799999999999997" customHeight="1" thickBot="1" x14ac:dyDescent="0.5">
      <c r="A92" s="679"/>
      <c r="B92" s="707"/>
      <c r="C92" s="75" t="s">
        <v>161</v>
      </c>
      <c r="D92" s="76" t="s">
        <v>80</v>
      </c>
      <c r="E92" s="235" t="s">
        <v>95</v>
      </c>
      <c r="F92" s="709"/>
    </row>
    <row r="93" spans="1:6" ht="26.65" customHeight="1" thickBot="1" x14ac:dyDescent="0.5">
      <c r="B93" s="684" t="s">
        <v>81</v>
      </c>
      <c r="C93" s="685"/>
      <c r="D93" s="686"/>
      <c r="E93" s="38"/>
      <c r="F93" s="662">
        <f>'Continental Dboard Targets'!G93</f>
        <v>0.28226895170653216</v>
      </c>
    </row>
    <row r="94" spans="1:6" ht="20.45" customHeight="1" thickBot="1" x14ac:dyDescent="0.5">
      <c r="B94" s="687" t="s">
        <v>82</v>
      </c>
      <c r="C94" s="688"/>
      <c r="D94" s="689"/>
      <c r="E94" s="42"/>
      <c r="F94" s="662">
        <f>'Continental Dboard Targets'!G94</f>
        <v>0.4445385139279277</v>
      </c>
    </row>
    <row r="95" spans="1:6" ht="34.799999999999997" customHeight="1" x14ac:dyDescent="0.45">
      <c r="A95" s="679">
        <v>25</v>
      </c>
      <c r="B95" s="690" t="s">
        <v>83</v>
      </c>
      <c r="C95" s="693" t="s">
        <v>214</v>
      </c>
      <c r="D95" s="112" t="s">
        <v>269</v>
      </c>
      <c r="E95" s="236" t="s">
        <v>190</v>
      </c>
      <c r="F95" s="673">
        <f>'Continental Dboard Targets'!G95:G97</f>
        <v>0.4445385139279277</v>
      </c>
    </row>
    <row r="96" spans="1:6" ht="39.6" customHeight="1" x14ac:dyDescent="0.45">
      <c r="A96" s="679"/>
      <c r="B96" s="691"/>
      <c r="C96" s="694"/>
      <c r="D96" s="83" t="s">
        <v>270</v>
      </c>
      <c r="E96" s="237" t="s">
        <v>191</v>
      </c>
      <c r="F96" s="674"/>
    </row>
    <row r="97" spans="1:6" ht="41.45" customHeight="1" thickBot="1" x14ac:dyDescent="0.5">
      <c r="A97" s="679"/>
      <c r="B97" s="692"/>
      <c r="C97" s="695"/>
      <c r="D97" s="113" t="s">
        <v>84</v>
      </c>
      <c r="E97" s="238" t="s">
        <v>95</v>
      </c>
      <c r="F97" s="675"/>
    </row>
    <row r="98" spans="1:6" ht="18" customHeight="1" thickBot="1" x14ac:dyDescent="0.5">
      <c r="B98" s="676" t="s">
        <v>85</v>
      </c>
      <c r="C98" s="677"/>
      <c r="D98" s="678"/>
      <c r="E98" s="127"/>
      <c r="F98" s="662">
        <f>'Continental Dboard Targets'!G98</f>
        <v>0.22817909763273367</v>
      </c>
    </row>
    <row r="99" spans="1:6" ht="29.45" customHeight="1" thickBot="1" x14ac:dyDescent="0.5">
      <c r="A99" s="115">
        <v>26</v>
      </c>
      <c r="B99" s="77" t="s">
        <v>86</v>
      </c>
      <c r="C99" s="77" t="s">
        <v>215</v>
      </c>
      <c r="D99" s="78" t="s">
        <v>291</v>
      </c>
      <c r="E99" s="239" t="s">
        <v>95</v>
      </c>
      <c r="F99" s="669">
        <f>'Continental Dboard Targets'!G99</f>
        <v>0.33333333333333331</v>
      </c>
    </row>
    <row r="100" spans="1:6" ht="35.25" thickBot="1" x14ac:dyDescent="0.5">
      <c r="A100" s="115">
        <v>27</v>
      </c>
      <c r="B100" s="77" t="s">
        <v>87</v>
      </c>
      <c r="C100" s="77" t="s">
        <v>216</v>
      </c>
      <c r="D100" s="78" t="s">
        <v>271</v>
      </c>
      <c r="E100" s="239" t="s">
        <v>192</v>
      </c>
      <c r="F100" s="669">
        <f>'Continental Dboard Targets'!G100</f>
        <v>5.4537292898200945E-2</v>
      </c>
    </row>
    <row r="101" spans="1:6" ht="30.4" x14ac:dyDescent="0.45">
      <c r="A101" s="679">
        <v>28</v>
      </c>
      <c r="B101" s="680" t="s">
        <v>88</v>
      </c>
      <c r="C101" s="680" t="s">
        <v>217</v>
      </c>
      <c r="D101" s="62" t="s">
        <v>89</v>
      </c>
      <c r="E101" s="240" t="s">
        <v>193</v>
      </c>
      <c r="F101" s="682">
        <f>'Continental Dboard Targets'!G101:G102</f>
        <v>0.29666666666666669</v>
      </c>
    </row>
    <row r="102" spans="1:6" ht="38.450000000000003" customHeight="1" thickBot="1" x14ac:dyDescent="0.5">
      <c r="A102" s="679"/>
      <c r="B102" s="681"/>
      <c r="C102" s="681"/>
      <c r="D102" s="118" t="s">
        <v>90</v>
      </c>
      <c r="E102" s="241" t="s">
        <v>95</v>
      </c>
      <c r="F102" s="683"/>
    </row>
    <row r="104" spans="1:6" x14ac:dyDescent="0.5">
      <c r="B104" s="19"/>
    </row>
    <row r="107" spans="1:6" x14ac:dyDescent="0.5">
      <c r="B107" s="19"/>
    </row>
    <row r="108" spans="1:6" x14ac:dyDescent="0.5">
      <c r="B108" s="20"/>
    </row>
  </sheetData>
  <mergeCells count="85">
    <mergeCell ref="B5:D5"/>
    <mergeCell ref="B8:D8"/>
    <mergeCell ref="B10:D10"/>
    <mergeCell ref="B11:D11"/>
    <mergeCell ref="C4:D4"/>
    <mergeCell ref="A16:A18"/>
    <mergeCell ref="B16:B18"/>
    <mergeCell ref="C16:C18"/>
    <mergeCell ref="F16:F18"/>
    <mergeCell ref="A12:A13"/>
    <mergeCell ref="B12:B13"/>
    <mergeCell ref="F12:F13"/>
    <mergeCell ref="A14:A15"/>
    <mergeCell ref="B14:B15"/>
    <mergeCell ref="F14:F15"/>
    <mergeCell ref="B19:D19"/>
    <mergeCell ref="A20:A23"/>
    <mergeCell ref="B20:B23"/>
    <mergeCell ref="F20:F23"/>
    <mergeCell ref="B24:D24"/>
    <mergeCell ref="A25:A28"/>
    <mergeCell ref="B25:B32"/>
    <mergeCell ref="F25:F32"/>
    <mergeCell ref="C26:C28"/>
    <mergeCell ref="C29:C31"/>
    <mergeCell ref="B33:D33"/>
    <mergeCell ref="B38:D38"/>
    <mergeCell ref="A39:A40"/>
    <mergeCell ref="B39:B40"/>
    <mergeCell ref="F39:F40"/>
    <mergeCell ref="B41:D41"/>
    <mergeCell ref="A42:A43"/>
    <mergeCell ref="B42:B43"/>
    <mergeCell ref="F42:F43"/>
    <mergeCell ref="B44:D44"/>
    <mergeCell ref="A45:A46"/>
    <mergeCell ref="B45:B46"/>
    <mergeCell ref="F45:F46"/>
    <mergeCell ref="B47:D47"/>
    <mergeCell ref="B48:D48"/>
    <mergeCell ref="A49:A50"/>
    <mergeCell ref="B49:B50"/>
    <mergeCell ref="F49:F50"/>
    <mergeCell ref="B51:D51"/>
    <mergeCell ref="B53:D53"/>
    <mergeCell ref="F62:F67"/>
    <mergeCell ref="C65:C67"/>
    <mergeCell ref="A54:A59"/>
    <mergeCell ref="B54:B59"/>
    <mergeCell ref="F54:F59"/>
    <mergeCell ref="C58:C59"/>
    <mergeCell ref="B77:D77"/>
    <mergeCell ref="B60:D60"/>
    <mergeCell ref="B61:D61"/>
    <mergeCell ref="A62:A67"/>
    <mergeCell ref="B62:B67"/>
    <mergeCell ref="B68:D68"/>
    <mergeCell ref="B70:D70"/>
    <mergeCell ref="B71:D71"/>
    <mergeCell ref="B73:D73"/>
    <mergeCell ref="B75:D75"/>
    <mergeCell ref="B88:B92"/>
    <mergeCell ref="F88:F92"/>
    <mergeCell ref="C89:C91"/>
    <mergeCell ref="B78:D78"/>
    <mergeCell ref="B80:D80"/>
    <mergeCell ref="B81:D81"/>
    <mergeCell ref="B82:B83"/>
    <mergeCell ref="F82:F83"/>
    <mergeCell ref="B2:F2"/>
    <mergeCell ref="F95:F97"/>
    <mergeCell ref="B98:D98"/>
    <mergeCell ref="A101:A102"/>
    <mergeCell ref="B101:B102"/>
    <mergeCell ref="C101:C102"/>
    <mergeCell ref="F101:F102"/>
    <mergeCell ref="B93:D93"/>
    <mergeCell ref="B94:D94"/>
    <mergeCell ref="A95:A97"/>
    <mergeCell ref="B95:B97"/>
    <mergeCell ref="C95:C97"/>
    <mergeCell ref="B84:B86"/>
    <mergeCell ref="F84:F86"/>
    <mergeCell ref="B87:D87"/>
    <mergeCell ref="A88:A92"/>
  </mergeCells>
  <conditionalFormatting sqref="F20:F23 F39:F40 F54 F12:F15">
    <cfRule type="colorScale" priority="50">
      <colorScale>
        <cfvo type="num" val="0"/>
        <cfvo type="num" val="0.6"/>
        <cfvo type="num" val="1"/>
        <color rgb="FFFF0000"/>
        <color rgb="FFFFFF00"/>
        <color rgb="FF92FB4B"/>
      </colorScale>
    </cfRule>
  </conditionalFormatting>
  <conditionalFormatting sqref="F16:F18">
    <cfRule type="colorScale" priority="49">
      <colorScale>
        <cfvo type="num" val="0"/>
        <cfvo type="num" val="0.6"/>
        <cfvo type="num" val="1"/>
        <color rgb="FFFF0000"/>
        <color rgb="FFFFFF00"/>
        <color rgb="FF92FB4B"/>
      </colorScale>
    </cfRule>
  </conditionalFormatting>
  <conditionalFormatting sqref="F25:F28">
    <cfRule type="colorScale" priority="48">
      <colorScale>
        <cfvo type="num" val="0"/>
        <cfvo type="num" val="0.6"/>
        <cfvo type="num" val="1"/>
        <color rgb="FFFF0000"/>
        <color rgb="FFFFFF00"/>
        <color rgb="FF92FB4B"/>
      </colorScale>
    </cfRule>
  </conditionalFormatting>
  <conditionalFormatting sqref="F34:F38">
    <cfRule type="colorScale" priority="47">
      <colorScale>
        <cfvo type="num" val="0"/>
        <cfvo type="num" val="0.6"/>
        <cfvo type="num" val="1"/>
        <color rgb="FFFF0000"/>
        <color rgb="FFFFFF00"/>
        <color rgb="FF92FB4B"/>
      </colorScale>
    </cfRule>
  </conditionalFormatting>
  <conditionalFormatting sqref="F42:F43">
    <cfRule type="colorScale" priority="46">
      <colorScale>
        <cfvo type="num" val="0"/>
        <cfvo type="num" val="0.6"/>
        <cfvo type="num" val="1"/>
        <color rgb="FFFF0000"/>
        <color rgb="FFFFFF00"/>
        <color rgb="FF92FB4B"/>
      </colorScale>
    </cfRule>
  </conditionalFormatting>
  <conditionalFormatting sqref="F45:F46">
    <cfRule type="colorScale" priority="45">
      <colorScale>
        <cfvo type="num" val="0"/>
        <cfvo type="num" val="0.6"/>
        <cfvo type="num" val="1"/>
        <color rgb="FFFF0000"/>
        <color rgb="FFFFFF00"/>
        <color rgb="FF92FB4B"/>
      </colorScale>
    </cfRule>
  </conditionalFormatting>
  <conditionalFormatting sqref="F49:F50">
    <cfRule type="colorScale" priority="44">
      <colorScale>
        <cfvo type="num" val="0"/>
        <cfvo type="num" val="0.6"/>
        <cfvo type="num" val="1"/>
        <color rgb="FFFF0000"/>
        <color rgb="FFFFFF00"/>
        <color rgb="FF92FB4B"/>
      </colorScale>
    </cfRule>
  </conditionalFormatting>
  <conditionalFormatting sqref="F62">
    <cfRule type="colorScale" priority="43">
      <colorScale>
        <cfvo type="num" val="0"/>
        <cfvo type="num" val="0.6"/>
        <cfvo type="num" val="1"/>
        <color rgb="FFFF0000"/>
        <color rgb="FFFFFF00"/>
        <color rgb="FF92FB4B"/>
      </colorScale>
    </cfRule>
  </conditionalFormatting>
  <conditionalFormatting sqref="F79">
    <cfRule type="colorScale" priority="39">
      <colorScale>
        <cfvo type="num" val="0"/>
        <cfvo type="num" val="0.6"/>
        <cfvo type="num" val="1"/>
        <color rgb="FFFF0000"/>
        <color rgb="FFFFFF00"/>
        <color rgb="FF92FB4B"/>
      </colorScale>
    </cfRule>
  </conditionalFormatting>
  <conditionalFormatting sqref="F69">
    <cfRule type="colorScale" priority="42">
      <colorScale>
        <cfvo type="num" val="0"/>
        <cfvo type="num" val="0.6"/>
        <cfvo type="num" val="1"/>
        <color rgb="FFFF0000"/>
        <color rgb="FFFFFF00"/>
        <color rgb="FF92FB4B"/>
      </colorScale>
    </cfRule>
  </conditionalFormatting>
  <conditionalFormatting sqref="F72">
    <cfRule type="colorScale" priority="41">
      <colorScale>
        <cfvo type="num" val="0"/>
        <cfvo type="num" val="0.6"/>
        <cfvo type="num" val="1"/>
        <color rgb="FFFF0000"/>
        <color rgb="FFFFFF00"/>
        <color rgb="FF92FB4B"/>
      </colorScale>
    </cfRule>
  </conditionalFormatting>
  <conditionalFormatting sqref="F74">
    <cfRule type="colorScale" priority="40">
      <colorScale>
        <cfvo type="num" val="0"/>
        <cfvo type="num" val="0.6"/>
        <cfvo type="num" val="1"/>
        <color rgb="FFFF0000"/>
        <color rgb="FFFFFF00"/>
        <color rgb="FF92FB4B"/>
      </colorScale>
    </cfRule>
  </conditionalFormatting>
  <conditionalFormatting sqref="F82">
    <cfRule type="colorScale" priority="38">
      <colorScale>
        <cfvo type="num" val="0"/>
        <cfvo type="num" val="0.6"/>
        <cfvo type="num" val="1"/>
        <color rgb="FFFF0000"/>
        <color rgb="FFFFFF00"/>
        <color rgb="FF92FB4B"/>
      </colorScale>
    </cfRule>
  </conditionalFormatting>
  <conditionalFormatting sqref="F88">
    <cfRule type="colorScale" priority="37">
      <colorScale>
        <cfvo type="num" val="0"/>
        <cfvo type="num" val="0.6"/>
        <cfvo type="num" val="1"/>
        <color rgb="FFFF0000"/>
        <color rgb="FFFFFF00"/>
        <color rgb="FF92FB4B"/>
      </colorScale>
    </cfRule>
  </conditionalFormatting>
  <conditionalFormatting sqref="F95">
    <cfRule type="colorScale" priority="36">
      <colorScale>
        <cfvo type="num" val="0"/>
        <cfvo type="num" val="0.6"/>
        <cfvo type="num" val="1"/>
        <color rgb="FFFF0000"/>
        <color rgb="FFFFFF00"/>
        <color rgb="FF92FB4B"/>
      </colorScale>
    </cfRule>
  </conditionalFormatting>
  <conditionalFormatting sqref="F99:F100">
    <cfRule type="colorScale" priority="35">
      <colorScale>
        <cfvo type="num" val="0"/>
        <cfvo type="num" val="0.6"/>
        <cfvo type="num" val="1"/>
        <color rgb="FFFF0000"/>
        <color rgb="FFFFFF00"/>
        <color rgb="FF92FB4B"/>
      </colorScale>
    </cfRule>
  </conditionalFormatting>
  <conditionalFormatting sqref="F101:F102">
    <cfRule type="colorScale" priority="34">
      <colorScale>
        <cfvo type="num" val="0"/>
        <cfvo type="num" val="0.6"/>
        <cfvo type="num" val="1"/>
        <color rgb="FFFF0000"/>
        <color rgb="FFFFFF00"/>
        <color rgb="FF92FB4B"/>
      </colorScale>
    </cfRule>
  </conditionalFormatting>
  <conditionalFormatting sqref="F52">
    <cfRule type="colorScale" priority="33">
      <colorScale>
        <cfvo type="num" val="0"/>
        <cfvo type="num" val="0.6"/>
        <cfvo type="num" val="1"/>
        <color rgb="FFFF0000"/>
        <color rgb="FFFFFF00"/>
        <color rgb="FF92FB4B"/>
      </colorScale>
    </cfRule>
  </conditionalFormatting>
  <conditionalFormatting sqref="F84">
    <cfRule type="colorScale" priority="32">
      <colorScale>
        <cfvo type="num" val="0"/>
        <cfvo type="num" val="0.6"/>
        <cfvo type="num" val="1"/>
        <color rgb="FFFF0000"/>
        <color rgb="FFFFFF00"/>
        <color rgb="FF92FB4B"/>
      </colorScale>
    </cfRule>
  </conditionalFormatting>
  <conditionalFormatting sqref="F76">
    <cfRule type="colorScale" priority="31">
      <colorScale>
        <cfvo type="num" val="0"/>
        <cfvo type="num" val="0.6"/>
        <cfvo type="num" val="1"/>
        <color rgb="FFFF0000"/>
        <color rgb="FFFFFF00"/>
        <color rgb="FF92FB4B"/>
      </colorScale>
    </cfRule>
  </conditionalFormatting>
  <conditionalFormatting sqref="F11">
    <cfRule type="colorScale" priority="30">
      <colorScale>
        <cfvo type="num" val="0"/>
        <cfvo type="num" val="0.6"/>
        <cfvo type="num" val="1"/>
        <color rgb="FFFF0000"/>
        <color rgb="FFFFFF00"/>
        <color rgb="FF92FB4B"/>
      </colorScale>
    </cfRule>
  </conditionalFormatting>
  <conditionalFormatting sqref="F33">
    <cfRule type="colorScale" priority="29">
      <colorScale>
        <cfvo type="num" val="0"/>
        <cfvo type="num" val="0.6"/>
        <cfvo type="num" val="1"/>
        <color rgb="FFFF0000"/>
        <color rgb="FFFFFF00"/>
        <color rgb="FF92FB4B"/>
      </colorScale>
    </cfRule>
  </conditionalFormatting>
  <conditionalFormatting sqref="F41">
    <cfRule type="colorScale" priority="27">
      <colorScale>
        <cfvo type="num" val="0"/>
        <cfvo type="num" val="0.6"/>
        <cfvo type="num" val="1"/>
        <color rgb="FFFF0000"/>
        <color rgb="FFFFFF00"/>
        <color rgb="FF92FB4B"/>
      </colorScale>
    </cfRule>
  </conditionalFormatting>
  <conditionalFormatting sqref="F48">
    <cfRule type="colorScale" priority="26">
      <colorScale>
        <cfvo type="num" val="0"/>
        <cfvo type="num" val="0.6"/>
        <cfvo type="num" val="1"/>
        <color rgb="FFFF0000"/>
        <color rgb="FFFFFF00"/>
        <color rgb="FF92FB4B"/>
      </colorScale>
    </cfRule>
  </conditionalFormatting>
  <conditionalFormatting sqref="F51">
    <cfRule type="colorScale" priority="25">
      <colorScale>
        <cfvo type="num" val="0"/>
        <cfvo type="num" val="0.6"/>
        <cfvo type="num" val="1"/>
        <color rgb="FFFF0000"/>
        <color rgb="FFFFFF00"/>
        <color rgb="FF92FB4B"/>
      </colorScale>
    </cfRule>
  </conditionalFormatting>
  <conditionalFormatting sqref="F71">
    <cfRule type="colorScale" priority="24">
      <colorScale>
        <cfvo type="num" val="0"/>
        <cfvo type="num" val="0.6"/>
        <cfvo type="num" val="1"/>
        <color rgb="FFFF0000"/>
        <color rgb="FFFFFF00"/>
        <color rgb="FF92FB4B"/>
      </colorScale>
    </cfRule>
  </conditionalFormatting>
  <conditionalFormatting sqref="F75">
    <cfRule type="colorScale" priority="23">
      <colorScale>
        <cfvo type="num" val="0"/>
        <cfvo type="num" val="0.6"/>
        <cfvo type="num" val="1"/>
        <color rgb="FFFF0000"/>
        <color rgb="FFFFFF00"/>
        <color rgb="FF92FB4B"/>
      </colorScale>
    </cfRule>
  </conditionalFormatting>
  <conditionalFormatting sqref="F78">
    <cfRule type="colorScale" priority="22">
      <colorScale>
        <cfvo type="num" val="0"/>
        <cfvo type="num" val="0.6"/>
        <cfvo type="num" val="1"/>
        <color rgb="FFFF0000"/>
        <color rgb="FFFFFF00"/>
        <color rgb="FF92FB4B"/>
      </colorScale>
    </cfRule>
  </conditionalFormatting>
  <conditionalFormatting sqref="F81">
    <cfRule type="colorScale" priority="21">
      <colorScale>
        <cfvo type="num" val="0"/>
        <cfvo type="num" val="0.6"/>
        <cfvo type="num" val="1"/>
        <color rgb="FFFF0000"/>
        <color rgb="FFFFFF00"/>
        <color rgb="FF92FB4B"/>
      </colorScale>
    </cfRule>
  </conditionalFormatting>
  <conditionalFormatting sqref="F87">
    <cfRule type="colorScale" priority="20">
      <colorScale>
        <cfvo type="num" val="0"/>
        <cfvo type="num" val="0.6"/>
        <cfvo type="num" val="1"/>
        <color rgb="FFFF0000"/>
        <color rgb="FFFFFF00"/>
        <color rgb="FF92FB4B"/>
      </colorScale>
    </cfRule>
  </conditionalFormatting>
  <conditionalFormatting sqref="F94">
    <cfRule type="colorScale" priority="19">
      <colorScale>
        <cfvo type="num" val="0"/>
        <cfvo type="num" val="0.6"/>
        <cfvo type="num" val="1"/>
        <color rgb="FFFF0000"/>
        <color rgb="FFFFFF00"/>
        <color rgb="FF92FB4B"/>
      </colorScale>
    </cfRule>
  </conditionalFormatting>
  <conditionalFormatting sqref="F98">
    <cfRule type="colorScale" priority="18">
      <colorScale>
        <cfvo type="num" val="0"/>
        <cfvo type="num" val="0.6"/>
        <cfvo type="num" val="1"/>
        <color rgb="FFFF0000"/>
        <color rgb="FFFFFF00"/>
        <color rgb="FF92FB4B"/>
      </colorScale>
    </cfRule>
  </conditionalFormatting>
  <conditionalFormatting sqref="F10">
    <cfRule type="colorScale" priority="17">
      <colorScale>
        <cfvo type="num" val="0"/>
        <cfvo type="num" val="0.6"/>
        <cfvo type="num" val="1"/>
        <color rgb="FFFF0000"/>
        <color rgb="FFFFFF00"/>
        <color rgb="FF92FB4B"/>
      </colorScale>
    </cfRule>
  </conditionalFormatting>
  <conditionalFormatting sqref="F47">
    <cfRule type="colorScale" priority="16">
      <colorScale>
        <cfvo type="num" val="0"/>
        <cfvo type="num" val="0.6"/>
        <cfvo type="num" val="1"/>
        <color rgb="FFFF0000"/>
        <color rgb="FFFFFF00"/>
        <color rgb="FF92FB4B"/>
      </colorScale>
    </cfRule>
  </conditionalFormatting>
  <conditionalFormatting sqref="F60">
    <cfRule type="colorScale" priority="15">
      <colorScale>
        <cfvo type="num" val="0"/>
        <cfvo type="num" val="0.6"/>
        <cfvo type="num" val="1"/>
        <color rgb="FFFF0000"/>
        <color rgb="FFFFFF00"/>
        <color rgb="FF92FB4B"/>
      </colorScale>
    </cfRule>
  </conditionalFormatting>
  <conditionalFormatting sqref="F70">
    <cfRule type="colorScale" priority="14">
      <colorScale>
        <cfvo type="num" val="0"/>
        <cfvo type="num" val="0.6"/>
        <cfvo type="num" val="1"/>
        <color rgb="FFFF0000"/>
        <color rgb="FFFFFF00"/>
        <color rgb="FF92FB4B"/>
      </colorScale>
    </cfRule>
  </conditionalFormatting>
  <conditionalFormatting sqref="F77">
    <cfRule type="colorScale" priority="13">
      <colorScale>
        <cfvo type="num" val="0"/>
        <cfvo type="num" val="0.6"/>
        <cfvo type="num" val="1"/>
        <color rgb="FFFF0000"/>
        <color rgb="FFFFFF00"/>
        <color rgb="FF92FB4B"/>
      </colorScale>
    </cfRule>
  </conditionalFormatting>
  <conditionalFormatting sqref="F80">
    <cfRule type="colorScale" priority="12">
      <colorScale>
        <cfvo type="num" val="0"/>
        <cfvo type="num" val="0.6"/>
        <cfvo type="num" val="1"/>
        <color rgb="FFFF0000"/>
        <color rgb="FFFFFF00"/>
        <color rgb="FF92FB4B"/>
      </colorScale>
    </cfRule>
  </conditionalFormatting>
  <conditionalFormatting sqref="F93">
    <cfRule type="colorScale" priority="11">
      <colorScale>
        <cfvo type="num" val="0"/>
        <cfvo type="num" val="0.6"/>
        <cfvo type="num" val="1"/>
        <color rgb="FFFF0000"/>
        <color rgb="FFFFFF00"/>
        <color rgb="FF92FB4B"/>
      </colorScale>
    </cfRule>
  </conditionalFormatting>
  <conditionalFormatting sqref="F4">
    <cfRule type="colorScale" priority="10">
      <colorScale>
        <cfvo type="num" val="0"/>
        <cfvo type="num" val="0.6"/>
        <cfvo type="num" val="1"/>
        <color rgb="FFFF0000"/>
        <color rgb="FFFFFF00"/>
        <color rgb="FF92FB4B"/>
      </colorScale>
    </cfRule>
  </conditionalFormatting>
  <conditionalFormatting sqref="F24">
    <cfRule type="colorScale" priority="9">
      <colorScale>
        <cfvo type="num" val="0"/>
        <cfvo type="num" val="0.6"/>
        <cfvo type="num" val="1"/>
        <color rgb="FFFF0000"/>
        <color rgb="FFFFFF00"/>
        <color rgb="FF92FB4B"/>
      </colorScale>
    </cfRule>
  </conditionalFormatting>
  <conditionalFormatting sqref="F61">
    <cfRule type="colorScale" priority="8">
      <colorScale>
        <cfvo type="num" val="0"/>
        <cfvo type="num" val="0.6"/>
        <cfvo type="num" val="1"/>
        <color rgb="FFFF0000"/>
        <color rgb="FFFFFF00"/>
        <color rgb="FF92FB4B"/>
      </colorScale>
    </cfRule>
  </conditionalFormatting>
  <conditionalFormatting sqref="F68">
    <cfRule type="colorScale" priority="7">
      <colorScale>
        <cfvo type="num" val="0"/>
        <cfvo type="num" val="0.6"/>
        <cfvo type="num" val="1"/>
        <color rgb="FFFF0000"/>
        <color rgb="FFFFFF00"/>
        <color rgb="FF92FB4B"/>
      </colorScale>
    </cfRule>
  </conditionalFormatting>
  <conditionalFormatting sqref="F73">
    <cfRule type="colorScale" priority="6">
      <colorScale>
        <cfvo type="num" val="0"/>
        <cfvo type="num" val="0.6"/>
        <cfvo type="num" val="1"/>
        <color rgb="FFFF0000"/>
        <color rgb="FFFFFF00"/>
        <color rgb="FF92FB4B"/>
      </colorScale>
    </cfRule>
  </conditionalFormatting>
  <conditionalFormatting sqref="F19">
    <cfRule type="colorScale" priority="5">
      <colorScale>
        <cfvo type="num" val="0"/>
        <cfvo type="num" val="0.6"/>
        <cfvo type="num" val="1"/>
        <color rgb="FFFF0000"/>
        <color rgb="FFFFFF00"/>
        <color rgb="FF92FB4B"/>
      </colorScale>
    </cfRule>
  </conditionalFormatting>
  <conditionalFormatting sqref="F44">
    <cfRule type="colorScale" priority="4">
      <colorScale>
        <cfvo type="num" val="0"/>
        <cfvo type="num" val="0.6"/>
        <cfvo type="num" val="1"/>
        <color rgb="FFFF0000"/>
        <color rgb="FFFFFF00"/>
        <color rgb="FF92FB4B"/>
      </colorScale>
    </cfRule>
  </conditionalFormatting>
  <conditionalFormatting sqref="F53">
    <cfRule type="colorScale" priority="3">
      <colorScale>
        <cfvo type="num" val="0"/>
        <cfvo type="num" val="0.6"/>
        <cfvo type="num" val="1"/>
        <color rgb="FFFF0000"/>
        <color rgb="FFFFFF00"/>
        <color rgb="FF92FB4B"/>
      </colorScale>
    </cfRule>
  </conditionalFormatting>
  <conditionalFormatting sqref="F6">
    <cfRule type="colorScale" priority="2">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512EE-E1FB-4D0D-A7D9-58DAB5AC9B89}">
  <dimension ref="A1:O108"/>
  <sheetViews>
    <sheetView topLeftCell="B91" zoomScale="70" zoomScaleNormal="70" workbookViewId="0">
      <selection activeCell="O13" sqref="O13"/>
    </sheetView>
  </sheetViews>
  <sheetFormatPr defaultColWidth="8.86328125" defaultRowHeight="15.75" x14ac:dyDescent="0.5"/>
  <cols>
    <col min="1" max="1" width="0" style="5" hidden="1" customWidth="1"/>
    <col min="2" max="2" width="24" style="5" customWidth="1"/>
    <col min="3" max="3" width="41.86328125" style="5" customWidth="1"/>
    <col min="4" max="4" width="38.6640625" style="5" customWidth="1"/>
    <col min="5" max="5" width="36.59765625" style="21" customWidth="1"/>
    <col min="6" max="6" width="25.06640625" style="21" customWidth="1"/>
    <col min="7" max="7" width="16.1328125" style="19" customWidth="1"/>
    <col min="8" max="8" width="4.86328125" style="5" customWidth="1"/>
    <col min="9" max="9" width="8.86328125" style="21"/>
    <col min="10" max="14" width="0" style="21" hidden="1" customWidth="1"/>
    <col min="15" max="15" width="8.86328125" style="21"/>
    <col min="16" max="18" width="28.46484375" style="5" customWidth="1"/>
    <col min="19" max="16384" width="8.86328125" style="5"/>
  </cols>
  <sheetData>
    <row r="1" spans="1:15" x14ac:dyDescent="0.5">
      <c r="B1" s="201"/>
      <c r="C1" s="202"/>
      <c r="D1" s="202"/>
      <c r="E1" s="203"/>
      <c r="F1" s="203"/>
      <c r="G1" s="666"/>
    </row>
    <row r="2" spans="1:15" ht="46.15" customHeight="1" x14ac:dyDescent="0.45">
      <c r="B2" s="670" t="s">
        <v>323</v>
      </c>
      <c r="C2" s="671"/>
      <c r="D2" s="671"/>
      <c r="E2" s="671"/>
      <c r="F2" s="671"/>
      <c r="G2" s="672"/>
    </row>
    <row r="3" spans="1:15" x14ac:dyDescent="0.5">
      <c r="B3" s="190"/>
      <c r="C3" s="191"/>
      <c r="D3" s="192"/>
      <c r="E3" s="191"/>
      <c r="F3" s="191"/>
      <c r="G3" s="667"/>
    </row>
    <row r="4" spans="1:15" ht="26.45" customHeight="1" x14ac:dyDescent="0.45">
      <c r="B4" s="190"/>
      <c r="C4" s="779" t="s">
        <v>482</v>
      </c>
      <c r="D4" s="780"/>
      <c r="E4" s="191"/>
      <c r="F4" s="191"/>
      <c r="G4" s="661"/>
    </row>
    <row r="5" spans="1:15" ht="18.399999999999999" thickBot="1" x14ac:dyDescent="0.6">
      <c r="B5" s="771"/>
      <c r="C5" s="772"/>
      <c r="D5" s="772"/>
      <c r="E5" s="191"/>
      <c r="F5" s="191"/>
      <c r="G5" s="667"/>
    </row>
    <row r="6" spans="1:15" ht="23.65" thickBot="1" x14ac:dyDescent="0.75">
      <c r="B6" s="273"/>
      <c r="C6" s="274"/>
      <c r="D6" s="274"/>
      <c r="E6" s="286"/>
      <c r="F6" s="198" t="s">
        <v>292</v>
      </c>
      <c r="G6" s="662">
        <f>(Egypt!P4+Tunisia!P4+Algeria!P4)/3</f>
        <v>0.39421855389753863</v>
      </c>
    </row>
    <row r="7" spans="1:15" ht="18.399999999999999" thickBot="1" x14ac:dyDescent="0.6">
      <c r="B7" s="195"/>
      <c r="C7" s="196"/>
      <c r="D7" s="196"/>
      <c r="E7" s="197"/>
      <c r="F7" s="197"/>
      <c r="G7" s="668"/>
    </row>
    <row r="8" spans="1:15" ht="6.75" customHeight="1" thickBot="1" x14ac:dyDescent="0.5">
      <c r="B8" s="773"/>
      <c r="C8" s="774"/>
      <c r="D8" s="775"/>
      <c r="E8" s="200"/>
      <c r="F8" s="200"/>
      <c r="G8" s="423"/>
    </row>
    <row r="9" spans="1:15" ht="25.25" customHeight="1" thickBot="1" x14ac:dyDescent="0.5">
      <c r="B9" s="199" t="s">
        <v>2</v>
      </c>
      <c r="C9" s="199" t="s">
        <v>3</v>
      </c>
      <c r="D9" s="199" t="s">
        <v>324</v>
      </c>
      <c r="E9" s="199" t="s">
        <v>102</v>
      </c>
      <c r="F9" s="199" t="s">
        <v>362</v>
      </c>
      <c r="G9" s="663" t="s">
        <v>325</v>
      </c>
      <c r="J9" s="43" t="s">
        <v>151</v>
      </c>
      <c r="K9" s="44"/>
      <c r="L9" s="44"/>
      <c r="M9" s="44"/>
      <c r="N9" s="45"/>
    </row>
    <row r="10" spans="1:15" ht="25.25" customHeight="1" thickBot="1" x14ac:dyDescent="0.5">
      <c r="B10" s="776" t="s">
        <v>0</v>
      </c>
      <c r="C10" s="777"/>
      <c r="D10" s="778"/>
      <c r="E10" s="100"/>
      <c r="F10" s="100"/>
      <c r="G10" s="662">
        <f>(Egypt!P9+Tunisia!P9+Algeria!P9)/3</f>
        <v>0.4319930250373894</v>
      </c>
      <c r="J10" s="101"/>
      <c r="K10" s="102"/>
      <c r="L10" s="102"/>
      <c r="M10" s="102"/>
      <c r="N10" s="103"/>
    </row>
    <row r="11" spans="1:15" s="85" customFormat="1" ht="25.25" customHeight="1" thickBot="1" x14ac:dyDescent="0.5">
      <c r="B11" s="702" t="s">
        <v>1</v>
      </c>
      <c r="C11" s="688"/>
      <c r="D11" s="688"/>
      <c r="E11" s="287"/>
      <c r="F11" s="104"/>
      <c r="G11" s="662">
        <f>(Egypt!P10+Tunisia!P10+Algeria!P10)/3</f>
        <v>0.65551614525762159</v>
      </c>
      <c r="I11" s="105"/>
      <c r="J11" s="106"/>
      <c r="K11" s="107"/>
      <c r="L11" s="107"/>
      <c r="M11" s="107"/>
      <c r="N11" s="108"/>
      <c r="O11" s="105"/>
    </row>
    <row r="12" spans="1:15" ht="27.6" customHeight="1" x14ac:dyDescent="0.45">
      <c r="A12" s="679">
        <v>1</v>
      </c>
      <c r="B12" s="763" t="s">
        <v>4</v>
      </c>
      <c r="C12" s="292" t="s">
        <v>111</v>
      </c>
      <c r="D12" s="50" t="s">
        <v>5</v>
      </c>
      <c r="E12" s="288" t="s">
        <v>97</v>
      </c>
      <c r="F12" s="367">
        <f>(Egypt!M11+Tunisia!M11+Algeria!M11)/3</f>
        <v>0.75368446190331717</v>
      </c>
      <c r="G12" s="784">
        <f>(Egypt!P11+Tunisia!P11+Algeria!P11)/3</f>
        <v>0.61111596444522087</v>
      </c>
      <c r="J12" s="22" t="s">
        <v>109</v>
      </c>
      <c r="K12" s="23" t="e">
        <f>#REF!</f>
        <v>#REF!</v>
      </c>
      <c r="L12" s="24"/>
      <c r="M12" s="24"/>
      <c r="N12" s="25"/>
    </row>
    <row r="13" spans="1:15" ht="27" customHeight="1" thickBot="1" x14ac:dyDescent="0.5">
      <c r="A13" s="679"/>
      <c r="B13" s="764"/>
      <c r="C13" s="293" t="s">
        <v>112</v>
      </c>
      <c r="D13" s="52" t="s">
        <v>281</v>
      </c>
      <c r="E13" s="283" t="s">
        <v>98</v>
      </c>
      <c r="F13" s="372">
        <f>(Egypt!M12+Tunisia!M12+Algeria!M12)/3</f>
        <v>0.27660120652034387</v>
      </c>
      <c r="G13" s="785"/>
      <c r="J13" s="26">
        <v>0.02</v>
      </c>
      <c r="K13" s="27" t="e">
        <f>(K12-(K12*J13))</f>
        <v>#REF!</v>
      </c>
      <c r="L13" s="27" t="e">
        <f>K12-(J13*K12)</f>
        <v>#REF!</v>
      </c>
      <c r="M13" s="24"/>
      <c r="N13" s="25"/>
    </row>
    <row r="14" spans="1:15" ht="32.450000000000003" customHeight="1" x14ac:dyDescent="0.45">
      <c r="A14" s="679">
        <v>2</v>
      </c>
      <c r="B14" s="767" t="s">
        <v>6</v>
      </c>
      <c r="C14" s="296" t="s">
        <v>273</v>
      </c>
      <c r="D14" s="295" t="s">
        <v>7</v>
      </c>
      <c r="E14" s="284" t="s">
        <v>99</v>
      </c>
      <c r="F14" s="367">
        <f>(Egypt!M13+Tunisia!M13+Algeria!M13)/3</f>
        <v>0.97333333333333327</v>
      </c>
      <c r="G14" s="784">
        <f>(Egypt!P13+Tunisia!P13+Algeria!P13)/3</f>
        <v>0.64849126544281244</v>
      </c>
      <c r="J14" s="26">
        <v>0.02</v>
      </c>
      <c r="K14" s="27" t="e">
        <f>(#REF!-(#REF!*J14))</f>
        <v>#REF!</v>
      </c>
      <c r="L14" s="27" t="e">
        <f>(K12-(J13*K12))-((K12-(J13*K12))*0.02)-(((K12-(J13*K12))-((K12-(J13*K12))*0.02))*0.02)-(((K12-(J13*K12))-((K12-(J13*K12))*0.02)-(((K12-(J13*K12))-((K12-(J13*K12))*0.02))*0.02))*0.02)</f>
        <v>#REF!</v>
      </c>
      <c r="M14" s="28" t="e">
        <f>(K12-K15)/K12</f>
        <v>#REF!</v>
      </c>
      <c r="N14" s="25"/>
    </row>
    <row r="15" spans="1:15" ht="33" customHeight="1" thickBot="1" x14ac:dyDescent="0.5">
      <c r="A15" s="679"/>
      <c r="B15" s="768"/>
      <c r="C15" s="296" t="s">
        <v>274</v>
      </c>
      <c r="D15" s="295" t="s">
        <v>8</v>
      </c>
      <c r="E15" s="285" t="s">
        <v>100</v>
      </c>
      <c r="F15" s="372">
        <f>(Egypt!M14+Tunisia!M14+Algeria!M14)/3</f>
        <v>0.45350303864235636</v>
      </c>
      <c r="G15" s="785"/>
      <c r="J15" s="29">
        <v>0.02</v>
      </c>
      <c r="K15" s="30" t="e">
        <f>(#REF!-(#REF!*J15))</f>
        <v>#REF!</v>
      </c>
      <c r="L15" s="30" t="e">
        <f>(K12-(J13*K12))-((K12-(J13*K12))*0.02)-(((K12-(J13*K12))-((K12-(J13*K12))*0.02))*0.02)-(((K12-(J13*K12))-((K12-(J13*K12))*0.02)-(((K12-(J13*K12))-((K12-(J13*K12))*0.02))*0.02))*0.02)-(((K12-(J13*K12))-((K12-(J13*K12))*0.02)-(((K12-(J13*K12))-((K12-(J13*K12))*0.02))*0.02)-(((K12-(J13*K12))-((K12-(J13*K12))*0.02)-(((K12-(J13*K12))-((K12-(J13*K13))*0.02))*0.02))*0.02))*0.02)-(((K12-(J13*K12))-((K12-(J13*K12))*0.02)-(((K12-(J13*K12))-((K12-(J13*K12))*0.02))*0.02)-(((K12-(J13*K12))-((K12-(J13*K12))*0.02)-(((K12-(J13*K12))-((K12-(J13*K12))*0.02))*0.02))*0.02)-(((K12-(J13*K12))-((K12-(J13*K12))*0.02)-(((K12-(J13*K12))-((K12-(J13*K12))*0.02))*0.02)-(((K12-(J13*K12))-((K12-(J13*K12))*0.02)-(((K12-(J13*K12))-((K12-(J13*K12))*0.02))*0.02))*0.02))*0.02))*0.02)</f>
        <v>#REF!</v>
      </c>
      <c r="M15" s="31" t="e">
        <f>K12-L15</f>
        <v>#REF!</v>
      </c>
      <c r="N15" s="32"/>
    </row>
    <row r="16" spans="1:15" ht="22.25" customHeight="1" x14ac:dyDescent="0.45">
      <c r="A16" s="679">
        <v>3</v>
      </c>
      <c r="B16" s="758" t="s">
        <v>9</v>
      </c>
      <c r="C16" s="761" t="s">
        <v>113</v>
      </c>
      <c r="D16" s="295" t="s">
        <v>221</v>
      </c>
      <c r="E16" s="289" t="s">
        <v>101</v>
      </c>
      <c r="F16" s="367">
        <f>(Egypt!M15+Tunisia!M15+Algeria!M15)/3</f>
        <v>2.9624320343063639E-2</v>
      </c>
      <c r="G16" s="786">
        <f>(Egypt!P15+Tunisia!P15+Algeria!P15)/3</f>
        <v>0.70694120588483134</v>
      </c>
    </row>
    <row r="17" spans="1:9" ht="14.25" x14ac:dyDescent="0.45">
      <c r="A17" s="679"/>
      <c r="B17" s="759"/>
      <c r="C17" s="761"/>
      <c r="D17" s="295" t="s">
        <v>220</v>
      </c>
      <c r="E17" s="290" t="s">
        <v>95</v>
      </c>
      <c r="F17" s="368">
        <f>(Egypt!M16+Tunisia!M16+Algeria!M16)/3</f>
        <v>0.47730493066501084</v>
      </c>
      <c r="G17" s="787"/>
    </row>
    <row r="18" spans="1:9" ht="25.25" customHeight="1" thickBot="1" x14ac:dyDescent="0.5">
      <c r="A18" s="679"/>
      <c r="B18" s="760"/>
      <c r="C18" s="762"/>
      <c r="D18" s="297" t="s">
        <v>10</v>
      </c>
      <c r="E18" s="291" t="s">
        <v>162</v>
      </c>
      <c r="F18" s="369">
        <f>(Egypt!M17+Tunisia!M17+Algeria!M17)/3</f>
        <v>4.6398047427645199</v>
      </c>
      <c r="G18" s="788"/>
    </row>
    <row r="19" spans="1:9" ht="26.25" customHeight="1" thickBot="1" x14ac:dyDescent="0.7">
      <c r="A19" s="14"/>
      <c r="B19" s="702" t="s">
        <v>11</v>
      </c>
      <c r="C19" s="755"/>
      <c r="D19" s="756"/>
      <c r="E19" s="35"/>
      <c r="F19" s="33"/>
      <c r="G19" s="662">
        <f>(Egypt!P18+Tunisia!P18+Algeria!P18)/3</f>
        <v>0.25995592063651768</v>
      </c>
    </row>
    <row r="20" spans="1:9" ht="34.25" customHeight="1" x14ac:dyDescent="0.45">
      <c r="A20" s="679">
        <v>4</v>
      </c>
      <c r="B20" s="732" t="s">
        <v>12</v>
      </c>
      <c r="C20" s="49" t="s">
        <v>114</v>
      </c>
      <c r="D20" s="50" t="s">
        <v>222</v>
      </c>
      <c r="E20" s="208" t="s">
        <v>163</v>
      </c>
      <c r="F20" s="367">
        <f>(Egypt!M19+Tunisia!M19+Algeria!M19)/3</f>
        <v>3.5175302396204798E-3</v>
      </c>
      <c r="G20" s="781">
        <f>(Egypt!P19+Tunisia!P19+Algeria!P19)/3</f>
        <v>0.25995592063651768</v>
      </c>
    </row>
    <row r="21" spans="1:9" ht="39" customHeight="1" x14ac:dyDescent="0.45">
      <c r="A21" s="679"/>
      <c r="B21" s="733"/>
      <c r="C21" s="277" t="s">
        <v>152</v>
      </c>
      <c r="D21" s="52" t="s">
        <v>265</v>
      </c>
      <c r="E21" s="209" t="s">
        <v>164</v>
      </c>
      <c r="F21" s="368">
        <f>(Egypt!M20+Tunisia!M20+Algeria!M20)/3</f>
        <v>0.48669796557120687</v>
      </c>
      <c r="G21" s="782"/>
    </row>
    <row r="22" spans="1:9" ht="56.45" customHeight="1" x14ac:dyDescent="0.45">
      <c r="A22" s="679"/>
      <c r="B22" s="733"/>
      <c r="C22" s="277" t="s">
        <v>153</v>
      </c>
      <c r="D22" s="52" t="s">
        <v>155</v>
      </c>
      <c r="E22" s="209" t="s">
        <v>165</v>
      </c>
      <c r="F22" s="368">
        <f>(Egypt!M21+Tunisia!M21+Algeria!M21)/3</f>
        <v>0.33333333333333331</v>
      </c>
      <c r="G22" s="782"/>
    </row>
    <row r="23" spans="1:9" ht="36.6" customHeight="1" thickBot="1" x14ac:dyDescent="0.5">
      <c r="A23" s="679"/>
      <c r="B23" s="734"/>
      <c r="C23" s="55" t="s">
        <v>154</v>
      </c>
      <c r="D23" s="76" t="s">
        <v>156</v>
      </c>
      <c r="E23" s="210" t="s">
        <v>95</v>
      </c>
      <c r="F23" s="369">
        <f>(Egypt!M22+Tunisia!M22+Algeria!M22)/3</f>
        <v>0.21627485340191011</v>
      </c>
      <c r="G23" s="783"/>
    </row>
    <row r="24" spans="1:9" ht="20.45" customHeight="1" thickBot="1" x14ac:dyDescent="0.5">
      <c r="B24" s="702" t="s">
        <v>13</v>
      </c>
      <c r="C24" s="703"/>
      <c r="D24" s="704"/>
      <c r="E24" s="35"/>
      <c r="F24" s="33"/>
      <c r="G24" s="662">
        <f>(Egypt!P23+Tunisia!P23+Algeria!P23)/3</f>
        <v>0.6780699586600395</v>
      </c>
      <c r="I24" s="299"/>
    </row>
    <row r="25" spans="1:9" ht="36" customHeight="1" x14ac:dyDescent="0.45">
      <c r="A25" s="679">
        <v>5</v>
      </c>
      <c r="B25" s="690" t="s">
        <v>14</v>
      </c>
      <c r="C25" s="278" t="s">
        <v>115</v>
      </c>
      <c r="D25" s="278" t="s">
        <v>280</v>
      </c>
      <c r="E25" s="211" t="s">
        <v>166</v>
      </c>
      <c r="F25" s="367">
        <f>(Egypt!M24+Tunisia!M24+Algeria!M24)/3</f>
        <v>0.85147774036662938</v>
      </c>
      <c r="G25" s="781">
        <f>(Egypt!P24+Tunisia!P24+Algeria!P24)/3</f>
        <v>0.6780699586600395</v>
      </c>
    </row>
    <row r="26" spans="1:9" ht="19.8" customHeight="1" x14ac:dyDescent="0.45">
      <c r="A26" s="679"/>
      <c r="B26" s="691"/>
      <c r="C26" s="694" t="s">
        <v>158</v>
      </c>
      <c r="D26" s="276" t="s">
        <v>15</v>
      </c>
      <c r="E26" s="212" t="s">
        <v>167</v>
      </c>
      <c r="F26" s="368">
        <f>(Egypt!M25+Tunisia!M25+Algeria!M25)/3</f>
        <v>0.79248870938893379</v>
      </c>
      <c r="G26" s="782"/>
    </row>
    <row r="27" spans="1:9" ht="19.8" customHeight="1" x14ac:dyDescent="0.45">
      <c r="A27" s="679"/>
      <c r="B27" s="691"/>
      <c r="C27" s="752"/>
      <c r="D27" s="276" t="s">
        <v>16</v>
      </c>
      <c r="E27" s="212" t="s">
        <v>168</v>
      </c>
      <c r="F27" s="368">
        <f>(Egypt!M26+Tunisia!M26+Algeria!M26)/3</f>
        <v>7.6196868252104838E-2</v>
      </c>
      <c r="G27" s="782"/>
    </row>
    <row r="28" spans="1:9" ht="19.8" customHeight="1" x14ac:dyDescent="0.45">
      <c r="A28" s="679"/>
      <c r="B28" s="691"/>
      <c r="C28" s="752"/>
      <c r="D28" s="276" t="s">
        <v>17</v>
      </c>
      <c r="E28" s="212" t="s">
        <v>169</v>
      </c>
      <c r="F28" s="368">
        <f>(Egypt!M27+Tunisia!M27+Algeria!M27)/3</f>
        <v>0.25917603715546866</v>
      </c>
      <c r="G28" s="782"/>
    </row>
    <row r="29" spans="1:9" ht="30.6" customHeight="1" x14ac:dyDescent="0.45">
      <c r="A29" s="275"/>
      <c r="B29" s="691"/>
      <c r="C29" s="753" t="s">
        <v>116</v>
      </c>
      <c r="D29" s="276" t="s">
        <v>148</v>
      </c>
      <c r="E29" s="212" t="s">
        <v>170</v>
      </c>
      <c r="F29" s="368">
        <f>(Egypt!M28+Tunisia!M28+Algeria!M28)/3</f>
        <v>0.37725490196078443</v>
      </c>
      <c r="G29" s="789"/>
    </row>
    <row r="30" spans="1:9" ht="20.45" customHeight="1" x14ac:dyDescent="0.45">
      <c r="A30" s="275"/>
      <c r="B30" s="691"/>
      <c r="C30" s="754"/>
      <c r="D30" s="276" t="s">
        <v>149</v>
      </c>
      <c r="E30" s="212" t="s">
        <v>171</v>
      </c>
      <c r="F30" s="368">
        <f>(Egypt!M29+Tunisia!M29+Algeria!M29)/3</f>
        <v>0.7508065556846043</v>
      </c>
      <c r="G30" s="789"/>
    </row>
    <row r="31" spans="1:9" ht="20.45" customHeight="1" x14ac:dyDescent="0.45">
      <c r="A31" s="275"/>
      <c r="B31" s="748"/>
      <c r="C31" s="754"/>
      <c r="D31" s="277" t="s">
        <v>150</v>
      </c>
      <c r="E31" s="212" t="s">
        <v>172</v>
      </c>
      <c r="F31" s="368">
        <f>(Egypt!M30+Tunisia!M30+Algeria!M30)/3</f>
        <v>0.65079365079365081</v>
      </c>
      <c r="G31" s="789"/>
    </row>
    <row r="32" spans="1:9" ht="23.65" thickBot="1" x14ac:dyDescent="0.5">
      <c r="A32" s="275"/>
      <c r="B32" s="749"/>
      <c r="C32" s="55" t="s">
        <v>117</v>
      </c>
      <c r="D32" s="84" t="s">
        <v>223</v>
      </c>
      <c r="E32" s="213" t="s">
        <v>95</v>
      </c>
      <c r="F32" s="369">
        <f>(Egypt!M31+Tunisia!M31+Algeria!M31)/3</f>
        <v>0.88888888888888895</v>
      </c>
      <c r="G32" s="790"/>
    </row>
    <row r="33" spans="1:7" ht="20.45" customHeight="1" thickBot="1" x14ac:dyDescent="0.5">
      <c r="B33" s="742" t="s">
        <v>18</v>
      </c>
      <c r="C33" s="743"/>
      <c r="D33" s="744"/>
      <c r="E33" s="35"/>
      <c r="F33" s="33"/>
      <c r="G33" s="662">
        <f>(Egypt!P32+Tunisia!P32+Algeria!P32)/3</f>
        <v>0.19710816585816585</v>
      </c>
    </row>
    <row r="34" spans="1:7" ht="33.6" customHeight="1" thickBot="1" x14ac:dyDescent="0.5">
      <c r="A34" s="275">
        <v>6</v>
      </c>
      <c r="B34" s="56" t="s">
        <v>19</v>
      </c>
      <c r="C34" s="57" t="s">
        <v>287</v>
      </c>
      <c r="D34" s="56" t="s">
        <v>288</v>
      </c>
      <c r="E34" s="214" t="s">
        <v>97</v>
      </c>
      <c r="F34" s="110">
        <f>(Egypt!M33+Tunisia!M33+Algeria!M33)/3</f>
        <v>-0.81893333333333329</v>
      </c>
      <c r="G34" s="662">
        <f>(Egypt!P33+Tunisia!P33+Algeria!P33)/3</f>
        <v>0</v>
      </c>
    </row>
    <row r="35" spans="1:7" ht="51" customHeight="1" thickBot="1" x14ac:dyDescent="0.5">
      <c r="A35" s="275">
        <v>7</v>
      </c>
      <c r="B35" s="56" t="s">
        <v>20</v>
      </c>
      <c r="C35" s="56" t="s">
        <v>118</v>
      </c>
      <c r="D35" s="56" t="s">
        <v>21</v>
      </c>
      <c r="E35" s="214" t="s">
        <v>173</v>
      </c>
      <c r="F35" s="110">
        <f>(Egypt!M34+Tunisia!M34+Algeria!M34)/3</f>
        <v>5.7461559307791822E-2</v>
      </c>
      <c r="G35" s="662">
        <f>(Egypt!P34+Tunisia!P34+Algeria!P34)/3</f>
        <v>0.15873015873015864</v>
      </c>
    </row>
    <row r="36" spans="1:7" ht="40.799999999999997" customHeight="1" thickBot="1" x14ac:dyDescent="0.5">
      <c r="A36" s="275">
        <v>8</v>
      </c>
      <c r="B36" s="56" t="s">
        <v>22</v>
      </c>
      <c r="C36" s="56" t="s">
        <v>119</v>
      </c>
      <c r="D36" s="56" t="s">
        <v>23</v>
      </c>
      <c r="E36" s="214" t="s">
        <v>174</v>
      </c>
      <c r="F36" s="110">
        <f>(Egypt!M35+Tunisia!M35+Algeria!M35)/3</f>
        <v>0.26558839058839062</v>
      </c>
      <c r="G36" s="662">
        <f>(Egypt!P35+Tunisia!P35+Algeria!P35)/3</f>
        <v>0.26558839058839062</v>
      </c>
    </row>
    <row r="37" spans="1:7" ht="32.450000000000003" customHeight="1" thickBot="1" x14ac:dyDescent="0.5">
      <c r="A37" s="275">
        <v>9</v>
      </c>
      <c r="B37" s="56" t="s">
        <v>24</v>
      </c>
      <c r="C37" s="56" t="s">
        <v>275</v>
      </c>
      <c r="D37" s="58" t="s">
        <v>25</v>
      </c>
      <c r="E37" s="215" t="s">
        <v>175</v>
      </c>
      <c r="F37" s="110">
        <f>(Egypt!M36+Tunisia!M36+Algeria!M36)/3</f>
        <v>0.36411411411411404</v>
      </c>
      <c r="G37" s="662">
        <f>(Egypt!P36+Tunisia!P36+Algeria!P36)/3</f>
        <v>0.36411411411411404</v>
      </c>
    </row>
    <row r="38" spans="1:7" ht="30.6" customHeight="1" thickBot="1" x14ac:dyDescent="0.5">
      <c r="B38" s="745" t="s">
        <v>26</v>
      </c>
      <c r="C38" s="746"/>
      <c r="D38" s="747"/>
      <c r="E38" s="36"/>
      <c r="F38" s="370"/>
      <c r="G38" s="662">
        <f>(Egypt!P37+Tunisia!P37+Algeria!P37)/3</f>
        <v>0.28075468774213541</v>
      </c>
    </row>
    <row r="39" spans="1:7" ht="25.8" customHeight="1" x14ac:dyDescent="0.45">
      <c r="A39" s="679">
        <v>10</v>
      </c>
      <c r="B39" s="732" t="s">
        <v>27</v>
      </c>
      <c r="C39" s="79" t="s">
        <v>120</v>
      </c>
      <c r="D39" s="80" t="s">
        <v>224</v>
      </c>
      <c r="E39" s="216" t="s">
        <v>176</v>
      </c>
      <c r="F39" s="367">
        <f>(Egypt!M38+Tunisia!M38+Algeria!M38)/3</f>
        <v>0.56150937548427082</v>
      </c>
      <c r="G39" s="784">
        <f>(Egypt!P38+Tunisia!P38+Algeria!P38)/3</f>
        <v>0.28075468774213541</v>
      </c>
    </row>
    <row r="40" spans="1:7" ht="35.25" thickBot="1" x14ac:dyDescent="0.5">
      <c r="A40" s="679"/>
      <c r="B40" s="734"/>
      <c r="C40" s="75" t="s">
        <v>157</v>
      </c>
      <c r="D40" s="242" t="s">
        <v>225</v>
      </c>
      <c r="E40" s="222" t="s">
        <v>95</v>
      </c>
      <c r="F40" s="369">
        <f>(Egypt!M39+Tunisia!M39+Algeria!M39)/3</f>
        <v>0</v>
      </c>
      <c r="G40" s="785"/>
    </row>
    <row r="41" spans="1:7" ht="20.45" customHeight="1" thickBot="1" x14ac:dyDescent="0.5">
      <c r="B41" s="727" t="s">
        <v>28</v>
      </c>
      <c r="C41" s="728"/>
      <c r="D41" s="729"/>
      <c r="E41" s="37"/>
      <c r="F41" s="371"/>
      <c r="G41" s="662">
        <f>(Egypt!P40+Tunisia!P40+Algeria!P40)/3</f>
        <v>0.5434782608695653</v>
      </c>
    </row>
    <row r="42" spans="1:7" ht="34.9" x14ac:dyDescent="0.45">
      <c r="A42" s="679">
        <v>11</v>
      </c>
      <c r="B42" s="693" t="s">
        <v>29</v>
      </c>
      <c r="C42" s="281" t="s">
        <v>121</v>
      </c>
      <c r="D42" s="278" t="s">
        <v>30</v>
      </c>
      <c r="E42" s="243" t="s">
        <v>177</v>
      </c>
      <c r="F42" s="367">
        <f>(Egypt!M41+Tunisia!M41+Algeria!M41)/3</f>
        <v>1.0869565217391306</v>
      </c>
      <c r="G42" s="784">
        <f>(Egypt!P41+Tunisia!P41+Algeria!P41)/3</f>
        <v>0.5434782608695653</v>
      </c>
    </row>
    <row r="43" spans="1:7" ht="35.25" thickBot="1" x14ac:dyDescent="0.5">
      <c r="A43" s="679"/>
      <c r="B43" s="695"/>
      <c r="C43" s="282" t="s">
        <v>122</v>
      </c>
      <c r="D43" s="279" t="s">
        <v>31</v>
      </c>
      <c r="E43" s="244" t="s">
        <v>95</v>
      </c>
      <c r="F43" s="369">
        <f>(Egypt!M42+Tunisia!M42+Algeria!M42)/3</f>
        <v>0</v>
      </c>
      <c r="G43" s="785"/>
    </row>
    <row r="44" spans="1:7" ht="30.6" customHeight="1" thickBot="1" x14ac:dyDescent="0.5">
      <c r="B44" s="702" t="s">
        <v>32</v>
      </c>
      <c r="C44" s="703"/>
      <c r="D44" s="704"/>
      <c r="E44" s="35"/>
      <c r="F44" s="33"/>
      <c r="G44" s="662">
        <f>(Egypt!P43+Tunisia!P43+Algeria!P43)/3</f>
        <v>0.66667637333488639</v>
      </c>
    </row>
    <row r="45" spans="1:7" ht="37.799999999999997" customHeight="1" x14ac:dyDescent="0.45">
      <c r="A45" s="679">
        <v>12</v>
      </c>
      <c r="B45" s="693" t="s">
        <v>33</v>
      </c>
      <c r="C45" s="278" t="s">
        <v>123</v>
      </c>
      <c r="D45" s="278" t="s">
        <v>34</v>
      </c>
      <c r="E45" s="206" t="s">
        <v>178</v>
      </c>
      <c r="F45" s="367">
        <f>(Egypt!M44+Tunisia!M44+Algeria!M44)/3</f>
        <v>1.5211111111111111</v>
      </c>
      <c r="G45" s="784">
        <f>(Egypt!P44+Tunisia!P44+Algeria!P44)/3</f>
        <v>0.66667637333488639</v>
      </c>
    </row>
    <row r="46" spans="1:7" ht="35.25" thickBot="1" x14ac:dyDescent="0.5">
      <c r="A46" s="679"/>
      <c r="B46" s="695"/>
      <c r="C46" s="279" t="s">
        <v>124</v>
      </c>
      <c r="D46" s="279" t="s">
        <v>35</v>
      </c>
      <c r="E46" s="207" t="s">
        <v>179</v>
      </c>
      <c r="F46" s="369">
        <f>(Egypt!M45+Tunisia!M45+Algeria!M45)/3</f>
        <v>1.281372549019608</v>
      </c>
      <c r="G46" s="785"/>
    </row>
    <row r="47" spans="1:7" ht="30.6" customHeight="1" thickBot="1" x14ac:dyDescent="0.5">
      <c r="B47" s="721" t="s">
        <v>36</v>
      </c>
      <c r="C47" s="722"/>
      <c r="D47" s="723"/>
      <c r="E47" s="38"/>
      <c r="F47" s="38"/>
      <c r="G47" s="662">
        <f>(Egypt!P46+Tunisia!P46+Algeria!P46)/3</f>
        <v>0.45369105880298294</v>
      </c>
    </row>
    <row r="48" spans="1:7" ht="20.45" customHeight="1" thickBot="1" x14ac:dyDescent="0.5">
      <c r="B48" s="687" t="s">
        <v>37</v>
      </c>
      <c r="C48" s="688"/>
      <c r="D48" s="689"/>
      <c r="E48" s="54"/>
      <c r="F48" s="54"/>
      <c r="G48" s="662">
        <f>(Egypt!P47+Tunisia!P47+Algeria!P47)/3</f>
        <v>6.3934820802575357E-2</v>
      </c>
    </row>
    <row r="49" spans="1:7" ht="37.799999999999997" customHeight="1" x14ac:dyDescent="0.45">
      <c r="A49" s="679">
        <v>13</v>
      </c>
      <c r="B49" s="693" t="s">
        <v>38</v>
      </c>
      <c r="C49" s="278" t="s">
        <v>125</v>
      </c>
      <c r="D49" s="61" t="s">
        <v>289</v>
      </c>
      <c r="E49" s="211" t="s">
        <v>95</v>
      </c>
      <c r="F49" s="366">
        <f>(Egypt!M48+Tunisia!M48+Algeria!M48)/3</f>
        <v>0</v>
      </c>
      <c r="G49" s="784">
        <f>(Egypt!P48+Tunisia!P48+Algeria!P48)/3</f>
        <v>6.3934820802575357E-2</v>
      </c>
    </row>
    <row r="50" spans="1:7" ht="30.6" customHeight="1" thickBot="1" x14ac:dyDescent="0.5">
      <c r="A50" s="679"/>
      <c r="B50" s="695"/>
      <c r="C50" s="279" t="s">
        <v>126</v>
      </c>
      <c r="D50" s="279" t="s">
        <v>290</v>
      </c>
      <c r="E50" s="213" t="s">
        <v>95</v>
      </c>
      <c r="F50" s="366">
        <f>(Egypt!M49+Tunisia!M49+Algeria!M49)/3</f>
        <v>0.12786964160515071</v>
      </c>
      <c r="G50" s="785"/>
    </row>
    <row r="51" spans="1:7" ht="23.65" customHeight="1" thickBot="1" x14ac:dyDescent="0.5">
      <c r="B51" s="702" t="s">
        <v>39</v>
      </c>
      <c r="C51" s="703"/>
      <c r="D51" s="704"/>
      <c r="E51" s="39"/>
      <c r="F51" s="39"/>
      <c r="G51" s="662">
        <f>(Egypt!P50+Tunisia!P50+Algeria!P50)/3</f>
        <v>0.88888888888888895</v>
      </c>
    </row>
    <row r="52" spans="1:7" ht="30.6" customHeight="1" thickBot="1" x14ac:dyDescent="0.5">
      <c r="A52" s="15">
        <v>14</v>
      </c>
      <c r="B52" s="204" t="s">
        <v>226</v>
      </c>
      <c r="C52" s="205" t="s">
        <v>272</v>
      </c>
      <c r="D52" s="81" t="s">
        <v>266</v>
      </c>
      <c r="E52" s="218" t="s">
        <v>95</v>
      </c>
      <c r="F52" s="367">
        <f>(Egypt!M51+Tunisia!M51+Algeria!M51)/3</f>
        <v>1.1111111111111112</v>
      </c>
      <c r="G52" s="662">
        <f>(Egypt!P51+Tunisia!P51+Algeria!P51)/3</f>
        <v>0.88888888888888895</v>
      </c>
    </row>
    <row r="53" spans="1:7" ht="27.75" customHeight="1" thickBot="1" x14ac:dyDescent="0.5">
      <c r="B53" s="702" t="s">
        <v>40</v>
      </c>
      <c r="C53" s="703"/>
      <c r="D53" s="704"/>
      <c r="E53" s="34"/>
      <c r="F53" s="54"/>
      <c r="G53" s="662">
        <f>(Egypt!P52+Tunisia!P52+Algeria!P52)/3</f>
        <v>0.4082494667174843</v>
      </c>
    </row>
    <row r="54" spans="1:7" ht="43.8" customHeight="1" x14ac:dyDescent="0.45">
      <c r="A54" s="679">
        <v>15</v>
      </c>
      <c r="B54" s="732" t="s">
        <v>108</v>
      </c>
      <c r="C54" s="62" t="s">
        <v>127</v>
      </c>
      <c r="D54" s="63" t="s">
        <v>41</v>
      </c>
      <c r="E54" s="219" t="s">
        <v>95</v>
      </c>
      <c r="F54" s="367">
        <f>(Egypt!M53+Tunisia!M53+Algeria!M53)/3</f>
        <v>0.64814814814814814</v>
      </c>
      <c r="G54" s="791">
        <f>(Egypt!P53+Tunisia!P53+Algeria!P53)/3</f>
        <v>0.4082494667174843</v>
      </c>
    </row>
    <row r="55" spans="1:7" ht="35.450000000000003" customHeight="1" x14ac:dyDescent="0.45">
      <c r="A55" s="679"/>
      <c r="B55" s="733"/>
      <c r="C55" s="83" t="s">
        <v>128</v>
      </c>
      <c r="D55" s="64" t="s">
        <v>42</v>
      </c>
      <c r="E55" s="220" t="s">
        <v>95</v>
      </c>
      <c r="F55" s="368">
        <f>(Egypt!M54+Tunisia!M54+Algeria!M54)/3</f>
        <v>0</v>
      </c>
      <c r="G55" s="792"/>
    </row>
    <row r="56" spans="1:7" ht="34.25" customHeight="1" x14ac:dyDescent="0.45">
      <c r="A56" s="679"/>
      <c r="B56" s="733"/>
      <c r="C56" s="83" t="s">
        <v>129</v>
      </c>
      <c r="D56" s="64" t="s">
        <v>43</v>
      </c>
      <c r="E56" s="220" t="s">
        <v>95</v>
      </c>
      <c r="F56" s="368">
        <f>(Egypt!M55+Tunisia!M55+Algeria!M55)/3</f>
        <v>0.55555555555555558</v>
      </c>
      <c r="G56" s="792"/>
    </row>
    <row r="57" spans="1:7" ht="37.25" customHeight="1" x14ac:dyDescent="0.45">
      <c r="A57" s="679"/>
      <c r="B57" s="733"/>
      <c r="C57" s="83" t="s">
        <v>130</v>
      </c>
      <c r="D57" s="64" t="s">
        <v>44</v>
      </c>
      <c r="E57" s="220" t="s">
        <v>101</v>
      </c>
      <c r="F57" s="368">
        <f>(Egypt!M56+Tunisia!M56+Algeria!M56)/3</f>
        <v>0.67888517935697779</v>
      </c>
      <c r="G57" s="792"/>
    </row>
    <row r="58" spans="1:7" ht="22.8" customHeight="1" x14ac:dyDescent="0.45">
      <c r="A58" s="679"/>
      <c r="B58" s="733"/>
      <c r="C58" s="738" t="s">
        <v>131</v>
      </c>
      <c r="D58" s="64" t="s">
        <v>45</v>
      </c>
      <c r="E58" s="220" t="s">
        <v>180</v>
      </c>
      <c r="F58" s="368">
        <f>(Egypt!M57+Tunisia!M57+Algeria!M57)/3</f>
        <v>0.30097703177243473</v>
      </c>
      <c r="G58" s="792"/>
    </row>
    <row r="59" spans="1:7" ht="21.4" customHeight="1" thickBot="1" x14ac:dyDescent="0.5">
      <c r="A59" s="679"/>
      <c r="B59" s="734"/>
      <c r="C59" s="739"/>
      <c r="D59" s="47" t="s">
        <v>46</v>
      </c>
      <c r="E59" s="221" t="s">
        <v>95</v>
      </c>
      <c r="F59" s="369">
        <f>(Egypt!M58+Tunisia!M58+Algeria!M58)/3</f>
        <v>1.6339869281045766E-2</v>
      </c>
      <c r="G59" s="793"/>
    </row>
    <row r="60" spans="1:7" ht="23.45" customHeight="1" thickBot="1" x14ac:dyDescent="0.5">
      <c r="B60" s="721" t="s">
        <v>47</v>
      </c>
      <c r="C60" s="722"/>
      <c r="D60" s="723"/>
      <c r="E60" s="280"/>
      <c r="F60" s="280"/>
      <c r="G60" s="662">
        <f>(Egypt!P59+Tunisia!P59+Algeria!P59)/3</f>
        <v>0.16071428571428573</v>
      </c>
    </row>
    <row r="61" spans="1:7" ht="22.25" customHeight="1" thickBot="1" x14ac:dyDescent="0.5">
      <c r="B61" s="702" t="s">
        <v>48</v>
      </c>
      <c r="C61" s="703"/>
      <c r="D61" s="704"/>
      <c r="E61" s="33"/>
      <c r="F61" s="33"/>
      <c r="G61" s="662">
        <f>(Egypt!P60+Tunisia!P60+Algeria!P60)/3</f>
        <v>0.32142857142857145</v>
      </c>
    </row>
    <row r="62" spans="1:7" ht="39" customHeight="1" x14ac:dyDescent="0.45">
      <c r="A62" s="679">
        <v>16</v>
      </c>
      <c r="B62" s="690" t="s">
        <v>49</v>
      </c>
      <c r="C62" s="278" t="s">
        <v>133</v>
      </c>
      <c r="D62" s="278" t="s">
        <v>50</v>
      </c>
      <c r="E62" s="216" t="s">
        <v>181</v>
      </c>
      <c r="F62" s="367">
        <f>(Egypt!M61+Tunisia!M61+Algeria!M61)/3</f>
        <v>0</v>
      </c>
      <c r="G62" s="791">
        <f>(Egypt!P61+Tunisia!P61+Algeria!P61)/3</f>
        <v>0.32142857142857145</v>
      </c>
    </row>
    <row r="63" spans="1:7" ht="58.25" customHeight="1" x14ac:dyDescent="0.45">
      <c r="A63" s="679"/>
      <c r="B63" s="691"/>
      <c r="C63" s="276" t="s">
        <v>134</v>
      </c>
      <c r="D63" s="83" t="s">
        <v>276</v>
      </c>
      <c r="E63" s="217" t="s">
        <v>182</v>
      </c>
      <c r="F63" s="368">
        <f>(Egypt!M62+Tunisia!M62+Algeria!M62)/3</f>
        <v>0.2857142857142857</v>
      </c>
      <c r="G63" s="792"/>
    </row>
    <row r="64" spans="1:7" ht="26.45" customHeight="1" x14ac:dyDescent="0.45">
      <c r="A64" s="679"/>
      <c r="B64" s="691"/>
      <c r="C64" s="276" t="s">
        <v>135</v>
      </c>
      <c r="D64" s="276" t="s">
        <v>51</v>
      </c>
      <c r="E64" s="217" t="s">
        <v>95</v>
      </c>
      <c r="F64" s="368">
        <f>(Egypt!M63+Tunisia!M63+Algeria!M63)/3</f>
        <v>0.33333333333333331</v>
      </c>
      <c r="G64" s="792"/>
    </row>
    <row r="65" spans="1:9" ht="24" customHeight="1" x14ac:dyDescent="0.45">
      <c r="A65" s="679"/>
      <c r="B65" s="691"/>
      <c r="C65" s="694" t="s">
        <v>136</v>
      </c>
      <c r="D65" s="65" t="s">
        <v>52</v>
      </c>
      <c r="E65" s="217" t="s">
        <v>95</v>
      </c>
      <c r="F65" s="368">
        <f>(Egypt!M64+Tunisia!M64+Algeria!M64)/3</f>
        <v>0.88888888888888895</v>
      </c>
      <c r="G65" s="792"/>
    </row>
    <row r="66" spans="1:9" ht="22.5" customHeight="1" x14ac:dyDescent="0.45">
      <c r="A66" s="679"/>
      <c r="B66" s="691"/>
      <c r="C66" s="694"/>
      <c r="D66" s="65" t="s">
        <v>53</v>
      </c>
      <c r="E66" s="217" t="s">
        <v>95</v>
      </c>
      <c r="F66" s="368">
        <f>(Egypt!M65+Tunisia!M65+Algeria!M65)/3</f>
        <v>0.55555555555555558</v>
      </c>
      <c r="G66" s="792"/>
    </row>
    <row r="67" spans="1:9" ht="27.6" customHeight="1" thickBot="1" x14ac:dyDescent="0.5">
      <c r="A67" s="679"/>
      <c r="B67" s="692"/>
      <c r="C67" s="695"/>
      <c r="D67" s="66" t="s">
        <v>54</v>
      </c>
      <c r="E67" s="222" t="s">
        <v>95</v>
      </c>
      <c r="F67" s="369">
        <f>(Egypt!M66+Tunisia!M66+Algeria!M66)/3</f>
        <v>0.55555555555555558</v>
      </c>
      <c r="G67" s="793"/>
    </row>
    <row r="68" spans="1:9" ht="27" customHeight="1" thickBot="1" x14ac:dyDescent="0.5">
      <c r="B68" s="687" t="s">
        <v>55</v>
      </c>
      <c r="C68" s="688"/>
      <c r="D68" s="689"/>
      <c r="E68" s="46"/>
      <c r="F68" s="46"/>
      <c r="G68" s="662">
        <f>(Egypt!P67+Tunisia!P67+Algeria!P67)/3</f>
        <v>0</v>
      </c>
    </row>
    <row r="69" spans="1:9" ht="70.150000000000006" thickBot="1" x14ac:dyDescent="0.5">
      <c r="A69" s="16">
        <v>17</v>
      </c>
      <c r="B69" s="67" t="s">
        <v>56</v>
      </c>
      <c r="C69" s="67" t="s">
        <v>137</v>
      </c>
      <c r="D69" s="67" t="s">
        <v>57</v>
      </c>
      <c r="E69" s="82" t="s">
        <v>132</v>
      </c>
      <c r="F69" s="367">
        <f>(Egypt!M68+Tunisia!M68+Algeria!M68)/3</f>
        <v>0</v>
      </c>
      <c r="G69" s="662">
        <f>(Egypt!P68+Tunisia!P68+Algeria!P68)/3</f>
        <v>0</v>
      </c>
    </row>
    <row r="70" spans="1:9" ht="22.25" customHeight="1" thickBot="1" x14ac:dyDescent="0.5">
      <c r="B70" s="724" t="s">
        <v>58</v>
      </c>
      <c r="C70" s="725"/>
      <c r="D70" s="726"/>
      <c r="E70" s="40"/>
      <c r="F70" s="40"/>
      <c r="G70" s="662">
        <f>(Egypt!P69+Tunisia!P69+Algeria!P69)/3</f>
        <v>0.33333333333333331</v>
      </c>
    </row>
    <row r="71" spans="1:9" ht="20.45" customHeight="1" thickBot="1" x14ac:dyDescent="0.5">
      <c r="B71" s="702" t="s">
        <v>59</v>
      </c>
      <c r="C71" s="703"/>
      <c r="D71" s="704"/>
      <c r="E71" s="34"/>
      <c r="F71" s="34"/>
      <c r="G71" s="662">
        <f>(Egypt!P70+Tunisia!P70+Algeria!P70)/3</f>
        <v>0.33333333333333331</v>
      </c>
    </row>
    <row r="72" spans="1:9" ht="52.25" customHeight="1" thickBot="1" x14ac:dyDescent="0.5">
      <c r="A72" s="16">
        <v>18</v>
      </c>
      <c r="B72" s="68" t="s">
        <v>60</v>
      </c>
      <c r="C72" s="69" t="s">
        <v>138</v>
      </c>
      <c r="D72" s="98" t="s">
        <v>61</v>
      </c>
      <c r="E72" s="223" t="s">
        <v>183</v>
      </c>
      <c r="F72" s="367">
        <f>(Egypt!M71+Tunisia!M71+Algeria!M71)/3</f>
        <v>0.33333333333333331</v>
      </c>
      <c r="G72" s="662">
        <f>(Egypt!P71+Tunisia!P71+Algeria!P71)/3</f>
        <v>0.33333333333333331</v>
      </c>
    </row>
    <row r="73" spans="1:9" ht="20.45" customHeight="1" thickBot="1" x14ac:dyDescent="0.5">
      <c r="B73" s="727" t="s">
        <v>277</v>
      </c>
      <c r="C73" s="728"/>
      <c r="D73" s="729"/>
      <c r="E73" s="36"/>
      <c r="F73" s="36"/>
      <c r="G73" s="662">
        <f>(Egypt!P72+Tunisia!P72+Algeria!P72)/3</f>
        <v>0.33333333333333331</v>
      </c>
    </row>
    <row r="74" spans="1:9" ht="45" customHeight="1" thickBot="1" x14ac:dyDescent="0.5">
      <c r="A74" s="16">
        <v>19</v>
      </c>
      <c r="B74" s="70" t="s">
        <v>62</v>
      </c>
      <c r="C74" s="71" t="s">
        <v>139</v>
      </c>
      <c r="D74" s="99" t="s">
        <v>63</v>
      </c>
      <c r="E74" s="224" t="s">
        <v>95</v>
      </c>
      <c r="F74" s="367">
        <f>(Egypt!M73+Tunisia!M73+Algeria!M73)/3</f>
        <v>0.33333333333333331</v>
      </c>
      <c r="G74" s="662">
        <f>(Egypt!P73+Tunisia!P73+Algeria!P73)/3</f>
        <v>0.33333333333333331</v>
      </c>
    </row>
    <row r="75" spans="1:9" ht="30.6" customHeight="1" thickBot="1" x14ac:dyDescent="0.5">
      <c r="B75" s="702" t="s">
        <v>64</v>
      </c>
      <c r="C75" s="703"/>
      <c r="D75" s="704"/>
      <c r="E75" s="34"/>
      <c r="F75" s="34"/>
      <c r="G75" s="662">
        <f>(Egypt!P74+Tunisia!P74+Algeria!P74)/3</f>
        <v>0.33333333333333331</v>
      </c>
      <c r="I75" s="299"/>
    </row>
    <row r="76" spans="1:9" ht="29.45" customHeight="1" thickBot="1" x14ac:dyDescent="0.5">
      <c r="A76" s="16">
        <v>20</v>
      </c>
      <c r="B76" s="70" t="s">
        <v>65</v>
      </c>
      <c r="C76" s="69" t="s">
        <v>140</v>
      </c>
      <c r="D76" s="71" t="s">
        <v>66</v>
      </c>
      <c r="E76" s="225" t="s">
        <v>95</v>
      </c>
      <c r="F76" s="367">
        <f>(Egypt!M75+Tunisia!M75+Algeria!M75)/3</f>
        <v>0.33333333333333331</v>
      </c>
      <c r="G76" s="662">
        <f>(Egypt!P75+Tunisia!P75+Algeria!P75)/3</f>
        <v>0.33333333333333331</v>
      </c>
      <c r="I76" s="299"/>
    </row>
    <row r="77" spans="1:9" ht="20.45" customHeight="1" thickBot="1" x14ac:dyDescent="0.5">
      <c r="B77" s="718" t="s">
        <v>67</v>
      </c>
      <c r="C77" s="719"/>
      <c r="D77" s="720"/>
      <c r="E77" s="41"/>
      <c r="F77" s="41"/>
      <c r="G77" s="662">
        <f>(Egypt!P76+Tunisia!P76+Algeria!P76)/3</f>
        <v>0.33333333333333331</v>
      </c>
    </row>
    <row r="78" spans="1:9" ht="20.45" customHeight="1" thickBot="1" x14ac:dyDescent="0.5">
      <c r="B78" s="702" t="s">
        <v>68</v>
      </c>
      <c r="C78" s="703"/>
      <c r="D78" s="704"/>
      <c r="E78" s="34"/>
      <c r="F78" s="34"/>
      <c r="G78" s="662">
        <f>(Egypt!P77+Tunisia!P77+Algeria!P77)/3</f>
        <v>0.33333333333333331</v>
      </c>
    </row>
    <row r="79" spans="1:9" ht="35.25" thickBot="1" x14ac:dyDescent="0.5">
      <c r="A79" s="16">
        <v>21</v>
      </c>
      <c r="B79" s="70" t="s">
        <v>69</v>
      </c>
      <c r="C79" s="72" t="s">
        <v>141</v>
      </c>
      <c r="D79" s="72" t="s">
        <v>70</v>
      </c>
      <c r="E79" s="226" t="s">
        <v>95</v>
      </c>
      <c r="F79" s="367">
        <f>(Egypt!M78+Tunisia!M78+Algeria!M78)/3</f>
        <v>0.55555555555555547</v>
      </c>
      <c r="G79" s="662">
        <f>(Egypt!P78+Tunisia!P78+Algeria!P78)/3</f>
        <v>0.33333333333333331</v>
      </c>
    </row>
    <row r="80" spans="1:9" ht="21.6" customHeight="1" thickBot="1" x14ac:dyDescent="0.5">
      <c r="B80" s="711" t="s">
        <v>71</v>
      </c>
      <c r="C80" s="712"/>
      <c r="D80" s="713"/>
      <c r="E80" s="41"/>
      <c r="F80" s="41"/>
      <c r="G80" s="662">
        <f>(Egypt!P79+Tunisia!P79+Algeria!P79)/3</f>
        <v>0.56976469559494314</v>
      </c>
    </row>
    <row r="81" spans="1:9" ht="20.45" customHeight="1" thickBot="1" x14ac:dyDescent="0.5">
      <c r="B81" s="687" t="s">
        <v>72</v>
      </c>
      <c r="C81" s="688"/>
      <c r="D81" s="689"/>
      <c r="E81" s="227"/>
      <c r="F81" s="227"/>
      <c r="G81" s="662">
        <f>(Egypt!P80+Tunisia!P80+Algeria!P80)/3</f>
        <v>0.53560773120122074</v>
      </c>
      <c r="I81" s="299"/>
    </row>
    <row r="82" spans="1:9" ht="58.15" x14ac:dyDescent="0.45">
      <c r="A82" s="275"/>
      <c r="B82" s="714" t="s">
        <v>73</v>
      </c>
      <c r="C82" s="278" t="s">
        <v>267</v>
      </c>
      <c r="D82" s="62" t="s">
        <v>278</v>
      </c>
      <c r="E82" s="228" t="s">
        <v>279</v>
      </c>
      <c r="F82" s="367">
        <f>(Egypt!M81+Tunisia!M81+Algeria!M81)/3</f>
        <v>-0.55295342180588081</v>
      </c>
      <c r="G82" s="784">
        <f>(Egypt!P81+Tunisia!P81+Algeria!P81)/3</f>
        <v>0.28657884465261513</v>
      </c>
      <c r="I82" s="299"/>
    </row>
    <row r="83" spans="1:9" ht="39.6" customHeight="1" thickBot="1" x14ac:dyDescent="0.5">
      <c r="A83" s="275"/>
      <c r="B83" s="715"/>
      <c r="C83" s="279" t="s">
        <v>268</v>
      </c>
      <c r="D83" s="84" t="s">
        <v>74</v>
      </c>
      <c r="E83" s="229" t="s">
        <v>282</v>
      </c>
      <c r="F83" s="368">
        <f>(Egypt!M82+Tunisia!M82+Algeria!M82)/3</f>
        <v>0.8367592592592592</v>
      </c>
      <c r="G83" s="785"/>
      <c r="I83" s="299"/>
    </row>
    <row r="84" spans="1:9" ht="60" customHeight="1" x14ac:dyDescent="0.45">
      <c r="A84" s="275"/>
      <c r="B84" s="696" t="s">
        <v>142</v>
      </c>
      <c r="C84" s="245" t="s">
        <v>145</v>
      </c>
      <c r="D84" s="278" t="s">
        <v>143</v>
      </c>
      <c r="E84" s="230" t="s">
        <v>184</v>
      </c>
      <c r="F84" s="368">
        <f>(Egypt!M83+Tunisia!M83+Algeria!M83)/3</f>
        <v>0.82457081447179481</v>
      </c>
      <c r="G84" s="786">
        <f>(Egypt!P83+Tunisia!P83+Algeria!P83)/3</f>
        <v>0.7846366177498264</v>
      </c>
    </row>
    <row r="85" spans="1:9" ht="45" customHeight="1" x14ac:dyDescent="0.45">
      <c r="A85" s="275"/>
      <c r="B85" s="697"/>
      <c r="C85" s="73" t="s">
        <v>146</v>
      </c>
      <c r="D85" s="83" t="s">
        <v>283</v>
      </c>
      <c r="E85" s="231" t="s">
        <v>185</v>
      </c>
      <c r="F85" s="368">
        <f>(Egypt!M84+Tunisia!M84+Algeria!M84)/3</f>
        <v>0.33333333333333331</v>
      </c>
      <c r="G85" s="787"/>
    </row>
    <row r="86" spans="1:9" ht="38.450000000000003" customHeight="1" thickBot="1" x14ac:dyDescent="0.5">
      <c r="A86" s="275"/>
      <c r="B86" s="698"/>
      <c r="C86" s="74" t="s">
        <v>147</v>
      </c>
      <c r="D86" s="84" t="s">
        <v>144</v>
      </c>
      <c r="E86" s="232" t="s">
        <v>284</v>
      </c>
      <c r="F86" s="369">
        <f>(Egypt!M85+Tunisia!M85+Algeria!M85)/3</f>
        <v>1.3172222222222261</v>
      </c>
      <c r="G86" s="788"/>
    </row>
    <row r="87" spans="1:9" ht="20.45" customHeight="1" thickBot="1" x14ac:dyDescent="0.5">
      <c r="B87" s="702" t="s">
        <v>75</v>
      </c>
      <c r="C87" s="703"/>
      <c r="D87" s="704"/>
      <c r="E87" s="35"/>
      <c r="F87" s="33"/>
      <c r="G87" s="662">
        <f>(Egypt!P86+Tunisia!P86+Algeria!P86)/3</f>
        <v>0.63807862438238783</v>
      </c>
    </row>
    <row r="88" spans="1:9" ht="27.6" customHeight="1" x14ac:dyDescent="0.45">
      <c r="A88" s="679">
        <v>24</v>
      </c>
      <c r="B88" s="705" t="s">
        <v>76</v>
      </c>
      <c r="C88" s="79" t="s">
        <v>159</v>
      </c>
      <c r="D88" s="50" t="s">
        <v>285</v>
      </c>
      <c r="E88" s="246" t="s">
        <v>186</v>
      </c>
      <c r="F88" s="367">
        <f>(Egypt!M87+Tunisia!M87+Algeria!M87)/3</f>
        <v>0.54678166069295131</v>
      </c>
      <c r="G88" s="786">
        <f>(Egypt!P87+Tunisia!P87+Algeria!P87)/3</f>
        <v>0.63807862438238783</v>
      </c>
    </row>
    <row r="89" spans="1:9" ht="25.8" customHeight="1" x14ac:dyDescent="0.45">
      <c r="A89" s="679"/>
      <c r="B89" s="706"/>
      <c r="C89" s="710" t="s">
        <v>160</v>
      </c>
      <c r="D89" s="52" t="s">
        <v>77</v>
      </c>
      <c r="E89" s="233" t="s">
        <v>187</v>
      </c>
      <c r="F89" s="368">
        <f>(Egypt!M88+Tunisia!M88+Algeria!M88)/3</f>
        <v>-0.57858974358974369</v>
      </c>
      <c r="G89" s="789"/>
    </row>
    <row r="90" spans="1:9" ht="25.25" customHeight="1" x14ac:dyDescent="0.45">
      <c r="A90" s="679"/>
      <c r="B90" s="706"/>
      <c r="C90" s="710"/>
      <c r="D90" s="52" t="s">
        <v>78</v>
      </c>
      <c r="E90" s="233" t="s">
        <v>188</v>
      </c>
      <c r="F90" s="368">
        <f>(Egypt!M89+Tunisia!M89+Algeria!M89)/3</f>
        <v>0.33333333333333331</v>
      </c>
      <c r="G90" s="789"/>
    </row>
    <row r="91" spans="1:9" ht="26.45" customHeight="1" x14ac:dyDescent="0.45">
      <c r="A91" s="679"/>
      <c r="B91" s="706"/>
      <c r="C91" s="710"/>
      <c r="D91" s="52" t="s">
        <v>79</v>
      </c>
      <c r="E91" s="234" t="s">
        <v>189</v>
      </c>
      <c r="F91" s="368">
        <f>(Egypt!M90+Tunisia!M90+Algeria!M90)/3</f>
        <v>0.33333333333333331</v>
      </c>
      <c r="G91" s="789"/>
    </row>
    <row r="92" spans="1:9" ht="40.799999999999997" customHeight="1" thickBot="1" x14ac:dyDescent="0.5">
      <c r="A92" s="679"/>
      <c r="B92" s="707"/>
      <c r="C92" s="75" t="s">
        <v>161</v>
      </c>
      <c r="D92" s="76" t="s">
        <v>80</v>
      </c>
      <c r="E92" s="235" t="s">
        <v>95</v>
      </c>
      <c r="F92" s="369">
        <f>(Egypt!M91+Tunisia!M91+Algeria!M91)/3</f>
        <v>1.338095238095238</v>
      </c>
      <c r="G92" s="790"/>
    </row>
    <row r="93" spans="1:9" ht="26.65" customHeight="1" thickBot="1" x14ac:dyDescent="0.5">
      <c r="B93" s="684" t="s">
        <v>81</v>
      </c>
      <c r="C93" s="685"/>
      <c r="D93" s="686"/>
      <c r="E93" s="38"/>
      <c r="F93" s="38"/>
      <c r="G93" s="662">
        <f>(Egypt!P92+Tunisia!P92+Algeria!P92)/3</f>
        <v>0.28226895170653216</v>
      </c>
    </row>
    <row r="94" spans="1:9" ht="20.45" customHeight="1" thickBot="1" x14ac:dyDescent="0.5">
      <c r="B94" s="687" t="s">
        <v>82</v>
      </c>
      <c r="C94" s="688"/>
      <c r="D94" s="689"/>
      <c r="E94" s="42"/>
      <c r="F94" s="42"/>
      <c r="G94" s="662">
        <f>(Egypt!P93+Tunisia!P93+Algeria!P93)/3</f>
        <v>0.4445385139279277</v>
      </c>
    </row>
    <row r="95" spans="1:9" ht="34.799999999999997" customHeight="1" x14ac:dyDescent="0.45">
      <c r="A95" s="679">
        <v>25</v>
      </c>
      <c r="B95" s="690" t="s">
        <v>83</v>
      </c>
      <c r="C95" s="693" t="s">
        <v>214</v>
      </c>
      <c r="D95" s="278" t="s">
        <v>269</v>
      </c>
      <c r="E95" s="236" t="s">
        <v>190</v>
      </c>
      <c r="F95" s="367">
        <f>(Egypt!M94+Tunisia!M94+Algeria!M94)/3</f>
        <v>0.66666666666666663</v>
      </c>
      <c r="G95" s="786">
        <f>(Egypt!P94+Tunisia!P94+Algeria!P94)/3</f>
        <v>0.4445385139279277</v>
      </c>
    </row>
    <row r="96" spans="1:9" ht="39.6" customHeight="1" x14ac:dyDescent="0.45">
      <c r="A96" s="679"/>
      <c r="B96" s="691"/>
      <c r="C96" s="694"/>
      <c r="D96" s="83" t="s">
        <v>270</v>
      </c>
      <c r="E96" s="237" t="s">
        <v>191</v>
      </c>
      <c r="F96" s="368">
        <f>(Egypt!M95+Tunisia!M95+Algeria!M95)/3</f>
        <v>2.8220845044984051E-4</v>
      </c>
      <c r="G96" s="787"/>
    </row>
    <row r="97" spans="1:7" ht="41.45" customHeight="1" thickBot="1" x14ac:dyDescent="0.5">
      <c r="A97" s="679"/>
      <c r="B97" s="692"/>
      <c r="C97" s="695"/>
      <c r="D97" s="279" t="s">
        <v>84</v>
      </c>
      <c r="E97" s="238" t="s">
        <v>95</v>
      </c>
      <c r="F97" s="369">
        <f>(Egypt!M96+Tunisia!M96+Algeria!M96)/3</f>
        <v>0.66666666666666663</v>
      </c>
      <c r="G97" s="788"/>
    </row>
    <row r="98" spans="1:7" ht="18" customHeight="1" thickBot="1" x14ac:dyDescent="0.5">
      <c r="B98" s="676" t="s">
        <v>85</v>
      </c>
      <c r="C98" s="677"/>
      <c r="D98" s="678"/>
      <c r="E98" s="127"/>
      <c r="F98" s="327"/>
      <c r="G98" s="662">
        <f>(Egypt!P97+Tunisia!P97+Algeria!P97)/3</f>
        <v>0.22817909763273367</v>
      </c>
    </row>
    <row r="99" spans="1:7" ht="29.45" customHeight="1" thickBot="1" x14ac:dyDescent="0.5">
      <c r="A99" s="275">
        <v>26</v>
      </c>
      <c r="B99" s="77" t="s">
        <v>86</v>
      </c>
      <c r="C99" s="77" t="s">
        <v>215</v>
      </c>
      <c r="D99" s="78" t="s">
        <v>291</v>
      </c>
      <c r="E99" s="239" t="s">
        <v>95</v>
      </c>
      <c r="F99" s="367">
        <f>(Egypt!M98+Tunisia!M98+Algeria!M98)/3</f>
        <v>8.8888888888888893</v>
      </c>
      <c r="G99" s="664">
        <f>(Egypt!P98+Tunisia!P98+Algeria!P98)/3</f>
        <v>0.33333333333333331</v>
      </c>
    </row>
    <row r="100" spans="1:7" ht="35.25" thickBot="1" x14ac:dyDescent="0.5">
      <c r="A100" s="275">
        <v>27</v>
      </c>
      <c r="B100" s="77" t="s">
        <v>87</v>
      </c>
      <c r="C100" s="77" t="s">
        <v>216</v>
      </c>
      <c r="D100" s="78" t="s">
        <v>271</v>
      </c>
      <c r="E100" s="239" t="s">
        <v>192</v>
      </c>
      <c r="F100" s="368">
        <f>(Egypt!M99+Tunisia!M99+Algeria!M99)/3</f>
        <v>5.4537292898200945E-2</v>
      </c>
      <c r="G100" s="665">
        <f>(Egypt!P99+Tunisia!P99+Algeria!P99)/3</f>
        <v>5.4537292898200945E-2</v>
      </c>
    </row>
    <row r="101" spans="1:7" ht="30.4" x14ac:dyDescent="0.45">
      <c r="A101" s="679">
        <v>28</v>
      </c>
      <c r="B101" s="680" t="s">
        <v>88</v>
      </c>
      <c r="C101" s="680" t="s">
        <v>217</v>
      </c>
      <c r="D101" s="62" t="s">
        <v>89</v>
      </c>
      <c r="E101" s="240" t="s">
        <v>193</v>
      </c>
      <c r="F101" s="368">
        <f>(Egypt!M100+Tunisia!M100+Algeria!M100)/3</f>
        <v>0.59333333333333338</v>
      </c>
      <c r="G101" s="784">
        <f>(Egypt!P100+Tunisia!P100+Algeria!P100)/3</f>
        <v>0.29666666666666669</v>
      </c>
    </row>
    <row r="102" spans="1:7" ht="38.450000000000003" customHeight="1" thickBot="1" x14ac:dyDescent="0.5">
      <c r="A102" s="679"/>
      <c r="B102" s="681"/>
      <c r="C102" s="681"/>
      <c r="D102" s="279" t="s">
        <v>90</v>
      </c>
      <c r="E102" s="241" t="s">
        <v>95</v>
      </c>
      <c r="F102" s="369">
        <f>(Egypt!M101+Tunisia!M101+Algeria!M101)/3</f>
        <v>0</v>
      </c>
      <c r="G102" s="785"/>
    </row>
    <row r="104" spans="1:7" x14ac:dyDescent="0.5">
      <c r="B104" s="19"/>
    </row>
    <row r="107" spans="1:7" x14ac:dyDescent="0.5">
      <c r="B107" s="19"/>
    </row>
    <row r="108" spans="1:7" x14ac:dyDescent="0.5">
      <c r="B108" s="20"/>
    </row>
  </sheetData>
  <mergeCells count="85">
    <mergeCell ref="B93:D93"/>
    <mergeCell ref="A101:A102"/>
    <mergeCell ref="B101:B102"/>
    <mergeCell ref="C101:C102"/>
    <mergeCell ref="G101:G102"/>
    <mergeCell ref="B94:D94"/>
    <mergeCell ref="A95:A97"/>
    <mergeCell ref="B95:B97"/>
    <mergeCell ref="C95:C97"/>
    <mergeCell ref="G95:G97"/>
    <mergeCell ref="B98:D98"/>
    <mergeCell ref="A88:A92"/>
    <mergeCell ref="B88:B92"/>
    <mergeCell ref="G88:G92"/>
    <mergeCell ref="C89:C91"/>
    <mergeCell ref="B87:D87"/>
    <mergeCell ref="G54:G59"/>
    <mergeCell ref="C58:C59"/>
    <mergeCell ref="B78:D78"/>
    <mergeCell ref="B61:D61"/>
    <mergeCell ref="B70:D70"/>
    <mergeCell ref="B71:D71"/>
    <mergeCell ref="B73:D73"/>
    <mergeCell ref="B75:D75"/>
    <mergeCell ref="B77:D77"/>
    <mergeCell ref="B60:D60"/>
    <mergeCell ref="B80:D80"/>
    <mergeCell ref="B81:D81"/>
    <mergeCell ref="B82:B83"/>
    <mergeCell ref="G82:G83"/>
    <mergeCell ref="B84:B86"/>
    <mergeCell ref="G84:G86"/>
    <mergeCell ref="A62:A67"/>
    <mergeCell ref="B62:B67"/>
    <mergeCell ref="G62:G67"/>
    <mergeCell ref="C65:C67"/>
    <mergeCell ref="B68:D68"/>
    <mergeCell ref="A54:A59"/>
    <mergeCell ref="B54:B59"/>
    <mergeCell ref="G49:G50"/>
    <mergeCell ref="B51:D51"/>
    <mergeCell ref="A42:A43"/>
    <mergeCell ref="B42:B43"/>
    <mergeCell ref="G42:G43"/>
    <mergeCell ref="B44:D44"/>
    <mergeCell ref="A45:A46"/>
    <mergeCell ref="B45:B46"/>
    <mergeCell ref="G45:G46"/>
    <mergeCell ref="B47:D47"/>
    <mergeCell ref="B48:D48"/>
    <mergeCell ref="A49:A50"/>
    <mergeCell ref="B49:B50"/>
    <mergeCell ref="B53:D53"/>
    <mergeCell ref="B41:D41"/>
    <mergeCell ref="B24:D24"/>
    <mergeCell ref="A25:A28"/>
    <mergeCell ref="B25:B32"/>
    <mergeCell ref="G25:G32"/>
    <mergeCell ref="C26:C28"/>
    <mergeCell ref="C29:C31"/>
    <mergeCell ref="B33:D33"/>
    <mergeCell ref="B38:D38"/>
    <mergeCell ref="A39:A40"/>
    <mergeCell ref="B39:B40"/>
    <mergeCell ref="G39:G40"/>
    <mergeCell ref="A20:A23"/>
    <mergeCell ref="B20:B23"/>
    <mergeCell ref="G20:G23"/>
    <mergeCell ref="A12:A13"/>
    <mergeCell ref="B12:B13"/>
    <mergeCell ref="G12:G13"/>
    <mergeCell ref="A14:A15"/>
    <mergeCell ref="B14:B15"/>
    <mergeCell ref="G14:G15"/>
    <mergeCell ref="A16:A18"/>
    <mergeCell ref="B16:B18"/>
    <mergeCell ref="C16:C18"/>
    <mergeCell ref="G16:G18"/>
    <mergeCell ref="B19:D19"/>
    <mergeCell ref="B11:D11"/>
    <mergeCell ref="B2:G2"/>
    <mergeCell ref="C4:D4"/>
    <mergeCell ref="B5:D5"/>
    <mergeCell ref="B8:D8"/>
    <mergeCell ref="B10:D10"/>
  </mergeCells>
  <conditionalFormatting sqref="G20:G23 G54 G12:G15 G39:G40">
    <cfRule type="colorScale" priority="678">
      <colorScale>
        <cfvo type="num" val="0"/>
        <cfvo type="num" val="0.6"/>
        <cfvo type="num" val="1"/>
        <color rgb="FFFF0000"/>
        <color rgb="FFFFFF00"/>
        <color rgb="FF92FB4B"/>
      </colorScale>
    </cfRule>
  </conditionalFormatting>
  <conditionalFormatting sqref="G16:G18">
    <cfRule type="colorScale" priority="677">
      <colorScale>
        <cfvo type="num" val="0"/>
        <cfvo type="num" val="0.6"/>
        <cfvo type="num" val="1"/>
        <color rgb="FFFF0000"/>
        <color rgb="FFFFFF00"/>
        <color rgb="FF92FB4B"/>
      </colorScale>
    </cfRule>
  </conditionalFormatting>
  <conditionalFormatting sqref="G25:G28">
    <cfRule type="colorScale" priority="676">
      <colorScale>
        <cfvo type="num" val="0"/>
        <cfvo type="num" val="0.6"/>
        <cfvo type="num" val="1"/>
        <color rgb="FFFF0000"/>
        <color rgb="FFFFFF00"/>
        <color rgb="FF92FB4B"/>
      </colorScale>
    </cfRule>
  </conditionalFormatting>
  <conditionalFormatting sqref="G88">
    <cfRule type="colorScale" priority="665">
      <colorScale>
        <cfvo type="num" val="0"/>
        <cfvo type="num" val="0.6"/>
        <cfvo type="num" val="1"/>
        <color rgb="FFFF0000"/>
        <color rgb="FFFFFF00"/>
        <color rgb="FF92FB4B"/>
      </colorScale>
    </cfRule>
  </conditionalFormatting>
  <conditionalFormatting sqref="G4">
    <cfRule type="colorScale" priority="638">
      <colorScale>
        <cfvo type="num" val="0"/>
        <cfvo type="num" val="0.6"/>
        <cfvo type="num" val="1"/>
        <color rgb="FFFF0000"/>
        <color rgb="FFFFFF00"/>
        <color rgb="FF92FB4B"/>
      </colorScale>
    </cfRule>
  </conditionalFormatting>
  <conditionalFormatting sqref="G6">
    <cfRule type="colorScale" priority="630">
      <colorScale>
        <cfvo type="num" val="0"/>
        <cfvo type="num" val="0.6"/>
        <cfvo type="num" val="1"/>
        <color rgb="FFFF0000"/>
        <color rgb="FFFFFF00"/>
        <color rgb="FF92FB4B"/>
      </colorScale>
    </cfRule>
  </conditionalFormatting>
  <conditionalFormatting sqref="F12:F18">
    <cfRule type="colorScale" priority="629">
      <colorScale>
        <cfvo type="num" val="0"/>
        <cfvo type="num" val="0.6"/>
        <cfvo type="num" val="1"/>
        <color rgb="FFFF0000"/>
        <color rgb="FFFFFF00"/>
        <color rgb="FF92FB4B"/>
      </colorScale>
    </cfRule>
  </conditionalFormatting>
  <conditionalFormatting sqref="G10">
    <cfRule type="colorScale" priority="410">
      <colorScale>
        <cfvo type="num" val="0"/>
        <cfvo type="num" val="0.6"/>
        <cfvo type="num" val="1"/>
        <color rgb="FFFF0000"/>
        <color rgb="FFFFFF00"/>
        <color rgb="FF92FB4B"/>
      </colorScale>
    </cfRule>
  </conditionalFormatting>
  <conditionalFormatting sqref="G11">
    <cfRule type="colorScale" priority="409">
      <colorScale>
        <cfvo type="num" val="0"/>
        <cfvo type="num" val="0.6"/>
        <cfvo type="num" val="1"/>
        <color rgb="FFFF0000"/>
        <color rgb="FFFFFF00"/>
        <color rgb="FF92FB4B"/>
      </colorScale>
    </cfRule>
  </conditionalFormatting>
  <conditionalFormatting sqref="G62">
    <cfRule type="colorScale" priority="188">
      <colorScale>
        <cfvo type="num" val="0"/>
        <cfvo type="num" val="0.6"/>
        <cfvo type="num" val="1"/>
        <color rgb="FFFF0000"/>
        <color rgb="FFFFFF00"/>
        <color rgb="FF92FB4B"/>
      </colorScale>
    </cfRule>
  </conditionalFormatting>
  <conditionalFormatting sqref="G19">
    <cfRule type="colorScale" priority="105">
      <colorScale>
        <cfvo type="num" val="0"/>
        <cfvo type="num" val="0.6"/>
        <cfvo type="num" val="1"/>
        <color rgb="FFFF0000"/>
        <color rgb="FFFFFF00"/>
        <color rgb="FF92FB4B"/>
      </colorScale>
    </cfRule>
  </conditionalFormatting>
  <conditionalFormatting sqref="G24">
    <cfRule type="colorScale" priority="104">
      <colorScale>
        <cfvo type="num" val="0"/>
        <cfvo type="num" val="0.6"/>
        <cfvo type="num" val="1"/>
        <color rgb="FFFF0000"/>
        <color rgb="FFFFFF00"/>
        <color rgb="FF92FB4B"/>
      </colorScale>
    </cfRule>
  </conditionalFormatting>
  <conditionalFormatting sqref="G33">
    <cfRule type="colorScale" priority="103">
      <colorScale>
        <cfvo type="num" val="0"/>
        <cfvo type="num" val="0.6"/>
        <cfvo type="num" val="1"/>
        <color rgb="FFFF0000"/>
        <color rgb="FFFFFF00"/>
        <color rgb="FF92FB4B"/>
      </colorScale>
    </cfRule>
  </conditionalFormatting>
  <conditionalFormatting sqref="G34">
    <cfRule type="colorScale" priority="102">
      <colorScale>
        <cfvo type="num" val="0"/>
        <cfvo type="num" val="0.6"/>
        <cfvo type="num" val="1"/>
        <color rgb="FFFF0000"/>
        <color rgb="FFFFFF00"/>
        <color rgb="FF92FB4B"/>
      </colorScale>
    </cfRule>
  </conditionalFormatting>
  <conditionalFormatting sqref="G35">
    <cfRule type="colorScale" priority="101">
      <colorScale>
        <cfvo type="num" val="0"/>
        <cfvo type="num" val="0.6"/>
        <cfvo type="num" val="1"/>
        <color rgb="FFFF0000"/>
        <color rgb="FFFFFF00"/>
        <color rgb="FF92FB4B"/>
      </colorScale>
    </cfRule>
  </conditionalFormatting>
  <conditionalFormatting sqref="G36">
    <cfRule type="colorScale" priority="100">
      <colorScale>
        <cfvo type="num" val="0"/>
        <cfvo type="num" val="0.6"/>
        <cfvo type="num" val="1"/>
        <color rgb="FFFF0000"/>
        <color rgb="FFFFFF00"/>
        <color rgb="FF92FB4B"/>
      </colorScale>
    </cfRule>
  </conditionalFormatting>
  <conditionalFormatting sqref="G37">
    <cfRule type="colorScale" priority="99">
      <colorScale>
        <cfvo type="num" val="0"/>
        <cfvo type="num" val="0.6"/>
        <cfvo type="num" val="1"/>
        <color rgb="FFFF0000"/>
        <color rgb="FFFFFF00"/>
        <color rgb="FF92FB4B"/>
      </colorScale>
    </cfRule>
  </conditionalFormatting>
  <conditionalFormatting sqref="G38">
    <cfRule type="colorScale" priority="98">
      <colorScale>
        <cfvo type="num" val="0"/>
        <cfvo type="num" val="0.6"/>
        <cfvo type="num" val="1"/>
        <color rgb="FFFF0000"/>
        <color rgb="FFFFFF00"/>
        <color rgb="FF92FB4B"/>
      </colorScale>
    </cfRule>
  </conditionalFormatting>
  <conditionalFormatting sqref="G42:G43">
    <cfRule type="colorScale" priority="95">
      <colorScale>
        <cfvo type="num" val="0"/>
        <cfvo type="num" val="0.6"/>
        <cfvo type="num" val="1"/>
        <color rgb="FFFF0000"/>
        <color rgb="FFFFFF00"/>
        <color rgb="FF92FB4B"/>
      </colorScale>
    </cfRule>
  </conditionalFormatting>
  <conditionalFormatting sqref="G45:G46">
    <cfRule type="colorScale" priority="94">
      <colorScale>
        <cfvo type="num" val="0"/>
        <cfvo type="num" val="0.6"/>
        <cfvo type="num" val="1"/>
        <color rgb="FFFF0000"/>
        <color rgb="FFFFFF00"/>
        <color rgb="FF92FB4B"/>
      </colorScale>
    </cfRule>
  </conditionalFormatting>
  <conditionalFormatting sqref="G41">
    <cfRule type="colorScale" priority="93">
      <colorScale>
        <cfvo type="num" val="0"/>
        <cfvo type="num" val="0.6"/>
        <cfvo type="num" val="1"/>
        <color rgb="FFFF0000"/>
        <color rgb="FFFFFF00"/>
        <color rgb="FF92FB4B"/>
      </colorScale>
    </cfRule>
  </conditionalFormatting>
  <conditionalFormatting sqref="G44">
    <cfRule type="colorScale" priority="92">
      <colorScale>
        <cfvo type="num" val="0"/>
        <cfvo type="num" val="0.6"/>
        <cfvo type="num" val="1"/>
        <color rgb="FFFF0000"/>
        <color rgb="FFFFFF00"/>
        <color rgb="FF92FB4B"/>
      </colorScale>
    </cfRule>
  </conditionalFormatting>
  <conditionalFormatting sqref="G47">
    <cfRule type="colorScale" priority="91">
      <colorScale>
        <cfvo type="num" val="0"/>
        <cfvo type="num" val="0.6"/>
        <cfvo type="num" val="1"/>
        <color rgb="FFFF0000"/>
        <color rgb="FFFFFF00"/>
        <color rgb="FF92FB4B"/>
      </colorScale>
    </cfRule>
  </conditionalFormatting>
  <conditionalFormatting sqref="G48">
    <cfRule type="colorScale" priority="90">
      <colorScale>
        <cfvo type="num" val="0"/>
        <cfvo type="num" val="0.6"/>
        <cfvo type="num" val="1"/>
        <color rgb="FFFF0000"/>
        <color rgb="FFFFFF00"/>
        <color rgb="FF92FB4B"/>
      </colorScale>
    </cfRule>
  </conditionalFormatting>
  <conditionalFormatting sqref="G49:G50">
    <cfRule type="colorScale" priority="89">
      <colorScale>
        <cfvo type="num" val="0"/>
        <cfvo type="num" val="0.6"/>
        <cfvo type="num" val="1"/>
        <color rgb="FFFF0000"/>
        <color rgb="FFFFFF00"/>
        <color rgb="FF92FB4B"/>
      </colorScale>
    </cfRule>
  </conditionalFormatting>
  <conditionalFormatting sqref="G51">
    <cfRule type="colorScale" priority="88">
      <colorScale>
        <cfvo type="num" val="0"/>
        <cfvo type="num" val="0.6"/>
        <cfvo type="num" val="1"/>
        <color rgb="FFFF0000"/>
        <color rgb="FFFFFF00"/>
        <color rgb="FF92FB4B"/>
      </colorScale>
    </cfRule>
  </conditionalFormatting>
  <conditionalFormatting sqref="G52">
    <cfRule type="colorScale" priority="87">
      <colorScale>
        <cfvo type="num" val="0"/>
        <cfvo type="num" val="0.6"/>
        <cfvo type="num" val="1"/>
        <color rgb="FFFF0000"/>
        <color rgb="FFFFFF00"/>
        <color rgb="FF92FB4B"/>
      </colorScale>
    </cfRule>
  </conditionalFormatting>
  <conditionalFormatting sqref="G53">
    <cfRule type="colorScale" priority="86">
      <colorScale>
        <cfvo type="num" val="0"/>
        <cfvo type="num" val="0.6"/>
        <cfvo type="num" val="1"/>
        <color rgb="FFFF0000"/>
        <color rgb="FFFFFF00"/>
        <color rgb="FF92FB4B"/>
      </colorScale>
    </cfRule>
  </conditionalFormatting>
  <conditionalFormatting sqref="G60">
    <cfRule type="colorScale" priority="85">
      <colorScale>
        <cfvo type="num" val="0"/>
        <cfvo type="num" val="0.6"/>
        <cfvo type="num" val="1"/>
        <color rgb="FFFF0000"/>
        <color rgb="FFFFFF00"/>
        <color rgb="FF92FB4B"/>
      </colorScale>
    </cfRule>
  </conditionalFormatting>
  <conditionalFormatting sqref="G61">
    <cfRule type="colorScale" priority="84">
      <colorScale>
        <cfvo type="num" val="0"/>
        <cfvo type="num" val="0.6"/>
        <cfvo type="num" val="1"/>
        <color rgb="FFFF0000"/>
        <color rgb="FFFFFF00"/>
        <color rgb="FF92FB4B"/>
      </colorScale>
    </cfRule>
  </conditionalFormatting>
  <conditionalFormatting sqref="G68">
    <cfRule type="colorScale" priority="83">
      <colorScale>
        <cfvo type="num" val="0"/>
        <cfvo type="num" val="0.6"/>
        <cfvo type="num" val="1"/>
        <color rgb="FFFF0000"/>
        <color rgb="FFFFFF00"/>
        <color rgb="FF92FB4B"/>
      </colorScale>
    </cfRule>
  </conditionalFormatting>
  <conditionalFormatting sqref="G69">
    <cfRule type="colorScale" priority="82">
      <colorScale>
        <cfvo type="num" val="0"/>
        <cfvo type="num" val="0.6"/>
        <cfvo type="num" val="1"/>
        <color rgb="FFFF0000"/>
        <color rgb="FFFFFF00"/>
        <color rgb="FF92FB4B"/>
      </colorScale>
    </cfRule>
  </conditionalFormatting>
  <conditionalFormatting sqref="G70">
    <cfRule type="colorScale" priority="81">
      <colorScale>
        <cfvo type="num" val="0"/>
        <cfvo type="num" val="0.6"/>
        <cfvo type="num" val="1"/>
        <color rgb="FFFF0000"/>
        <color rgb="FFFFFF00"/>
        <color rgb="FF92FB4B"/>
      </colorScale>
    </cfRule>
  </conditionalFormatting>
  <conditionalFormatting sqref="G71">
    <cfRule type="colorScale" priority="80">
      <colorScale>
        <cfvo type="num" val="0"/>
        <cfvo type="num" val="0.6"/>
        <cfvo type="num" val="1"/>
        <color rgb="FFFF0000"/>
        <color rgb="FFFFFF00"/>
        <color rgb="FF92FB4B"/>
      </colorScale>
    </cfRule>
  </conditionalFormatting>
  <conditionalFormatting sqref="G72">
    <cfRule type="colorScale" priority="79">
      <colorScale>
        <cfvo type="num" val="0"/>
        <cfvo type="num" val="0.6"/>
        <cfvo type="num" val="1"/>
        <color rgb="FFFF0000"/>
        <color rgb="FFFFFF00"/>
        <color rgb="FF92FB4B"/>
      </colorScale>
    </cfRule>
  </conditionalFormatting>
  <conditionalFormatting sqref="G73">
    <cfRule type="colorScale" priority="78">
      <colorScale>
        <cfvo type="num" val="0"/>
        <cfvo type="num" val="0.6"/>
        <cfvo type="num" val="1"/>
        <color rgb="FFFF0000"/>
        <color rgb="FFFFFF00"/>
        <color rgb="FF92FB4B"/>
      </colorScale>
    </cfRule>
  </conditionalFormatting>
  <conditionalFormatting sqref="G74">
    <cfRule type="colorScale" priority="77">
      <colorScale>
        <cfvo type="num" val="0"/>
        <cfvo type="num" val="0.6"/>
        <cfvo type="num" val="1"/>
        <color rgb="FFFF0000"/>
        <color rgb="FFFFFF00"/>
        <color rgb="FF92FB4B"/>
      </colorScale>
    </cfRule>
  </conditionalFormatting>
  <conditionalFormatting sqref="G75">
    <cfRule type="colorScale" priority="76">
      <colorScale>
        <cfvo type="num" val="0"/>
        <cfvo type="num" val="0.6"/>
        <cfvo type="num" val="1"/>
        <color rgb="FFFF0000"/>
        <color rgb="FFFFFF00"/>
        <color rgb="FF92FB4B"/>
      </colorScale>
    </cfRule>
  </conditionalFormatting>
  <conditionalFormatting sqref="G76">
    <cfRule type="colorScale" priority="75">
      <colorScale>
        <cfvo type="num" val="0"/>
        <cfvo type="num" val="0.6"/>
        <cfvo type="num" val="1"/>
        <color rgb="FFFF0000"/>
        <color rgb="FFFFFF00"/>
        <color rgb="FF92FB4B"/>
      </colorScale>
    </cfRule>
  </conditionalFormatting>
  <conditionalFormatting sqref="G77">
    <cfRule type="colorScale" priority="74">
      <colorScale>
        <cfvo type="num" val="0"/>
        <cfvo type="num" val="0.6"/>
        <cfvo type="num" val="1"/>
        <color rgb="FFFF0000"/>
        <color rgb="FFFFFF00"/>
        <color rgb="FF92FB4B"/>
      </colorScale>
    </cfRule>
  </conditionalFormatting>
  <conditionalFormatting sqref="G78">
    <cfRule type="colorScale" priority="73">
      <colorScale>
        <cfvo type="num" val="0"/>
        <cfvo type="num" val="0.6"/>
        <cfvo type="num" val="1"/>
        <color rgb="FFFF0000"/>
        <color rgb="FFFFFF00"/>
        <color rgb="FF92FB4B"/>
      </colorScale>
    </cfRule>
  </conditionalFormatting>
  <conditionalFormatting sqref="G79">
    <cfRule type="colorScale" priority="72">
      <colorScale>
        <cfvo type="num" val="0"/>
        <cfvo type="num" val="0.6"/>
        <cfvo type="num" val="1"/>
        <color rgb="FFFF0000"/>
        <color rgb="FFFFFF00"/>
        <color rgb="FF92FB4B"/>
      </colorScale>
    </cfRule>
  </conditionalFormatting>
  <conditionalFormatting sqref="G80">
    <cfRule type="colorScale" priority="71">
      <colorScale>
        <cfvo type="num" val="0"/>
        <cfvo type="num" val="0.6"/>
        <cfvo type="num" val="1"/>
        <color rgb="FFFF0000"/>
        <color rgb="FFFFFF00"/>
        <color rgb="FF92FB4B"/>
      </colorScale>
    </cfRule>
  </conditionalFormatting>
  <conditionalFormatting sqref="G81">
    <cfRule type="colorScale" priority="70">
      <colorScale>
        <cfvo type="num" val="0"/>
        <cfvo type="num" val="0.6"/>
        <cfvo type="num" val="1"/>
        <color rgb="FFFF0000"/>
        <color rgb="FFFFFF00"/>
        <color rgb="FF92FB4B"/>
      </colorScale>
    </cfRule>
  </conditionalFormatting>
  <conditionalFormatting sqref="G82:G83">
    <cfRule type="colorScale" priority="69">
      <colorScale>
        <cfvo type="num" val="0"/>
        <cfvo type="num" val="0.6"/>
        <cfvo type="num" val="1"/>
        <color rgb="FFFF0000"/>
        <color rgb="FFFFFF00"/>
        <color rgb="FF92FB4B"/>
      </colorScale>
    </cfRule>
  </conditionalFormatting>
  <conditionalFormatting sqref="G84:G86">
    <cfRule type="colorScale" priority="68">
      <colorScale>
        <cfvo type="num" val="0"/>
        <cfvo type="num" val="0.6"/>
        <cfvo type="num" val="1"/>
        <color rgb="FFFF0000"/>
        <color rgb="FFFFFF00"/>
        <color rgb="FF92FB4B"/>
      </colorScale>
    </cfRule>
  </conditionalFormatting>
  <conditionalFormatting sqref="G87">
    <cfRule type="colorScale" priority="67">
      <colorScale>
        <cfvo type="num" val="0"/>
        <cfvo type="num" val="0.6"/>
        <cfvo type="num" val="1"/>
        <color rgb="FFFF0000"/>
        <color rgb="FFFFFF00"/>
        <color rgb="FF92FB4B"/>
      </colorScale>
    </cfRule>
  </conditionalFormatting>
  <conditionalFormatting sqref="G93">
    <cfRule type="colorScale" priority="66">
      <colorScale>
        <cfvo type="num" val="0"/>
        <cfvo type="num" val="0.6"/>
        <cfvo type="num" val="1"/>
        <color rgb="FFFF0000"/>
        <color rgb="FFFFFF00"/>
        <color rgb="FF92FB4B"/>
      </colorScale>
    </cfRule>
  </conditionalFormatting>
  <conditionalFormatting sqref="G94">
    <cfRule type="colorScale" priority="65">
      <colorScale>
        <cfvo type="num" val="0"/>
        <cfvo type="num" val="0.6"/>
        <cfvo type="num" val="1"/>
        <color rgb="FFFF0000"/>
        <color rgb="FFFFFF00"/>
        <color rgb="FF92FB4B"/>
      </colorScale>
    </cfRule>
  </conditionalFormatting>
  <conditionalFormatting sqref="G98">
    <cfRule type="colorScale" priority="64">
      <colorScale>
        <cfvo type="num" val="0"/>
        <cfvo type="num" val="0.6"/>
        <cfvo type="num" val="1"/>
        <color rgb="FFFF0000"/>
        <color rgb="FFFFFF00"/>
        <color rgb="FF92FB4B"/>
      </colorScale>
    </cfRule>
  </conditionalFormatting>
  <conditionalFormatting sqref="G99">
    <cfRule type="colorScale" priority="63">
      <colorScale>
        <cfvo type="num" val="0"/>
        <cfvo type="num" val="0.6"/>
        <cfvo type="num" val="1"/>
        <color rgb="FFFF0000"/>
        <color rgb="FFFFFF00"/>
        <color rgb="FF92FB4B"/>
      </colorScale>
    </cfRule>
  </conditionalFormatting>
  <conditionalFormatting sqref="G100">
    <cfRule type="colorScale" priority="62">
      <colorScale>
        <cfvo type="num" val="0"/>
        <cfvo type="num" val="0.6"/>
        <cfvo type="num" val="1"/>
        <color rgb="FFFF0000"/>
        <color rgb="FFFFFF00"/>
        <color rgb="FF92FB4B"/>
      </colorScale>
    </cfRule>
  </conditionalFormatting>
  <conditionalFormatting sqref="G95:G97">
    <cfRule type="colorScale" priority="61">
      <colorScale>
        <cfvo type="num" val="0"/>
        <cfvo type="num" val="0.6"/>
        <cfvo type="num" val="1"/>
        <color rgb="FFFF0000"/>
        <color rgb="FFFFFF00"/>
        <color rgb="FF92FB4B"/>
      </colorScale>
    </cfRule>
  </conditionalFormatting>
  <conditionalFormatting sqref="G101:G102">
    <cfRule type="colorScale" priority="60">
      <colorScale>
        <cfvo type="num" val="0"/>
        <cfvo type="num" val="0.6"/>
        <cfvo type="num" val="1"/>
        <color rgb="FFFF0000"/>
        <color rgb="FFFFFF00"/>
        <color rgb="FF92FB4B"/>
      </colorScale>
    </cfRule>
  </conditionalFormatting>
  <conditionalFormatting sqref="F20">
    <cfRule type="colorScale" priority="59">
      <colorScale>
        <cfvo type="num" val="0"/>
        <cfvo type="num" val="0.6"/>
        <cfvo type="num" val="1"/>
        <color rgb="FFFF0000"/>
        <color rgb="FFFFFF00"/>
        <color rgb="FF92FB4B"/>
      </colorScale>
    </cfRule>
  </conditionalFormatting>
  <conditionalFormatting sqref="F21">
    <cfRule type="colorScale" priority="58">
      <colorScale>
        <cfvo type="num" val="0"/>
        <cfvo type="num" val="0.6"/>
        <cfvo type="num" val="1"/>
        <color rgb="FFFF0000"/>
        <color rgb="FFFFFF00"/>
        <color rgb="FF92FB4B"/>
      </colorScale>
    </cfRule>
  </conditionalFormatting>
  <conditionalFormatting sqref="F22">
    <cfRule type="colorScale" priority="57">
      <colorScale>
        <cfvo type="num" val="0"/>
        <cfvo type="num" val="0.6"/>
        <cfvo type="num" val="1"/>
        <color rgb="FFFF0000"/>
        <color rgb="FFFFFF00"/>
        <color rgb="FF92FB4B"/>
      </colorScale>
    </cfRule>
  </conditionalFormatting>
  <conditionalFormatting sqref="F23">
    <cfRule type="colorScale" priority="56">
      <colorScale>
        <cfvo type="num" val="0"/>
        <cfvo type="num" val="0.6"/>
        <cfvo type="num" val="1"/>
        <color rgb="FFFF0000"/>
        <color rgb="FFFFFF00"/>
        <color rgb="FF92FB4B"/>
      </colorScale>
    </cfRule>
  </conditionalFormatting>
  <conditionalFormatting sqref="F25">
    <cfRule type="colorScale" priority="55">
      <colorScale>
        <cfvo type="num" val="0"/>
        <cfvo type="num" val="0.6"/>
        <cfvo type="num" val="1"/>
        <color rgb="FFFF0000"/>
        <color rgb="FFFFFF00"/>
        <color rgb="FF92FB4B"/>
      </colorScale>
    </cfRule>
  </conditionalFormatting>
  <conditionalFormatting sqref="F26">
    <cfRule type="colorScale" priority="54">
      <colorScale>
        <cfvo type="num" val="0"/>
        <cfvo type="num" val="0.6"/>
        <cfvo type="num" val="1"/>
        <color rgb="FFFF0000"/>
        <color rgb="FFFFFF00"/>
        <color rgb="FF92FB4B"/>
      </colorScale>
    </cfRule>
  </conditionalFormatting>
  <conditionalFormatting sqref="F27">
    <cfRule type="colorScale" priority="53">
      <colorScale>
        <cfvo type="num" val="0"/>
        <cfvo type="num" val="0.6"/>
        <cfvo type="num" val="1"/>
        <color rgb="FFFF0000"/>
        <color rgb="FFFFFF00"/>
        <color rgb="FF92FB4B"/>
      </colorScale>
    </cfRule>
  </conditionalFormatting>
  <conditionalFormatting sqref="F28">
    <cfRule type="colorScale" priority="52">
      <colorScale>
        <cfvo type="num" val="0"/>
        <cfvo type="num" val="0.6"/>
        <cfvo type="num" val="1"/>
        <color rgb="FFFF0000"/>
        <color rgb="FFFFFF00"/>
        <color rgb="FF92FB4B"/>
      </colorScale>
    </cfRule>
  </conditionalFormatting>
  <conditionalFormatting sqref="F29">
    <cfRule type="colorScale" priority="51">
      <colorScale>
        <cfvo type="num" val="0"/>
        <cfvo type="num" val="0.6"/>
        <cfvo type="num" val="1"/>
        <color rgb="FFFF0000"/>
        <color rgb="FFFFFF00"/>
        <color rgb="FF92FB4B"/>
      </colorScale>
    </cfRule>
  </conditionalFormatting>
  <conditionalFormatting sqref="F30">
    <cfRule type="colorScale" priority="50">
      <colorScale>
        <cfvo type="num" val="0"/>
        <cfvo type="num" val="0.6"/>
        <cfvo type="num" val="1"/>
        <color rgb="FFFF0000"/>
        <color rgb="FFFFFF00"/>
        <color rgb="FF92FB4B"/>
      </colorScale>
    </cfRule>
  </conditionalFormatting>
  <conditionalFormatting sqref="F31">
    <cfRule type="colorScale" priority="49">
      <colorScale>
        <cfvo type="num" val="0"/>
        <cfvo type="num" val="0.6"/>
        <cfvo type="num" val="1"/>
        <color rgb="FFFF0000"/>
        <color rgb="FFFFFF00"/>
        <color rgb="FF92FB4B"/>
      </colorScale>
    </cfRule>
  </conditionalFormatting>
  <conditionalFormatting sqref="F32">
    <cfRule type="colorScale" priority="48">
      <colorScale>
        <cfvo type="num" val="0"/>
        <cfvo type="num" val="0.6"/>
        <cfvo type="num" val="1"/>
        <color rgb="FFFF0000"/>
        <color rgb="FFFFFF00"/>
        <color rgb="FF92FB4B"/>
      </colorScale>
    </cfRule>
  </conditionalFormatting>
  <conditionalFormatting sqref="F34">
    <cfRule type="colorScale" priority="47">
      <colorScale>
        <cfvo type="num" val="0"/>
        <cfvo type="num" val="0.6"/>
        <cfvo type="num" val="1"/>
        <color rgb="FFFF0000"/>
        <color rgb="FFFFFF00"/>
        <color rgb="FF92FB4B"/>
      </colorScale>
    </cfRule>
  </conditionalFormatting>
  <conditionalFormatting sqref="F35">
    <cfRule type="colorScale" priority="46">
      <colorScale>
        <cfvo type="num" val="0"/>
        <cfvo type="num" val="0.6"/>
        <cfvo type="num" val="1"/>
        <color rgb="FFFF0000"/>
        <color rgb="FFFFFF00"/>
        <color rgb="FF92FB4B"/>
      </colorScale>
    </cfRule>
  </conditionalFormatting>
  <conditionalFormatting sqref="F36">
    <cfRule type="colorScale" priority="45">
      <colorScale>
        <cfvo type="num" val="0"/>
        <cfvo type="num" val="0.6"/>
        <cfvo type="num" val="1"/>
        <color rgb="FFFF0000"/>
        <color rgb="FFFFFF00"/>
        <color rgb="FF92FB4B"/>
      </colorScale>
    </cfRule>
  </conditionalFormatting>
  <conditionalFormatting sqref="F37">
    <cfRule type="colorScale" priority="44">
      <colorScale>
        <cfvo type="num" val="0"/>
        <cfvo type="num" val="0.6"/>
        <cfvo type="num" val="1"/>
        <color rgb="FFFF0000"/>
        <color rgb="FFFFFF00"/>
        <color rgb="FF92FB4B"/>
      </colorScale>
    </cfRule>
  </conditionalFormatting>
  <conditionalFormatting sqref="F39">
    <cfRule type="colorScale" priority="43">
      <colorScale>
        <cfvo type="num" val="0"/>
        <cfvo type="num" val="0.6"/>
        <cfvo type="num" val="1"/>
        <color rgb="FFFF0000"/>
        <color rgb="FFFFFF00"/>
        <color rgb="FF92FB4B"/>
      </colorScale>
    </cfRule>
  </conditionalFormatting>
  <conditionalFormatting sqref="F40">
    <cfRule type="colorScale" priority="42">
      <colorScale>
        <cfvo type="num" val="0"/>
        <cfvo type="num" val="0.6"/>
        <cfvo type="num" val="1"/>
        <color rgb="FFFF0000"/>
        <color rgb="FFFFFF00"/>
        <color rgb="FF92FB4B"/>
      </colorScale>
    </cfRule>
  </conditionalFormatting>
  <conditionalFormatting sqref="F42">
    <cfRule type="colorScale" priority="41">
      <colorScale>
        <cfvo type="num" val="0"/>
        <cfvo type="num" val="0.6"/>
        <cfvo type="num" val="1"/>
        <color rgb="FFFF0000"/>
        <color rgb="FFFFFF00"/>
        <color rgb="FF92FB4B"/>
      </colorScale>
    </cfRule>
  </conditionalFormatting>
  <conditionalFormatting sqref="F43">
    <cfRule type="colorScale" priority="40">
      <colorScale>
        <cfvo type="num" val="0"/>
        <cfvo type="num" val="0.6"/>
        <cfvo type="num" val="1"/>
        <color rgb="FFFF0000"/>
        <color rgb="FFFFFF00"/>
        <color rgb="FF92FB4B"/>
      </colorScale>
    </cfRule>
  </conditionalFormatting>
  <conditionalFormatting sqref="F45">
    <cfRule type="colorScale" priority="39">
      <colorScale>
        <cfvo type="num" val="0"/>
        <cfvo type="num" val="0.6"/>
        <cfvo type="num" val="1"/>
        <color rgb="FFFF0000"/>
        <color rgb="FFFFFF00"/>
        <color rgb="FF92FB4B"/>
      </colorScale>
    </cfRule>
  </conditionalFormatting>
  <conditionalFormatting sqref="F46">
    <cfRule type="colorScale" priority="38">
      <colorScale>
        <cfvo type="num" val="0"/>
        <cfvo type="num" val="0.6"/>
        <cfvo type="num" val="1"/>
        <color rgb="FFFF0000"/>
        <color rgb="FFFFFF00"/>
        <color rgb="FF92FB4B"/>
      </colorScale>
    </cfRule>
  </conditionalFormatting>
  <conditionalFormatting sqref="F49">
    <cfRule type="colorScale" priority="37">
      <colorScale>
        <cfvo type="num" val="0"/>
        <cfvo type="num" val="0.6"/>
        <cfvo type="num" val="1"/>
        <color rgb="FFFF0000"/>
        <color rgb="FFFFFF00"/>
        <color rgb="FF92FB4B"/>
      </colorScale>
    </cfRule>
  </conditionalFormatting>
  <conditionalFormatting sqref="F50">
    <cfRule type="colorScale" priority="36">
      <colorScale>
        <cfvo type="num" val="0"/>
        <cfvo type="num" val="0.6"/>
        <cfvo type="num" val="1"/>
        <color rgb="FFFF0000"/>
        <color rgb="FFFFFF00"/>
        <color rgb="FF92FB4B"/>
      </colorScale>
    </cfRule>
  </conditionalFormatting>
  <conditionalFormatting sqref="F52">
    <cfRule type="colorScale" priority="35">
      <colorScale>
        <cfvo type="num" val="0"/>
        <cfvo type="num" val="0.6"/>
        <cfvo type="num" val="1"/>
        <color rgb="FFFF0000"/>
        <color rgb="FFFFFF00"/>
        <color rgb="FF92FB4B"/>
      </colorScale>
    </cfRule>
  </conditionalFormatting>
  <conditionalFormatting sqref="F54">
    <cfRule type="colorScale" priority="34">
      <colorScale>
        <cfvo type="num" val="0"/>
        <cfvo type="num" val="0.6"/>
        <cfvo type="num" val="1"/>
        <color rgb="FFFF0000"/>
        <color rgb="FFFFFF00"/>
        <color rgb="FF92FB4B"/>
      </colorScale>
    </cfRule>
  </conditionalFormatting>
  <conditionalFormatting sqref="F55">
    <cfRule type="colorScale" priority="33">
      <colorScale>
        <cfvo type="num" val="0"/>
        <cfvo type="num" val="0.6"/>
        <cfvo type="num" val="1"/>
        <color rgb="FFFF0000"/>
        <color rgb="FFFFFF00"/>
        <color rgb="FF92FB4B"/>
      </colorScale>
    </cfRule>
  </conditionalFormatting>
  <conditionalFormatting sqref="F56">
    <cfRule type="colorScale" priority="32">
      <colorScale>
        <cfvo type="num" val="0"/>
        <cfvo type="num" val="0.6"/>
        <cfvo type="num" val="1"/>
        <color rgb="FFFF0000"/>
        <color rgb="FFFFFF00"/>
        <color rgb="FF92FB4B"/>
      </colorScale>
    </cfRule>
  </conditionalFormatting>
  <conditionalFormatting sqref="F57">
    <cfRule type="colorScale" priority="31">
      <colorScale>
        <cfvo type="num" val="0"/>
        <cfvo type="num" val="0.6"/>
        <cfvo type="num" val="1"/>
        <color rgb="FFFF0000"/>
        <color rgb="FFFFFF00"/>
        <color rgb="FF92FB4B"/>
      </colorScale>
    </cfRule>
  </conditionalFormatting>
  <conditionalFormatting sqref="F58">
    <cfRule type="colorScale" priority="30">
      <colorScale>
        <cfvo type="num" val="0"/>
        <cfvo type="num" val="0.6"/>
        <cfvo type="num" val="1"/>
        <color rgb="FFFF0000"/>
        <color rgb="FFFFFF00"/>
        <color rgb="FF92FB4B"/>
      </colorScale>
    </cfRule>
  </conditionalFormatting>
  <conditionalFormatting sqref="F59">
    <cfRule type="colorScale" priority="29">
      <colorScale>
        <cfvo type="num" val="0"/>
        <cfvo type="num" val="0.6"/>
        <cfvo type="num" val="1"/>
        <color rgb="FFFF0000"/>
        <color rgb="FFFFFF00"/>
        <color rgb="FF92FB4B"/>
      </colorScale>
    </cfRule>
  </conditionalFormatting>
  <conditionalFormatting sqref="F62">
    <cfRule type="colorScale" priority="28">
      <colorScale>
        <cfvo type="num" val="0"/>
        <cfvo type="num" val="0.6"/>
        <cfvo type="num" val="1"/>
        <color rgb="FFFF0000"/>
        <color rgb="FFFFFF00"/>
        <color rgb="FF92FB4B"/>
      </colorScale>
    </cfRule>
  </conditionalFormatting>
  <conditionalFormatting sqref="F63">
    <cfRule type="colorScale" priority="27">
      <colorScale>
        <cfvo type="num" val="0"/>
        <cfvo type="num" val="0.6"/>
        <cfvo type="num" val="1"/>
        <color rgb="FFFF0000"/>
        <color rgb="FFFFFF00"/>
        <color rgb="FF92FB4B"/>
      </colorScale>
    </cfRule>
  </conditionalFormatting>
  <conditionalFormatting sqref="F64">
    <cfRule type="colorScale" priority="26">
      <colorScale>
        <cfvo type="num" val="0"/>
        <cfvo type="num" val="0.6"/>
        <cfvo type="num" val="1"/>
        <color rgb="FFFF0000"/>
        <color rgb="FFFFFF00"/>
        <color rgb="FF92FB4B"/>
      </colorScale>
    </cfRule>
  </conditionalFormatting>
  <conditionalFormatting sqref="F65">
    <cfRule type="colorScale" priority="25">
      <colorScale>
        <cfvo type="num" val="0"/>
        <cfvo type="num" val="0.6"/>
        <cfvo type="num" val="1"/>
        <color rgb="FFFF0000"/>
        <color rgb="FFFFFF00"/>
        <color rgb="FF92FB4B"/>
      </colorScale>
    </cfRule>
  </conditionalFormatting>
  <conditionalFormatting sqref="F66">
    <cfRule type="colorScale" priority="24">
      <colorScale>
        <cfvo type="num" val="0"/>
        <cfvo type="num" val="0.6"/>
        <cfvo type="num" val="1"/>
        <color rgb="FFFF0000"/>
        <color rgb="FFFFFF00"/>
        <color rgb="FF92FB4B"/>
      </colorScale>
    </cfRule>
  </conditionalFormatting>
  <conditionalFormatting sqref="F67">
    <cfRule type="colorScale" priority="23">
      <colorScale>
        <cfvo type="num" val="0"/>
        <cfvo type="num" val="0.6"/>
        <cfvo type="num" val="1"/>
        <color rgb="FFFF0000"/>
        <color rgb="FFFFFF00"/>
        <color rgb="FF92FB4B"/>
      </colorScale>
    </cfRule>
  </conditionalFormatting>
  <conditionalFormatting sqref="F69">
    <cfRule type="colorScale" priority="22">
      <colorScale>
        <cfvo type="num" val="0"/>
        <cfvo type="num" val="0.6"/>
        <cfvo type="num" val="1"/>
        <color rgb="FFFF0000"/>
        <color rgb="FFFFFF00"/>
        <color rgb="FF92FB4B"/>
      </colorScale>
    </cfRule>
  </conditionalFormatting>
  <conditionalFormatting sqref="F72">
    <cfRule type="colorScale" priority="21">
      <colorScale>
        <cfvo type="num" val="0"/>
        <cfvo type="num" val="0.6"/>
        <cfvo type="num" val="1"/>
        <color rgb="FFFF0000"/>
        <color rgb="FFFFFF00"/>
        <color rgb="FF92FB4B"/>
      </colorScale>
    </cfRule>
  </conditionalFormatting>
  <conditionalFormatting sqref="F74">
    <cfRule type="colorScale" priority="20">
      <colorScale>
        <cfvo type="num" val="0"/>
        <cfvo type="num" val="0.6"/>
        <cfvo type="num" val="1"/>
        <color rgb="FFFF0000"/>
        <color rgb="FFFFFF00"/>
        <color rgb="FF92FB4B"/>
      </colorScale>
    </cfRule>
  </conditionalFormatting>
  <conditionalFormatting sqref="F76">
    <cfRule type="colorScale" priority="19">
      <colorScale>
        <cfvo type="num" val="0"/>
        <cfvo type="num" val="0.6"/>
        <cfvo type="num" val="1"/>
        <color rgb="FFFF0000"/>
        <color rgb="FFFFFF00"/>
        <color rgb="FF92FB4B"/>
      </colorScale>
    </cfRule>
  </conditionalFormatting>
  <conditionalFormatting sqref="F79">
    <cfRule type="colorScale" priority="18">
      <colorScale>
        <cfvo type="num" val="0"/>
        <cfvo type="num" val="0.6"/>
        <cfvo type="num" val="1"/>
        <color rgb="FFFF0000"/>
        <color rgb="FFFFFF00"/>
        <color rgb="FF92FB4B"/>
      </colorScale>
    </cfRule>
  </conditionalFormatting>
  <conditionalFormatting sqref="F82">
    <cfRule type="colorScale" priority="17">
      <colorScale>
        <cfvo type="num" val="0"/>
        <cfvo type="num" val="0.6"/>
        <cfvo type="num" val="1"/>
        <color rgb="FFFF0000"/>
        <color rgb="FFFFFF00"/>
        <color rgb="FF92FB4B"/>
      </colorScale>
    </cfRule>
  </conditionalFormatting>
  <conditionalFormatting sqref="F83">
    <cfRule type="colorScale" priority="16">
      <colorScale>
        <cfvo type="num" val="0"/>
        <cfvo type="num" val="0.6"/>
        <cfvo type="num" val="1"/>
        <color rgb="FFFF0000"/>
        <color rgb="FFFFFF00"/>
        <color rgb="FF92FB4B"/>
      </colorScale>
    </cfRule>
  </conditionalFormatting>
  <conditionalFormatting sqref="F84">
    <cfRule type="colorScale" priority="15">
      <colorScale>
        <cfvo type="num" val="0"/>
        <cfvo type="num" val="0.6"/>
        <cfvo type="num" val="1"/>
        <color rgb="FFFF0000"/>
        <color rgb="FFFFFF00"/>
        <color rgb="FF92FB4B"/>
      </colorScale>
    </cfRule>
  </conditionalFormatting>
  <conditionalFormatting sqref="F85">
    <cfRule type="colorScale" priority="14">
      <colorScale>
        <cfvo type="num" val="0"/>
        <cfvo type="num" val="0.6"/>
        <cfvo type="num" val="1"/>
        <color rgb="FFFF0000"/>
        <color rgb="FFFFFF00"/>
        <color rgb="FF92FB4B"/>
      </colorScale>
    </cfRule>
  </conditionalFormatting>
  <conditionalFormatting sqref="F86">
    <cfRule type="colorScale" priority="13">
      <colorScale>
        <cfvo type="num" val="0"/>
        <cfvo type="num" val="0.6"/>
        <cfvo type="num" val="1"/>
        <color rgb="FFFF0000"/>
        <color rgb="FFFFFF00"/>
        <color rgb="FF92FB4B"/>
      </colorScale>
    </cfRule>
  </conditionalFormatting>
  <conditionalFormatting sqref="F88">
    <cfRule type="colorScale" priority="12">
      <colorScale>
        <cfvo type="num" val="0"/>
        <cfvo type="num" val="0.6"/>
        <cfvo type="num" val="1"/>
        <color rgb="FFFF0000"/>
        <color rgb="FFFFFF00"/>
        <color rgb="FF92FB4B"/>
      </colorScale>
    </cfRule>
  </conditionalFormatting>
  <conditionalFormatting sqref="F89">
    <cfRule type="colorScale" priority="11">
      <colorScale>
        <cfvo type="num" val="0"/>
        <cfvo type="num" val="0.6"/>
        <cfvo type="num" val="1"/>
        <color rgb="FFFF0000"/>
        <color rgb="FFFFFF00"/>
        <color rgb="FF92FB4B"/>
      </colorScale>
    </cfRule>
  </conditionalFormatting>
  <conditionalFormatting sqref="F90">
    <cfRule type="colorScale" priority="10">
      <colorScale>
        <cfvo type="num" val="0"/>
        <cfvo type="num" val="0.6"/>
        <cfvo type="num" val="1"/>
        <color rgb="FFFF0000"/>
        <color rgb="FFFFFF00"/>
        <color rgb="FF92FB4B"/>
      </colorScale>
    </cfRule>
  </conditionalFormatting>
  <conditionalFormatting sqref="F91">
    <cfRule type="colorScale" priority="9">
      <colorScale>
        <cfvo type="num" val="0"/>
        <cfvo type="num" val="0.6"/>
        <cfvo type="num" val="1"/>
        <color rgb="FFFF0000"/>
        <color rgb="FFFFFF00"/>
        <color rgb="FF92FB4B"/>
      </colorScale>
    </cfRule>
  </conditionalFormatting>
  <conditionalFormatting sqref="F92">
    <cfRule type="colorScale" priority="8">
      <colorScale>
        <cfvo type="num" val="0"/>
        <cfvo type="num" val="0.6"/>
        <cfvo type="num" val="1"/>
        <color rgb="FFFF0000"/>
        <color rgb="FFFFFF00"/>
        <color rgb="FF92FB4B"/>
      </colorScale>
    </cfRule>
  </conditionalFormatting>
  <conditionalFormatting sqref="F95">
    <cfRule type="colorScale" priority="7">
      <colorScale>
        <cfvo type="num" val="0"/>
        <cfvo type="num" val="0.6"/>
        <cfvo type="num" val="1"/>
        <color rgb="FFFF0000"/>
        <color rgb="FFFFFF00"/>
        <color rgb="FF92FB4B"/>
      </colorScale>
    </cfRule>
  </conditionalFormatting>
  <conditionalFormatting sqref="F96">
    <cfRule type="colorScale" priority="6">
      <colorScale>
        <cfvo type="num" val="0"/>
        <cfvo type="num" val="0.6"/>
        <cfvo type="num" val="1"/>
        <color rgb="FFFF0000"/>
        <color rgb="FFFFFF00"/>
        <color rgb="FF92FB4B"/>
      </colorScale>
    </cfRule>
  </conditionalFormatting>
  <conditionalFormatting sqref="F97">
    <cfRule type="colorScale" priority="5">
      <colorScale>
        <cfvo type="num" val="0"/>
        <cfvo type="num" val="0.6"/>
        <cfvo type="num" val="1"/>
        <color rgb="FFFF0000"/>
        <color rgb="FFFFFF00"/>
        <color rgb="FF92FB4B"/>
      </colorScale>
    </cfRule>
  </conditionalFormatting>
  <conditionalFormatting sqref="F99">
    <cfRule type="colorScale" priority="4">
      <colorScale>
        <cfvo type="num" val="0"/>
        <cfvo type="num" val="0.6"/>
        <cfvo type="num" val="1"/>
        <color rgb="FFFF0000"/>
        <color rgb="FFFFFF00"/>
        <color rgb="FF92FB4B"/>
      </colorScale>
    </cfRule>
  </conditionalFormatting>
  <conditionalFormatting sqref="F100">
    <cfRule type="colorScale" priority="3">
      <colorScale>
        <cfvo type="num" val="0"/>
        <cfvo type="num" val="0.6"/>
        <cfvo type="num" val="1"/>
        <color rgb="FFFF0000"/>
        <color rgb="FFFFFF00"/>
        <color rgb="FF92FB4B"/>
      </colorScale>
    </cfRule>
  </conditionalFormatting>
  <conditionalFormatting sqref="F101">
    <cfRule type="colorScale" priority="2">
      <colorScale>
        <cfvo type="num" val="0"/>
        <cfvo type="num" val="0.6"/>
        <cfvo type="num" val="1"/>
        <color rgb="FFFF0000"/>
        <color rgb="FFFFFF00"/>
        <color rgb="FF92FB4B"/>
      </colorScale>
    </cfRule>
  </conditionalFormatting>
  <conditionalFormatting sqref="F102">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1BFB93-729D-47C9-AF9B-4F97E9D57620}">
  <dimension ref="A1:AA168"/>
  <sheetViews>
    <sheetView topLeftCell="B1" zoomScale="60" zoomScaleNormal="60" workbookViewId="0">
      <selection activeCell="P11" sqref="P11:P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424"/>
      <c r="R1" s="3"/>
      <c r="S1" s="4"/>
      <c r="U1" s="425"/>
      <c r="V1" s="425"/>
      <c r="W1" s="425"/>
      <c r="X1" s="425"/>
      <c r="Y1" s="425"/>
      <c r="Z1" s="425"/>
      <c r="AA1" s="425"/>
    </row>
    <row r="2" spans="1:27" ht="30" x14ac:dyDescent="1.1000000000000001">
      <c r="B2" s="426"/>
      <c r="C2" s="427"/>
      <c r="D2" s="428" t="s">
        <v>286</v>
      </c>
      <c r="E2" s="427"/>
      <c r="F2" s="429"/>
      <c r="G2" s="429"/>
      <c r="H2" s="429"/>
      <c r="I2" s="429"/>
      <c r="J2" s="429"/>
      <c r="K2" s="429"/>
      <c r="L2" s="429"/>
      <c r="M2" s="429"/>
      <c r="N2" s="429"/>
      <c r="O2" s="429"/>
      <c r="P2" s="429"/>
      <c r="Q2" s="427"/>
      <c r="R2" s="429"/>
      <c r="S2" s="6"/>
    </row>
    <row r="3" spans="1:27" ht="14.65" thickBot="1" x14ac:dyDescent="0.5">
      <c r="B3" s="430"/>
      <c r="C3" s="431"/>
      <c r="D3" s="431"/>
      <c r="E3" s="431"/>
      <c r="F3" s="432"/>
      <c r="G3" s="432"/>
      <c r="H3" s="432"/>
      <c r="I3" s="432"/>
      <c r="J3" s="432"/>
      <c r="K3" s="432"/>
      <c r="L3" s="432"/>
      <c r="M3" s="432"/>
      <c r="N3" s="432"/>
      <c r="O3" s="432"/>
      <c r="P3" s="432"/>
      <c r="Q3" s="431"/>
      <c r="R3" s="432"/>
      <c r="S3" s="7"/>
    </row>
    <row r="4" spans="1:27" ht="26.45" customHeight="1" thickBot="1" x14ac:dyDescent="0.5">
      <c r="B4" s="430"/>
      <c r="C4" s="431"/>
      <c r="D4" s="433" t="s">
        <v>195</v>
      </c>
      <c r="E4" s="431"/>
      <c r="F4" s="8" t="s">
        <v>213</v>
      </c>
      <c r="G4" s="432"/>
      <c r="H4" s="432"/>
      <c r="I4" s="432"/>
      <c r="J4" s="432"/>
      <c r="K4" s="794" t="s">
        <v>423</v>
      </c>
      <c r="L4" s="795"/>
      <c r="M4" s="796"/>
      <c r="N4" s="905">
        <f>(N9+N46+N59+N69+N76+N79+N92)/7</f>
        <v>0.19113695632187561</v>
      </c>
      <c r="O4" s="906">
        <f>(O9+O46+O59+O69+O76+O79+O92)</f>
        <v>18.720094910053557</v>
      </c>
      <c r="P4" s="905">
        <f>O4/100</f>
        <v>0.18720094910053559</v>
      </c>
      <c r="Q4" s="431"/>
      <c r="R4" s="432"/>
      <c r="S4" s="7"/>
    </row>
    <row r="5" spans="1:27" ht="18.399999999999999" thickBot="1" x14ac:dyDescent="0.6">
      <c r="B5" s="797"/>
      <c r="C5" s="798"/>
      <c r="D5" s="798"/>
      <c r="E5" s="798"/>
      <c r="F5" s="798"/>
      <c r="G5" s="798"/>
      <c r="H5" s="798"/>
      <c r="I5" s="798"/>
      <c r="J5" s="798"/>
      <c r="K5" s="798"/>
      <c r="L5" s="59"/>
      <c r="M5" s="434">
        <f>100/28</f>
        <v>3.5714285714285716</v>
      </c>
      <c r="N5" s="9"/>
      <c r="O5" s="319"/>
      <c r="P5" s="319"/>
      <c r="Q5" s="435"/>
      <c r="R5" s="9"/>
      <c r="S5" s="10"/>
    </row>
    <row r="6" spans="1:27" ht="33.6" customHeight="1" thickBot="1" x14ac:dyDescent="0.5">
      <c r="B6" s="799"/>
      <c r="C6" s="800"/>
      <c r="D6" s="800"/>
      <c r="E6" s="800"/>
      <c r="F6" s="801"/>
      <c r="G6" s="436"/>
      <c r="H6" s="436"/>
      <c r="I6" s="436"/>
      <c r="J6" s="436"/>
      <c r="K6" s="436"/>
      <c r="L6" s="436"/>
      <c r="M6" s="436"/>
      <c r="N6" s="437"/>
      <c r="O6" s="438"/>
      <c r="P6" s="438"/>
      <c r="Q6" s="437"/>
      <c r="R6" s="12"/>
      <c r="S6" s="13"/>
    </row>
    <row r="7" spans="1:27" ht="55.8" customHeight="1" thickBot="1" x14ac:dyDescent="0.5">
      <c r="B7" s="802"/>
      <c r="C7" s="803"/>
      <c r="D7" s="803"/>
      <c r="E7" s="803"/>
      <c r="F7" s="804"/>
      <c r="G7" s="439"/>
      <c r="H7" s="440" t="s">
        <v>218</v>
      </c>
      <c r="I7" s="441" t="s">
        <v>219</v>
      </c>
      <c r="J7" s="442" t="s">
        <v>91</v>
      </c>
      <c r="K7" s="443" t="s">
        <v>107</v>
      </c>
      <c r="L7" s="443" t="s">
        <v>104</v>
      </c>
      <c r="M7" s="443" t="s">
        <v>105</v>
      </c>
      <c r="N7" s="441" t="s">
        <v>106</v>
      </c>
      <c r="O7" s="441" t="s">
        <v>382</v>
      </c>
      <c r="P7" s="444" t="s">
        <v>383</v>
      </c>
      <c r="Q7" s="445" t="s">
        <v>93</v>
      </c>
      <c r="R7" s="446" t="s">
        <v>110</v>
      </c>
      <c r="S7" s="447" t="s">
        <v>103</v>
      </c>
    </row>
    <row r="8" spans="1:27" ht="25.25" customHeight="1" thickBot="1" x14ac:dyDescent="0.5">
      <c r="B8" s="448" t="s">
        <v>2</v>
      </c>
      <c r="C8" s="448" t="s">
        <v>92</v>
      </c>
      <c r="D8" s="448" t="s">
        <v>3</v>
      </c>
      <c r="E8" s="448" t="s">
        <v>94</v>
      </c>
      <c r="F8" s="448" t="s">
        <v>102</v>
      </c>
      <c r="G8" s="448" t="s">
        <v>96</v>
      </c>
      <c r="H8" s="907"/>
      <c r="I8" s="908"/>
      <c r="J8" s="907"/>
      <c r="K8" s="909"/>
      <c r="L8" s="909"/>
      <c r="M8" s="910"/>
      <c r="N8" s="911"/>
      <c r="O8" s="912"/>
      <c r="P8" s="913"/>
      <c r="Q8" s="450"/>
      <c r="R8" s="452"/>
      <c r="S8" s="452"/>
      <c r="V8" s="455" t="s">
        <v>151</v>
      </c>
      <c r="W8" s="456"/>
      <c r="X8" s="456"/>
      <c r="Y8" s="456"/>
      <c r="Z8" s="457"/>
    </row>
    <row r="9" spans="1:27" s="122" customFormat="1" ht="25.25" customHeight="1" thickBot="1" x14ac:dyDescent="0.5">
      <c r="B9" s="805" t="s">
        <v>0</v>
      </c>
      <c r="C9" s="806"/>
      <c r="D9" s="806"/>
      <c r="E9" s="806"/>
      <c r="F9" s="807"/>
      <c r="G9" s="458"/>
      <c r="H9" s="914"/>
      <c r="I9" s="915"/>
      <c r="J9" s="916"/>
      <c r="K9" s="916"/>
      <c r="L9" s="916"/>
      <c r="M9" s="917"/>
      <c r="N9" s="918">
        <f>(N10+N18+N23+N32+N37+N40+N43)/7</f>
        <v>0.17166494276408786</v>
      </c>
      <c r="O9" s="919">
        <f>(O10+O18+O23+O32+O37+O40+O43)</f>
        <v>9.1026350525078801</v>
      </c>
      <c r="P9" s="920">
        <f>O9/42.857136</f>
        <v>0.21239485187502685</v>
      </c>
      <c r="Q9" s="459"/>
      <c r="R9" s="460"/>
      <c r="S9" s="460"/>
      <c r="U9" s="461"/>
      <c r="V9" s="462"/>
      <c r="W9" s="463"/>
      <c r="X9" s="463"/>
      <c r="Y9" s="463"/>
      <c r="Z9" s="464"/>
      <c r="AA9" s="461"/>
    </row>
    <row r="10" spans="1:27" s="85" customFormat="1" ht="25.25" customHeight="1" thickBot="1" x14ac:dyDescent="0.5">
      <c r="B10" s="808" t="s">
        <v>1</v>
      </c>
      <c r="C10" s="809"/>
      <c r="D10" s="809"/>
      <c r="E10" s="809"/>
      <c r="F10" s="810"/>
      <c r="G10" s="465"/>
      <c r="H10" s="921"/>
      <c r="I10" s="922"/>
      <c r="J10" s="923"/>
      <c r="K10" s="923"/>
      <c r="L10" s="923"/>
      <c r="M10" s="924"/>
      <c r="N10" s="918">
        <f>(N11+N13+N15)/3</f>
        <v>0.48265735789550179</v>
      </c>
      <c r="O10" s="919">
        <f>(O11+O13+O15)</f>
        <v>5.1713280071820487</v>
      </c>
      <c r="P10" s="920">
        <f>O10/10.714284</f>
        <v>0.48265735789550185</v>
      </c>
      <c r="Q10" s="466"/>
      <c r="R10" s="467"/>
      <c r="S10" s="467"/>
      <c r="U10" s="468"/>
      <c r="V10" s="469"/>
      <c r="W10" s="470"/>
      <c r="X10" s="470"/>
      <c r="Y10" s="470"/>
      <c r="Z10" s="471"/>
      <c r="AA10" s="468"/>
    </row>
    <row r="11" spans="1:27" ht="27.6" customHeight="1" x14ac:dyDescent="0.45">
      <c r="A11" s="811">
        <v>1</v>
      </c>
      <c r="B11" s="816" t="s">
        <v>4</v>
      </c>
      <c r="C11" s="818">
        <f>M5</f>
        <v>3.5714285714285716</v>
      </c>
      <c r="D11" s="472" t="s">
        <v>111</v>
      </c>
      <c r="E11" s="473">
        <f>$C$11/2</f>
        <v>1.7857142857142858</v>
      </c>
      <c r="F11" s="474" t="s">
        <v>5</v>
      </c>
      <c r="G11" s="475">
        <f>E11/1</f>
        <v>1.7857142857142858</v>
      </c>
      <c r="H11" s="925">
        <v>-9.7600000000000006E-2</v>
      </c>
      <c r="I11" s="926">
        <v>0</v>
      </c>
      <c r="J11" s="927">
        <f>(H11-I11)</f>
        <v>-9.7600000000000006E-2</v>
      </c>
      <c r="K11" s="928">
        <f>(0.3*I11)*6/10</f>
        <v>0</v>
      </c>
      <c r="L11" s="929">
        <f>I11+K11</f>
        <v>0</v>
      </c>
      <c r="M11" s="930" t="str">
        <f>IF(K11&lt;&gt;0,J11/K11,"0%")</f>
        <v>0%</v>
      </c>
      <c r="N11" s="931">
        <f>(((G11/C11)*M11)+((G12/C11)*M12))</f>
        <v>0.83333333333333315</v>
      </c>
      <c r="O11" s="932">
        <f>IF((((G11/C11)*M11)+((G12/C11)*M12))&gt;=1,3.57148,IF((((G11/C11)*M11)+((G12/C11)*M12))&lt;=0,0, (((G11/C11)*M11)+((G12/C11)*M12))*3.571428))</f>
        <v>2.9761899999999994</v>
      </c>
      <c r="P11" s="933">
        <f>O11/3.571428</f>
        <v>0.83333333333333315</v>
      </c>
      <c r="Q11" s="476" t="s">
        <v>97</v>
      </c>
      <c r="R11" s="373" t="s">
        <v>424</v>
      </c>
      <c r="S11" s="165"/>
      <c r="V11" s="477" t="s">
        <v>109</v>
      </c>
      <c r="W11" s="478" t="e">
        <f>#REF!</f>
        <v>#REF!</v>
      </c>
      <c r="X11" s="479"/>
      <c r="Y11" s="479"/>
      <c r="Z11" s="480"/>
    </row>
    <row r="12" spans="1:27" ht="27" customHeight="1" thickBot="1" x14ac:dyDescent="0.5">
      <c r="A12" s="811"/>
      <c r="B12" s="817"/>
      <c r="C12" s="819"/>
      <c r="D12" s="481" t="s">
        <v>112</v>
      </c>
      <c r="E12" s="482">
        <f>$C$11/2</f>
        <v>1.7857142857142858</v>
      </c>
      <c r="F12" s="483" t="s">
        <v>281</v>
      </c>
      <c r="G12" s="484">
        <f>E12/1</f>
        <v>1.7857142857142858</v>
      </c>
      <c r="H12" s="934">
        <v>9.9</v>
      </c>
      <c r="I12" s="935">
        <v>13.2</v>
      </c>
      <c r="J12" s="936">
        <f>I12-H12</f>
        <v>3.2999999999999989</v>
      </c>
      <c r="K12" s="937">
        <f>(0.25*I12)*(6/10)</f>
        <v>1.9799999999999998</v>
      </c>
      <c r="L12" s="938">
        <f>I12-K12</f>
        <v>11.219999999999999</v>
      </c>
      <c r="M12" s="939">
        <f>IF(K12&lt;&gt;0,J12/K12,"0%")</f>
        <v>1.6666666666666663</v>
      </c>
      <c r="N12" s="940"/>
      <c r="O12" s="941"/>
      <c r="P12" s="942"/>
      <c r="Q12" s="485" t="s">
        <v>98</v>
      </c>
      <c r="R12" s="374" t="s">
        <v>293</v>
      </c>
      <c r="S12" s="178"/>
      <c r="V12" s="486">
        <v>0.02</v>
      </c>
      <c r="W12" s="487" t="e">
        <f>(W11-(W11*V12))</f>
        <v>#REF!</v>
      </c>
      <c r="X12" s="487" t="e">
        <f>W11-(V12*W11)</f>
        <v>#REF!</v>
      </c>
      <c r="Y12" s="479"/>
      <c r="Z12" s="480"/>
    </row>
    <row r="13" spans="1:27" ht="32.450000000000003" customHeight="1" x14ac:dyDescent="0.45">
      <c r="A13" s="811">
        <v>2</v>
      </c>
      <c r="B13" s="812" t="s">
        <v>6</v>
      </c>
      <c r="C13" s="814">
        <f>M5</f>
        <v>3.5714285714285716</v>
      </c>
      <c r="D13" s="488" t="s">
        <v>273</v>
      </c>
      <c r="E13" s="489">
        <f>$C$13/2</f>
        <v>1.7857142857142858</v>
      </c>
      <c r="F13" s="490" t="s">
        <v>7</v>
      </c>
      <c r="G13" s="491">
        <f>E13/1</f>
        <v>1.7857142857142858</v>
      </c>
      <c r="H13" s="943">
        <v>16.2</v>
      </c>
      <c r="I13" s="944"/>
      <c r="J13" s="945">
        <f>IF(I13=H13,(5-H13),I13-H13)</f>
        <v>-16.2</v>
      </c>
      <c r="K13" s="946">
        <f>IF(I13&lt;=5,0,((I13-5)*(6/10)))</f>
        <v>0</v>
      </c>
      <c r="L13" s="947">
        <f>I13-K13</f>
        <v>0</v>
      </c>
      <c r="M13" s="930" t="str">
        <f>IF(K13&lt;&gt;0,J13/K13,"0%")</f>
        <v>0%</v>
      </c>
      <c r="N13" s="931">
        <f>(((G13/C13)*M13)+((G14/C13)*M14))</f>
        <v>5.1599587203303023E-2</v>
      </c>
      <c r="O13" s="932">
        <f>IF((((G13/C13)*M13)+((G14/C13)*M14))&gt;=1,3.57148,IF((((G13/C13)*M13)+((G14/C13)*M14))&lt;=0,0, (((G13/C13)*M13)+((G14/C13)*M14))*3.571428))</f>
        <v>0.1842842105263181</v>
      </c>
      <c r="P13" s="933">
        <f>O13/3.571428</f>
        <v>5.1599587203303023E-2</v>
      </c>
      <c r="Q13" s="492" t="s">
        <v>99</v>
      </c>
      <c r="R13" s="141" t="s">
        <v>294</v>
      </c>
      <c r="S13" s="375" t="s">
        <v>385</v>
      </c>
      <c r="V13" s="486">
        <v>0.02</v>
      </c>
      <c r="W13" s="487" t="e">
        <f>(#REF!-(#REF!*V13))</f>
        <v>#REF!</v>
      </c>
      <c r="X13" s="487" t="e">
        <f>(W11-(V12*W11))-((W11-(V12*W11))*0.02)-(((W11-(V12*W11))-((W11-(V12*W11))*0.02))*0.02)-(((W11-(V12*W11))-((W11-(V12*W11))*0.02)-(((W11-(V12*W11))-((W11-(V12*W11))*0.02))*0.02))*0.02)</f>
        <v>#REF!</v>
      </c>
      <c r="Y13" s="493" t="e">
        <f>(W11-W14)/W11</f>
        <v>#REF!</v>
      </c>
      <c r="Z13" s="480"/>
    </row>
    <row r="14" spans="1:27" ht="33" customHeight="1" thickBot="1" x14ac:dyDescent="0.5">
      <c r="A14" s="811"/>
      <c r="B14" s="813"/>
      <c r="C14" s="815"/>
      <c r="D14" s="481" t="s">
        <v>274</v>
      </c>
      <c r="E14" s="494">
        <f>$C$13/2</f>
        <v>1.7857142857142858</v>
      </c>
      <c r="F14" s="495" t="s">
        <v>8</v>
      </c>
      <c r="G14" s="496">
        <f>E14/1</f>
        <v>1.7857142857142858</v>
      </c>
      <c r="H14" s="948">
        <v>96.8</v>
      </c>
      <c r="I14" s="949">
        <v>96.6</v>
      </c>
      <c r="J14" s="950">
        <f>H14-I14</f>
        <v>0.20000000000000284</v>
      </c>
      <c r="K14" s="951">
        <f>(0.95*(100-I14))*6/10</f>
        <v>1.9380000000000031</v>
      </c>
      <c r="L14" s="952">
        <f>K14+I14</f>
        <v>98.537999999999997</v>
      </c>
      <c r="M14" s="939">
        <f>IF(K14&lt;&gt;0,J14/K14,"1%")</f>
        <v>0.10319917440660605</v>
      </c>
      <c r="N14" s="940"/>
      <c r="O14" s="941"/>
      <c r="P14" s="942"/>
      <c r="Q14" s="497" t="s">
        <v>100</v>
      </c>
      <c r="R14" s="142" t="s">
        <v>295</v>
      </c>
      <c r="S14" s="143"/>
      <c r="V14" s="498">
        <v>0.02</v>
      </c>
      <c r="W14" s="499" t="e">
        <f>(#REF!-(#REF!*V14))</f>
        <v>#REF!</v>
      </c>
      <c r="X14" s="499"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500" t="e">
        <f>W11-X14</f>
        <v>#REF!</v>
      </c>
      <c r="Z14" s="501"/>
    </row>
    <row r="15" spans="1:27" ht="22.25" customHeight="1" x14ac:dyDescent="0.45">
      <c r="A15" s="836">
        <v>3</v>
      </c>
      <c r="B15" s="837" t="s">
        <v>9</v>
      </c>
      <c r="C15" s="839">
        <f>M5</f>
        <v>3.5714285714285716</v>
      </c>
      <c r="D15" s="837" t="s">
        <v>113</v>
      </c>
      <c r="E15" s="839">
        <f>$C$15/1</f>
        <v>3.5714285714285716</v>
      </c>
      <c r="F15" s="502" t="s">
        <v>221</v>
      </c>
      <c r="G15" s="503">
        <f>$E$15/3</f>
        <v>1.1904761904761905</v>
      </c>
      <c r="H15" s="953">
        <v>99.7</v>
      </c>
      <c r="I15" s="954">
        <v>99.2</v>
      </c>
      <c r="J15" s="955">
        <f>H15-I15</f>
        <v>0.5</v>
      </c>
      <c r="K15" s="956">
        <f>(0.5*I15)*6/10</f>
        <v>29.76</v>
      </c>
      <c r="L15" s="929">
        <f>I15+K15</f>
        <v>128.96</v>
      </c>
      <c r="M15" s="930">
        <f>IF(K15&lt;&gt;0,J15/K15,"0%")</f>
        <v>1.6801075268817203E-2</v>
      </c>
      <c r="N15" s="957">
        <f>(((G15/C15)*M15)+((G16/C15)*M16)+((G17/C15)*M17))</f>
        <v>0.56303915314986919</v>
      </c>
      <c r="O15" s="958">
        <f>IF((((G15/C15)*M15)+((G16/C15)*M16)+((G17/C15)*M17))&gt;=1,3.571428,IF((((G15/C15)*M15)+((G16/C15)*M16)+((G17/C15)*M17))&lt;=0,0,(((G15/C15)*M15)+((G16/C15)*M16)+((G17/C15)*M17))*3.571428))</f>
        <v>2.0108537966557312</v>
      </c>
      <c r="P15" s="933">
        <f>O15/3.571428</f>
        <v>0.56303915314986919</v>
      </c>
      <c r="Q15" s="504" t="s">
        <v>101</v>
      </c>
      <c r="R15" s="144" t="s">
        <v>425</v>
      </c>
      <c r="S15" s="139"/>
    </row>
    <row r="16" spans="1:27" x14ac:dyDescent="0.45">
      <c r="A16" s="836"/>
      <c r="B16" s="837"/>
      <c r="C16" s="839"/>
      <c r="D16" s="837"/>
      <c r="E16" s="839"/>
      <c r="F16" s="505" t="s">
        <v>220</v>
      </c>
      <c r="G16" s="506">
        <f t="shared" ref="G16:G17" si="0">$E$15/3</f>
        <v>1.1904761904761905</v>
      </c>
      <c r="H16" s="959"/>
      <c r="I16" s="960"/>
      <c r="J16" s="961">
        <f>H16-I16</f>
        <v>0</v>
      </c>
      <c r="K16" s="962">
        <f>(0.5*I16)*6/10</f>
        <v>0</v>
      </c>
      <c r="L16" s="963">
        <f t="shared" ref="L16:L17" si="1">I16+K16</f>
        <v>0</v>
      </c>
      <c r="M16" s="964" t="str">
        <f>IF(K16&lt;&gt;0,J16/K16,"0%")</f>
        <v>0%</v>
      </c>
      <c r="N16" s="965"/>
      <c r="O16" s="966"/>
      <c r="P16" s="967"/>
      <c r="Q16" s="507" t="s">
        <v>95</v>
      </c>
      <c r="R16" s="145"/>
      <c r="S16" s="146"/>
    </row>
    <row r="17" spans="1:19" ht="25.25" customHeight="1" thickBot="1" x14ac:dyDescent="0.5">
      <c r="A17" s="836"/>
      <c r="B17" s="838"/>
      <c r="C17" s="840"/>
      <c r="D17" s="838"/>
      <c r="E17" s="840"/>
      <c r="F17" s="508" t="s">
        <v>10</v>
      </c>
      <c r="G17" s="509">
        <f t="shared" si="0"/>
        <v>1.1904761904761905</v>
      </c>
      <c r="H17" s="968">
        <v>44.3</v>
      </c>
      <c r="I17" s="969">
        <v>29.5</v>
      </c>
      <c r="J17" s="970">
        <f>H17-I17</f>
        <v>14.799999999999997</v>
      </c>
      <c r="K17" s="971">
        <f>(0.5*I17)*6/10</f>
        <v>8.85</v>
      </c>
      <c r="L17" s="938">
        <f t="shared" si="1"/>
        <v>38.35</v>
      </c>
      <c r="M17" s="972">
        <f>IF(K17&lt;&gt;0,J17/K17,"0%")</f>
        <v>1.6723163841807906</v>
      </c>
      <c r="N17" s="973"/>
      <c r="O17" s="974"/>
      <c r="P17" s="967"/>
      <c r="Q17" s="510" t="s">
        <v>162</v>
      </c>
      <c r="R17" s="147" t="s">
        <v>296</v>
      </c>
      <c r="S17" s="140"/>
    </row>
    <row r="18" spans="1:19" ht="21.4" thickBot="1" x14ac:dyDescent="0.7">
      <c r="A18" s="14"/>
      <c r="B18" s="831" t="s">
        <v>11</v>
      </c>
      <c r="C18" s="832"/>
      <c r="D18" s="832"/>
      <c r="E18" s="832"/>
      <c r="F18" s="833"/>
      <c r="G18" s="511"/>
      <c r="H18" s="975"/>
      <c r="I18" s="976"/>
      <c r="J18" s="977"/>
      <c r="K18" s="977"/>
      <c r="L18" s="977"/>
      <c r="M18" s="978"/>
      <c r="N18" s="918">
        <f>N19</f>
        <v>0</v>
      </c>
      <c r="O18" s="919">
        <f>O19</f>
        <v>0</v>
      </c>
      <c r="P18" s="920">
        <f>O18/3.571428</f>
        <v>0</v>
      </c>
      <c r="Q18" s="512"/>
      <c r="R18" s="148"/>
      <c r="S18" s="149"/>
    </row>
    <row r="19" spans="1:19" ht="40.5" customHeight="1" x14ac:dyDescent="0.45">
      <c r="A19" s="811">
        <v>4</v>
      </c>
      <c r="B19" s="823" t="s">
        <v>12</v>
      </c>
      <c r="C19" s="827">
        <f>M5</f>
        <v>3.5714285714285716</v>
      </c>
      <c r="D19" s="513" t="s">
        <v>114</v>
      </c>
      <c r="E19" s="475">
        <f>$C$19/4</f>
        <v>0.8928571428571429</v>
      </c>
      <c r="F19" s="514" t="s">
        <v>222</v>
      </c>
      <c r="G19" s="503">
        <f>E19/1</f>
        <v>0.8928571428571429</v>
      </c>
      <c r="H19" s="953">
        <v>26.7</v>
      </c>
      <c r="I19" s="979"/>
      <c r="J19" s="980">
        <f>H19-I19</f>
        <v>26.7</v>
      </c>
      <c r="K19" s="956">
        <f>(2*I19)*6/10</f>
        <v>0</v>
      </c>
      <c r="L19" s="981">
        <f t="shared" ref="L19:L22" si="2">K19+I19</f>
        <v>0</v>
      </c>
      <c r="M19" s="930" t="str">
        <f>IF(K19&lt;&gt;0,J19/K19,"0%")</f>
        <v>0%</v>
      </c>
      <c r="N19" s="982">
        <f>(((G19/C19)*M19)+((G20/C19)*M20)+((G21/C19)*M21)+((G22/C19)*M22))</f>
        <v>0</v>
      </c>
      <c r="O19" s="983">
        <f>IF((((G19/C19)*M19)+((G20/C19)*M20)+((G21/C19)*M21)+((G22/C19)*M22))&gt;=1,3.571428,IF((((G19/C19)*M19)+((G20/C19)*M20)+((G21/C19)*M21)+((G22/C19)*M22))&lt;=0,0,((((G19/C19)*M19)+((G20/C19)*M20)+((G21/C19)*M21)+((G22/C19)*M22))*3.571428)))</f>
        <v>0</v>
      </c>
      <c r="P19" s="933">
        <f>O19/3.571428</f>
        <v>0</v>
      </c>
      <c r="Q19" s="515" t="s">
        <v>163</v>
      </c>
      <c r="R19" s="150" t="s">
        <v>297</v>
      </c>
      <c r="S19" s="168" t="s">
        <v>385</v>
      </c>
    </row>
    <row r="20" spans="1:19" ht="39" customHeight="1" thickBot="1" x14ac:dyDescent="0.5">
      <c r="A20" s="811"/>
      <c r="B20" s="824"/>
      <c r="C20" s="828"/>
      <c r="D20" s="516" t="s">
        <v>152</v>
      </c>
      <c r="E20" s="517">
        <f>($C$19/4)</f>
        <v>0.8928571428571429</v>
      </c>
      <c r="F20" s="518" t="s">
        <v>265</v>
      </c>
      <c r="G20" s="506">
        <f>E20/1</f>
        <v>0.8928571428571429</v>
      </c>
      <c r="H20" s="984"/>
      <c r="I20" s="985"/>
      <c r="J20" s="986">
        <f t="shared" ref="J20:J24" si="3">H20-I20</f>
        <v>0</v>
      </c>
      <c r="K20" s="962">
        <f>(100-I20)*(6/10)</f>
        <v>60</v>
      </c>
      <c r="L20" s="987">
        <f t="shared" si="2"/>
        <v>60</v>
      </c>
      <c r="M20" s="964">
        <f>IF(K20&lt;&gt;0,J20/K20,"0%")</f>
        <v>0</v>
      </c>
      <c r="N20" s="988"/>
      <c r="O20" s="966"/>
      <c r="P20" s="967"/>
      <c r="Q20" s="519" t="s">
        <v>164</v>
      </c>
      <c r="R20" s="376" t="s">
        <v>426</v>
      </c>
      <c r="S20" s="377" t="s">
        <v>427</v>
      </c>
    </row>
    <row r="21" spans="1:19" ht="56.45" customHeight="1" x14ac:dyDescent="0.45">
      <c r="A21" s="811"/>
      <c r="B21" s="824"/>
      <c r="C21" s="828"/>
      <c r="D21" s="516" t="s">
        <v>153</v>
      </c>
      <c r="E21" s="517">
        <f t="shared" ref="E21:E22" si="4">($C$19/4)</f>
        <v>0.8928571428571429</v>
      </c>
      <c r="F21" s="518" t="s">
        <v>155</v>
      </c>
      <c r="G21" s="506">
        <f>E21/1</f>
        <v>0.8928571428571429</v>
      </c>
      <c r="H21" s="989"/>
      <c r="I21" s="990"/>
      <c r="J21" s="986">
        <f t="shared" si="3"/>
        <v>0</v>
      </c>
      <c r="K21" s="962">
        <f>(0.3*I21)*6/10</f>
        <v>0</v>
      </c>
      <c r="L21" s="987">
        <f t="shared" si="2"/>
        <v>0</v>
      </c>
      <c r="M21" s="964" t="str">
        <f>IF(K21&lt;&gt;0,J21/K21,"0%")</f>
        <v>0%</v>
      </c>
      <c r="N21" s="988"/>
      <c r="O21" s="966"/>
      <c r="P21" s="967"/>
      <c r="Q21" s="519" t="s">
        <v>165</v>
      </c>
      <c r="R21" s="150"/>
      <c r="S21" s="132" t="s">
        <v>384</v>
      </c>
    </row>
    <row r="22" spans="1:19" ht="36.6" customHeight="1" thickBot="1" x14ac:dyDescent="0.5">
      <c r="A22" s="811"/>
      <c r="B22" s="834"/>
      <c r="C22" s="835"/>
      <c r="D22" s="495" t="s">
        <v>154</v>
      </c>
      <c r="E22" s="520">
        <f t="shared" si="4"/>
        <v>0.8928571428571429</v>
      </c>
      <c r="F22" s="521" t="s">
        <v>156</v>
      </c>
      <c r="G22" s="522">
        <f>E22/1</f>
        <v>0.8928571428571429</v>
      </c>
      <c r="H22" s="991"/>
      <c r="I22" s="992"/>
      <c r="J22" s="993">
        <f t="shared" si="3"/>
        <v>0</v>
      </c>
      <c r="K22" s="971">
        <f>(100-I22)*(6/10)</f>
        <v>60</v>
      </c>
      <c r="L22" s="994">
        <f t="shared" si="2"/>
        <v>60</v>
      </c>
      <c r="M22" s="972">
        <f>IF(K22&lt;&gt;0,J22/K22,"100%")</f>
        <v>0</v>
      </c>
      <c r="N22" s="995"/>
      <c r="O22" s="974"/>
      <c r="P22" s="942"/>
      <c r="Q22" s="523" t="s">
        <v>95</v>
      </c>
      <c r="R22" s="152"/>
      <c r="S22" s="132" t="s">
        <v>384</v>
      </c>
    </row>
    <row r="23" spans="1:19" ht="20.45" customHeight="1" thickBot="1" x14ac:dyDescent="0.5">
      <c r="B23" s="820" t="s">
        <v>13</v>
      </c>
      <c r="C23" s="821"/>
      <c r="D23" s="821"/>
      <c r="E23" s="821"/>
      <c r="F23" s="822"/>
      <c r="G23" s="511"/>
      <c r="H23" s="975"/>
      <c r="I23" s="976"/>
      <c r="J23" s="996"/>
      <c r="K23" s="997"/>
      <c r="L23" s="997"/>
      <c r="M23" s="978"/>
      <c r="N23" s="918">
        <f>N24</f>
        <v>0.96563101367868132</v>
      </c>
      <c r="O23" s="919">
        <f>O24</f>
        <v>3.4486816399204256</v>
      </c>
      <c r="P23" s="920">
        <f>O23/3.571428</f>
        <v>0.96563101367868132</v>
      </c>
      <c r="Q23" s="512"/>
      <c r="R23" s="153"/>
      <c r="S23" s="153"/>
    </row>
    <row r="24" spans="1:19" ht="36" customHeight="1" x14ac:dyDescent="0.45">
      <c r="A24" s="811">
        <v>5</v>
      </c>
      <c r="B24" s="823" t="s">
        <v>14</v>
      </c>
      <c r="C24" s="827">
        <f>M5</f>
        <v>3.5714285714285716</v>
      </c>
      <c r="D24" s="513" t="s">
        <v>115</v>
      </c>
      <c r="E24" s="475">
        <f>$C$24/4</f>
        <v>0.8928571428571429</v>
      </c>
      <c r="F24" s="513" t="s">
        <v>280</v>
      </c>
      <c r="G24" s="475">
        <f>E24/1</f>
        <v>0.8928571428571429</v>
      </c>
      <c r="H24" s="953">
        <v>80</v>
      </c>
      <c r="I24" s="979">
        <v>0</v>
      </c>
      <c r="J24" s="998">
        <f t="shared" si="3"/>
        <v>80</v>
      </c>
      <c r="K24" s="956">
        <f>(0.3*I24)*6/10</f>
        <v>0</v>
      </c>
      <c r="L24" s="981">
        <f>K24+I24</f>
        <v>0</v>
      </c>
      <c r="M24" s="930">
        <f>IF(H24&gt;=30,(1+(H24-30)/30),(J24/K24))</f>
        <v>2.666666666666667</v>
      </c>
      <c r="N24" s="982">
        <f>(((G24/C24)*M24)+((G25/C24)*M25)+ ((G26/C24)*M26)+((G27/C24)*M27)+((G28/C24)*M28)+((G29/C24)*M29)+((G30/C24)*M30)+((G31/C24)*M31))</f>
        <v>0.96563101367868132</v>
      </c>
      <c r="O24" s="983">
        <f>IF((((G24/C24)*M24)+((G25/C24)*M25)+ ((G26/C24)*M26)+((G27/C24)*M27)+((G28/C24)*M28)+((G29/C24)*M29)+((G30/C24)*M30)+((G31/C24)*M31))&gt;=1,3.571428,IF((((G24/C24)*M24)+((G25/C24)*M25)+ ((G26/C24)*M26)+((G27/C24)*M27)+((G28/C24)*M28)+((G29/C24)*M29)+((G30/C24)*M30)+((G31/C24)*M31))&lt;=0,0,((((G24/C24)*M24)+((G25/C24)*M25)+ ((G26/C24)*M26)+((G27/C24)*M27)+((G28/C24)*M28)+((G29/C24)*M29)+((G30/C24)*M30)+((G31/C24)*M31))*3.571428)))</f>
        <v>3.4486816399204256</v>
      </c>
      <c r="P24" s="933">
        <f>O24/3.571428</f>
        <v>0.96563101367868132</v>
      </c>
      <c r="Q24" s="524" t="s">
        <v>166</v>
      </c>
      <c r="R24" s="154" t="s">
        <v>298</v>
      </c>
      <c r="S24" s="320" t="s">
        <v>428</v>
      </c>
    </row>
    <row r="25" spans="1:19" ht="19.8" customHeight="1" x14ac:dyDescent="0.45">
      <c r="A25" s="811"/>
      <c r="B25" s="824"/>
      <c r="C25" s="828"/>
      <c r="D25" s="844" t="s">
        <v>158</v>
      </c>
      <c r="E25" s="846">
        <v>0.9</v>
      </c>
      <c r="F25" s="516" t="s">
        <v>15</v>
      </c>
      <c r="G25" s="517">
        <f>$E$25/3</f>
        <v>0.3</v>
      </c>
      <c r="H25" s="999">
        <v>44</v>
      </c>
      <c r="I25" s="1000">
        <v>52</v>
      </c>
      <c r="J25" s="1001">
        <f t="shared" ref="J25:J30" si="5">I25-H25</f>
        <v>8</v>
      </c>
      <c r="K25" s="962">
        <f>(0.5*I25)*6/10</f>
        <v>15.6</v>
      </c>
      <c r="L25" s="987">
        <f t="shared" ref="L25:L30" si="6">I25-K25</f>
        <v>36.4</v>
      </c>
      <c r="M25" s="964">
        <f t="shared" ref="M25:M31" si="7">IF(K25&lt;&gt;0,J25/K25,"0%")</f>
        <v>0.51282051282051289</v>
      </c>
      <c r="N25" s="988"/>
      <c r="O25" s="966"/>
      <c r="P25" s="967"/>
      <c r="Q25" s="525" t="s">
        <v>167</v>
      </c>
      <c r="R25" s="155" t="s">
        <v>299</v>
      </c>
      <c r="S25" s="146">
        <v>2014</v>
      </c>
    </row>
    <row r="26" spans="1:19" ht="19.8" customHeight="1" x14ac:dyDescent="0.45">
      <c r="A26" s="811"/>
      <c r="B26" s="824"/>
      <c r="C26" s="828"/>
      <c r="D26" s="845"/>
      <c r="E26" s="829"/>
      <c r="F26" s="516" t="s">
        <v>16</v>
      </c>
      <c r="G26" s="517">
        <f t="shared" ref="G26:G27" si="8">$E$25/3</f>
        <v>0.3</v>
      </c>
      <c r="H26" s="999">
        <v>7</v>
      </c>
      <c r="I26" s="1000">
        <v>6.8</v>
      </c>
      <c r="J26" s="1001">
        <f t="shared" si="5"/>
        <v>-0.20000000000000018</v>
      </c>
      <c r="K26" s="962">
        <f>(0.8*I26)*6/10</f>
        <v>3.2640000000000002</v>
      </c>
      <c r="L26" s="987">
        <f t="shared" si="6"/>
        <v>3.5359999999999996</v>
      </c>
      <c r="M26" s="964">
        <f t="shared" si="7"/>
        <v>-6.1274509803921622E-2</v>
      </c>
      <c r="N26" s="988"/>
      <c r="O26" s="966"/>
      <c r="P26" s="967"/>
      <c r="Q26" s="525" t="s">
        <v>168</v>
      </c>
      <c r="R26" s="155" t="s">
        <v>299</v>
      </c>
      <c r="S26" s="146">
        <v>2015</v>
      </c>
    </row>
    <row r="27" spans="1:19" ht="19.8" customHeight="1" x14ac:dyDescent="0.45">
      <c r="A27" s="811"/>
      <c r="B27" s="824"/>
      <c r="C27" s="828"/>
      <c r="D27" s="845"/>
      <c r="E27" s="829"/>
      <c r="F27" s="516" t="s">
        <v>17</v>
      </c>
      <c r="G27" s="517">
        <f t="shared" si="8"/>
        <v>0.3</v>
      </c>
      <c r="H27" s="999">
        <v>19.5</v>
      </c>
      <c r="I27" s="1000">
        <v>20.3</v>
      </c>
      <c r="J27" s="1001">
        <f t="shared" si="5"/>
        <v>0.80000000000000071</v>
      </c>
      <c r="K27" s="962">
        <f>(0.5*I27)*(6/10)</f>
        <v>6.09</v>
      </c>
      <c r="L27" s="987">
        <f t="shared" si="6"/>
        <v>14.21</v>
      </c>
      <c r="M27" s="964">
        <f t="shared" si="7"/>
        <v>0.13136288998357976</v>
      </c>
      <c r="N27" s="988"/>
      <c r="O27" s="966"/>
      <c r="P27" s="967"/>
      <c r="Q27" s="525" t="s">
        <v>169</v>
      </c>
      <c r="R27" s="155" t="s">
        <v>299</v>
      </c>
      <c r="S27" s="146">
        <v>2015</v>
      </c>
    </row>
    <row r="28" spans="1:19" ht="30.6" customHeight="1" x14ac:dyDescent="0.45">
      <c r="A28" s="16"/>
      <c r="B28" s="824"/>
      <c r="C28" s="828"/>
      <c r="D28" s="844" t="s">
        <v>116</v>
      </c>
      <c r="E28" s="846">
        <f t="shared" ref="E28:E31" si="9">$C$24/4</f>
        <v>0.8928571428571429</v>
      </c>
      <c r="F28" s="516" t="s">
        <v>148</v>
      </c>
      <c r="G28" s="517">
        <f>$E$28/3</f>
        <v>0.29761904761904762</v>
      </c>
      <c r="H28" s="999">
        <v>2.1000000000000001E-2</v>
      </c>
      <c r="I28" s="1000">
        <v>1.7000000000000001E-2</v>
      </c>
      <c r="J28" s="1001">
        <f t="shared" si="5"/>
        <v>-4.0000000000000001E-3</v>
      </c>
      <c r="K28" s="962">
        <f>(0.5*I28)*(6/10)</f>
        <v>5.1000000000000004E-3</v>
      </c>
      <c r="L28" s="987">
        <f t="shared" si="6"/>
        <v>1.1900000000000001E-2</v>
      </c>
      <c r="M28" s="964" t="str">
        <f>IF(H28=0,J28/K28,"100%")</f>
        <v>100%</v>
      </c>
      <c r="N28" s="1002"/>
      <c r="O28" s="966"/>
      <c r="P28" s="967"/>
      <c r="Q28" s="525" t="s">
        <v>170</v>
      </c>
      <c r="R28" s="155" t="s">
        <v>299</v>
      </c>
      <c r="S28" s="146">
        <v>2016</v>
      </c>
    </row>
    <row r="29" spans="1:19" ht="20.45" customHeight="1" x14ac:dyDescent="0.45">
      <c r="A29" s="16"/>
      <c r="B29" s="824"/>
      <c r="C29" s="828"/>
      <c r="D29" s="845"/>
      <c r="E29" s="829"/>
      <c r="F29" s="516" t="s">
        <v>149</v>
      </c>
      <c r="G29" s="517">
        <f t="shared" ref="G29:G30" si="10">$E$28/3</f>
        <v>0.29761904761904762</v>
      </c>
      <c r="H29" s="999">
        <v>14</v>
      </c>
      <c r="I29" s="1000">
        <v>15</v>
      </c>
      <c r="J29" s="1001">
        <f t="shared" si="5"/>
        <v>1</v>
      </c>
      <c r="K29" s="962">
        <f>(0.5*I29)*(6/10)</f>
        <v>4.5</v>
      </c>
      <c r="L29" s="987">
        <f t="shared" si="6"/>
        <v>10.5</v>
      </c>
      <c r="M29" s="964" t="str">
        <f>IF(H29=0,J29/K29,"100%")</f>
        <v>100%</v>
      </c>
      <c r="N29" s="1002"/>
      <c r="O29" s="966"/>
      <c r="P29" s="967"/>
      <c r="Q29" s="525" t="s">
        <v>171</v>
      </c>
      <c r="R29" s="155" t="s">
        <v>299</v>
      </c>
      <c r="S29" s="146">
        <v>2016</v>
      </c>
    </row>
    <row r="30" spans="1:19" ht="20.45" customHeight="1" x14ac:dyDescent="0.45">
      <c r="A30" s="16"/>
      <c r="B30" s="825"/>
      <c r="C30" s="829"/>
      <c r="D30" s="845"/>
      <c r="E30" s="829"/>
      <c r="F30" s="516" t="s">
        <v>150</v>
      </c>
      <c r="G30" s="517">
        <f t="shared" si="10"/>
        <v>0.29761904761904762</v>
      </c>
      <c r="H30" s="999">
        <v>3.0000000000000001E-3</v>
      </c>
      <c r="I30" s="1000">
        <v>3.0000000000000001E-3</v>
      </c>
      <c r="J30" s="1001">
        <f t="shared" si="5"/>
        <v>0</v>
      </c>
      <c r="K30" s="962">
        <f>(0.5*I30)*(6/10)</f>
        <v>8.9999999999999998E-4</v>
      </c>
      <c r="L30" s="987">
        <f t="shared" si="6"/>
        <v>2.1000000000000003E-3</v>
      </c>
      <c r="M30" s="964" t="str">
        <f>IF(H30=0,J30/K30,"100%")</f>
        <v>100%</v>
      </c>
      <c r="N30" s="1002"/>
      <c r="O30" s="966"/>
      <c r="P30" s="967"/>
      <c r="Q30" s="525" t="s">
        <v>172</v>
      </c>
      <c r="R30" s="156" t="s">
        <v>299</v>
      </c>
      <c r="S30" s="146">
        <v>2016</v>
      </c>
    </row>
    <row r="31" spans="1:19" ht="34.9" customHeight="1" thickBot="1" x14ac:dyDescent="0.5">
      <c r="A31" s="16"/>
      <c r="B31" s="826"/>
      <c r="C31" s="830"/>
      <c r="D31" s="526" t="s">
        <v>117</v>
      </c>
      <c r="E31" s="484">
        <f t="shared" si="9"/>
        <v>0.8928571428571429</v>
      </c>
      <c r="F31" s="527" t="s">
        <v>223</v>
      </c>
      <c r="G31" s="484">
        <f>E31/1</f>
        <v>0.8928571428571429</v>
      </c>
      <c r="H31" s="991"/>
      <c r="I31" s="992"/>
      <c r="J31" s="1003">
        <f t="shared" ref="J31" si="11">H31-I31</f>
        <v>0</v>
      </c>
      <c r="K31" s="971">
        <f>(100-I31)*(6/10)</f>
        <v>60</v>
      </c>
      <c r="L31" s="994">
        <f>K31+I31</f>
        <v>60</v>
      </c>
      <c r="M31" s="939">
        <f t="shared" si="7"/>
        <v>0</v>
      </c>
      <c r="N31" s="1004"/>
      <c r="O31" s="974"/>
      <c r="P31" s="942"/>
      <c r="Q31" s="528" t="s">
        <v>95</v>
      </c>
      <c r="R31" s="157"/>
      <c r="S31" s="132" t="s">
        <v>384</v>
      </c>
    </row>
    <row r="32" spans="1:19" ht="20.45" customHeight="1" thickBot="1" x14ac:dyDescent="0.5">
      <c r="B32" s="847" t="s">
        <v>18</v>
      </c>
      <c r="C32" s="848"/>
      <c r="D32" s="848"/>
      <c r="E32" s="848"/>
      <c r="F32" s="849"/>
      <c r="G32" s="511"/>
      <c r="H32" s="1005"/>
      <c r="I32" s="1006"/>
      <c r="J32" s="1007"/>
      <c r="K32" s="1008"/>
      <c r="L32" s="1009"/>
      <c r="M32" s="1010"/>
      <c r="N32" s="918">
        <f>(N33+N34+N35+N36)/4</f>
        <v>-0.24663377222556832</v>
      </c>
      <c r="O32" s="919">
        <f>(O33+O34+O35+O36)</f>
        <v>0.48262540540540544</v>
      </c>
      <c r="P32" s="920">
        <f>O32/14.285712</f>
        <v>3.3783783783783786E-2</v>
      </c>
      <c r="Q32" s="512"/>
      <c r="R32" s="149"/>
      <c r="S32" s="149"/>
    </row>
    <row r="33" spans="1:19" ht="33.6" customHeight="1" thickBot="1" x14ac:dyDescent="0.5">
      <c r="A33" s="16">
        <v>6</v>
      </c>
      <c r="B33" s="529" t="s">
        <v>19</v>
      </c>
      <c r="C33" s="530">
        <f>$M$5</f>
        <v>3.5714285714285716</v>
      </c>
      <c r="D33" s="531" t="s">
        <v>287</v>
      </c>
      <c r="E33" s="532">
        <f>C33/1</f>
        <v>3.5714285714285716</v>
      </c>
      <c r="F33" s="529" t="s">
        <v>288</v>
      </c>
      <c r="G33" s="530">
        <f>E33/1</f>
        <v>3.5714285714285716</v>
      </c>
      <c r="H33" s="1011">
        <v>-9.7600000000000006E-2</v>
      </c>
      <c r="I33" s="1012">
        <v>1.6E-2</v>
      </c>
      <c r="J33" s="1013">
        <f>IF(H33&lt;7,(H33-7),(H33-I33))</f>
        <v>-7.0975999999999999</v>
      </c>
      <c r="K33" s="1014">
        <f>IF((7-H33&gt;=0),(7-H33),0)</f>
        <v>7.0975999999999999</v>
      </c>
      <c r="L33" s="1015">
        <f>IF((I33&lt;7),7,I33)</f>
        <v>7</v>
      </c>
      <c r="M33" s="1016">
        <f>IF(K33&lt;&gt;0,J33/7,(1+((H33-I33)/I33)))</f>
        <v>-1.013942857142857</v>
      </c>
      <c r="N33" s="1017">
        <f>((G33/C33)*M33)</f>
        <v>-1.013942857142857</v>
      </c>
      <c r="O33" s="1018">
        <f>IF(((G33/C33)*M33)&gt;=1,3.571428,IF(((G33/C33)*M33)&lt;=0,0,((G33/C33)*M33)*3.571428))</f>
        <v>0</v>
      </c>
      <c r="P33" s="920">
        <f>O33/3.571428</f>
        <v>0</v>
      </c>
      <c r="Q33" s="533" t="s">
        <v>97</v>
      </c>
      <c r="R33" s="158" t="s">
        <v>300</v>
      </c>
      <c r="S33" s="251" t="s">
        <v>326</v>
      </c>
    </row>
    <row r="34" spans="1:19" ht="51" customHeight="1" thickBot="1" x14ac:dyDescent="0.5">
      <c r="A34" s="16">
        <v>7</v>
      </c>
      <c r="B34" s="529" t="s">
        <v>20</v>
      </c>
      <c r="C34" s="530">
        <f t="shared" ref="C34:C36" si="12">$M$5</f>
        <v>3.5714285714285716</v>
      </c>
      <c r="D34" s="529" t="s">
        <v>118</v>
      </c>
      <c r="E34" s="532">
        <f t="shared" ref="E34:E36" si="13">C34/1</f>
        <v>3.5714285714285716</v>
      </c>
      <c r="F34" s="529" t="s">
        <v>21</v>
      </c>
      <c r="G34" s="530">
        <f>E34/1</f>
        <v>3.5714285714285716</v>
      </c>
      <c r="H34" s="1019">
        <v>15.57</v>
      </c>
      <c r="I34" s="1020">
        <v>16.09</v>
      </c>
      <c r="J34" s="1021">
        <f>H34-I34</f>
        <v>-0.51999999999999957</v>
      </c>
      <c r="K34" s="1022">
        <f>(0.5*I34)*(6/10)</f>
        <v>4.827</v>
      </c>
      <c r="L34" s="1023">
        <f>K34+I34</f>
        <v>20.917000000000002</v>
      </c>
      <c r="M34" s="1016">
        <f>IF(K34&lt;&gt;0,J34/K34,"0%")</f>
        <v>-0.1077273668945514</v>
      </c>
      <c r="N34" s="1017">
        <f>((G34/C34)*M34)</f>
        <v>-0.1077273668945514</v>
      </c>
      <c r="O34" s="1018">
        <f>IF(((G34/C34)*M34)&gt;=1,3.571428,IF(((G34/C34)*M34)&lt;=0,0,((G34/C34)*M34)*3.571428))</f>
        <v>0</v>
      </c>
      <c r="P34" s="920">
        <f t="shared" ref="P34:P36" si="14">O34/3.571428</f>
        <v>0</v>
      </c>
      <c r="Q34" s="533" t="s">
        <v>173</v>
      </c>
      <c r="R34" s="158" t="s">
        <v>300</v>
      </c>
      <c r="S34" s="172" t="s">
        <v>302</v>
      </c>
    </row>
    <row r="35" spans="1:19" ht="40.799999999999997" customHeight="1" thickBot="1" x14ac:dyDescent="0.5">
      <c r="A35" s="16">
        <v>8</v>
      </c>
      <c r="B35" s="529" t="s">
        <v>22</v>
      </c>
      <c r="C35" s="530">
        <f t="shared" si="12"/>
        <v>3.5714285714285716</v>
      </c>
      <c r="D35" s="529" t="s">
        <v>119</v>
      </c>
      <c r="E35" s="532">
        <f t="shared" si="13"/>
        <v>3.5714285714285716</v>
      </c>
      <c r="F35" s="529" t="s">
        <v>23</v>
      </c>
      <c r="G35" s="530">
        <f>E35/1</f>
        <v>3.5714285714285716</v>
      </c>
      <c r="H35" s="1011">
        <v>0.38800000000000001</v>
      </c>
      <c r="I35" s="1012">
        <v>0.33400000000000002</v>
      </c>
      <c r="J35" s="1024">
        <f>H35-I35</f>
        <v>5.3999999999999992E-2</v>
      </c>
      <c r="K35" s="1025">
        <f>IF((I35&gt;=1),0,((1-I35)*0.6))</f>
        <v>0.39959999999999996</v>
      </c>
      <c r="L35" s="1015">
        <f>I35+K35</f>
        <v>0.73360000000000003</v>
      </c>
      <c r="M35" s="1016">
        <f>IF(K35&lt;&gt;0,J35/K35,"0%")</f>
        <v>0.13513513513513514</v>
      </c>
      <c r="N35" s="1017">
        <f>((G35/C35)*M35)</f>
        <v>0.13513513513513514</v>
      </c>
      <c r="O35" s="1018">
        <f>IF(((G35/C35)*M35)&gt;=1,3.571428,IF(((G35/C35)*M35)&lt;=0,0,((G35/C35)*M35)*3.571428))</f>
        <v>0.48262540540540544</v>
      </c>
      <c r="P35" s="920">
        <f t="shared" si="14"/>
        <v>0.13513513513513514</v>
      </c>
      <c r="Q35" s="533" t="s">
        <v>174</v>
      </c>
      <c r="R35" s="158" t="s">
        <v>303</v>
      </c>
      <c r="S35" s="172" t="s">
        <v>302</v>
      </c>
    </row>
    <row r="36" spans="1:19" ht="32.450000000000003" customHeight="1" thickBot="1" x14ac:dyDescent="0.5">
      <c r="A36" s="16">
        <v>9</v>
      </c>
      <c r="B36" s="529" t="s">
        <v>24</v>
      </c>
      <c r="C36" s="530">
        <f t="shared" si="12"/>
        <v>3.5714285714285716</v>
      </c>
      <c r="D36" s="529" t="s">
        <v>275</v>
      </c>
      <c r="E36" s="532">
        <f t="shared" si="13"/>
        <v>3.5714285714285716</v>
      </c>
      <c r="F36" s="534" t="s">
        <v>25</v>
      </c>
      <c r="G36" s="530">
        <f>E36/1</f>
        <v>3.5714285714285716</v>
      </c>
      <c r="H36" s="1011">
        <v>3.3</v>
      </c>
      <c r="I36" s="1012">
        <v>3.3</v>
      </c>
      <c r="J36" s="1026">
        <f>H36-I36</f>
        <v>0</v>
      </c>
      <c r="K36" s="1027">
        <f>(1*I36)*(6/10)</f>
        <v>1.9799999999999998</v>
      </c>
      <c r="L36" s="1028">
        <f>I36+K36</f>
        <v>5.2799999999999994</v>
      </c>
      <c r="M36" s="1016">
        <f>IF(K36&lt;&gt;0,J36/K36,"0%")</f>
        <v>0</v>
      </c>
      <c r="N36" s="1017">
        <f>((G36/C36)*M36)</f>
        <v>0</v>
      </c>
      <c r="O36" s="1018">
        <f>IF(((G36/C36)*M36)&gt;=1,3.571428,IF(((G36/C36)*M36)&lt;=0,0,((G36/C36)*M36)*3.571428))</f>
        <v>0</v>
      </c>
      <c r="P36" s="920">
        <f t="shared" si="14"/>
        <v>0</v>
      </c>
      <c r="Q36" s="535" t="s">
        <v>175</v>
      </c>
      <c r="R36" s="158" t="s">
        <v>300</v>
      </c>
      <c r="S36" s="172" t="s">
        <v>301</v>
      </c>
    </row>
    <row r="37" spans="1:19" ht="30.6" customHeight="1" thickBot="1" x14ac:dyDescent="0.5">
      <c r="B37" s="841" t="s">
        <v>26</v>
      </c>
      <c r="C37" s="842"/>
      <c r="D37" s="842"/>
      <c r="E37" s="842"/>
      <c r="F37" s="843"/>
      <c r="G37" s="536"/>
      <c r="H37" s="1029"/>
      <c r="I37" s="1030"/>
      <c r="J37" s="1031"/>
      <c r="K37" s="1032"/>
      <c r="L37" s="1032"/>
      <c r="M37" s="1033"/>
      <c r="N37" s="918">
        <f>N38</f>
        <v>0</v>
      </c>
      <c r="O37" s="919">
        <f>O38</f>
        <v>0</v>
      </c>
      <c r="P37" s="920">
        <f>O37/3.571428</f>
        <v>0</v>
      </c>
      <c r="Q37" s="537"/>
      <c r="R37" s="148"/>
      <c r="S37" s="149"/>
    </row>
    <row r="38" spans="1:19" ht="53.65" customHeight="1" x14ac:dyDescent="0.45">
      <c r="A38" s="811">
        <v>10</v>
      </c>
      <c r="B38" s="823" t="s">
        <v>27</v>
      </c>
      <c r="C38" s="827">
        <f>M5</f>
        <v>3.5714285714285716</v>
      </c>
      <c r="D38" s="502" t="s">
        <v>120</v>
      </c>
      <c r="E38" s="475">
        <f>$C$38/2</f>
        <v>1.7857142857142858</v>
      </c>
      <c r="F38" s="538" t="s">
        <v>224</v>
      </c>
      <c r="G38" s="475">
        <f>E38/1</f>
        <v>1.7857142857142858</v>
      </c>
      <c r="H38" s="1034"/>
      <c r="I38" s="1035"/>
      <c r="J38" s="1036">
        <f>H38-I38</f>
        <v>0</v>
      </c>
      <c r="K38" s="1037">
        <f>(1*I38)*(6/10)</f>
        <v>0</v>
      </c>
      <c r="L38" s="1038">
        <f>I38+K38</f>
        <v>0</v>
      </c>
      <c r="M38" s="930" t="str">
        <f>IF(K38&lt;&gt;0,J38/K38,"0%")</f>
        <v>0%</v>
      </c>
      <c r="N38" s="957">
        <f>(((G38/C38)*M38)+((G39/C38)*M39))</f>
        <v>0</v>
      </c>
      <c r="O38" s="932">
        <f>IF((((G38/C38)*M38)+((G39/C38)*M39))&gt;=1,3.57148,IF((((G38/C38)*M38)+((G39/C38)*M39))&lt;=0,0, (((G38/C38)*M38)+((G39/C38)*M39))*3.571428))</f>
        <v>0</v>
      </c>
      <c r="P38" s="933">
        <f>O38/3.571428</f>
        <v>0</v>
      </c>
      <c r="Q38" s="539" t="s">
        <v>176</v>
      </c>
      <c r="R38" s="159"/>
      <c r="S38" s="132" t="s">
        <v>429</v>
      </c>
    </row>
    <row r="39" spans="1:19" ht="35.25" thickBot="1" x14ac:dyDescent="0.5">
      <c r="A39" s="811"/>
      <c r="B39" s="824"/>
      <c r="C39" s="828"/>
      <c r="D39" s="505" t="s">
        <v>157</v>
      </c>
      <c r="E39" s="484">
        <f>$C$38/2</f>
        <v>1.7857142857142858</v>
      </c>
      <c r="F39" s="540" t="s">
        <v>225</v>
      </c>
      <c r="G39" s="517">
        <f>E39/1</f>
        <v>1.7857142857142858</v>
      </c>
      <c r="H39" s="991"/>
      <c r="I39" s="992"/>
      <c r="J39" s="1039">
        <f>H39-I39</f>
        <v>0</v>
      </c>
      <c r="K39" s="1040">
        <f>IF(AND(I39&gt;=10,H39&gt;=I39),0,((10-H39)*(6/10)))</f>
        <v>6</v>
      </c>
      <c r="L39" s="1041">
        <f>I39+K39</f>
        <v>6</v>
      </c>
      <c r="M39" s="972">
        <f>IF(K39&lt;&gt;0,J39/K39,"0%")</f>
        <v>0</v>
      </c>
      <c r="N39" s="965"/>
      <c r="O39" s="941"/>
      <c r="P39" s="942"/>
      <c r="Q39" s="541" t="s">
        <v>95</v>
      </c>
      <c r="R39" s="156"/>
      <c r="S39" s="132" t="s">
        <v>384</v>
      </c>
    </row>
    <row r="40" spans="1:19" ht="20.45" customHeight="1" thickBot="1" x14ac:dyDescent="0.5">
      <c r="B40" s="853" t="s">
        <v>28</v>
      </c>
      <c r="C40" s="854"/>
      <c r="D40" s="854"/>
      <c r="E40" s="855"/>
      <c r="F40" s="856"/>
      <c r="G40" s="536"/>
      <c r="H40" s="1042"/>
      <c r="I40" s="1043"/>
      <c r="J40" s="1044"/>
      <c r="K40" s="1045"/>
      <c r="L40" s="1045"/>
      <c r="M40" s="1046"/>
      <c r="N40" s="918">
        <f>N41</f>
        <v>0</v>
      </c>
      <c r="O40" s="919">
        <f>O41</f>
        <v>0</v>
      </c>
      <c r="P40" s="920">
        <f>O40/3.571428</f>
        <v>0</v>
      </c>
      <c r="Q40" s="542"/>
      <c r="R40" s="160"/>
      <c r="S40" s="153"/>
    </row>
    <row r="41" spans="1:19" ht="34.9" x14ac:dyDescent="0.45">
      <c r="A41" s="811">
        <v>11</v>
      </c>
      <c r="B41" s="857" t="s">
        <v>29</v>
      </c>
      <c r="C41" s="859">
        <f>M5</f>
        <v>3.5714285714285716</v>
      </c>
      <c r="D41" s="543" t="s">
        <v>121</v>
      </c>
      <c r="E41" s="544">
        <f>$C$41/2</f>
        <v>1.7857142857142858</v>
      </c>
      <c r="F41" s="490" t="s">
        <v>30</v>
      </c>
      <c r="G41" s="545">
        <f>E41/1</f>
        <v>1.7857142857142858</v>
      </c>
      <c r="H41" s="1047">
        <v>1</v>
      </c>
      <c r="I41" s="1048">
        <v>1</v>
      </c>
      <c r="J41" s="1049">
        <f>H41-I41</f>
        <v>0</v>
      </c>
      <c r="K41" s="1050">
        <f>(0.5*I41)*(6/10)</f>
        <v>0.3</v>
      </c>
      <c r="L41" s="1051">
        <f>I41+K41</f>
        <v>1.3</v>
      </c>
      <c r="M41" s="930">
        <f>IF(K41&lt;&gt;0,J41/K41,"0%")</f>
        <v>0</v>
      </c>
      <c r="N41" s="1052">
        <f>(((G41/C41)*M41)+(G42/C41)*M42)</f>
        <v>0</v>
      </c>
      <c r="O41" s="932">
        <f>IF((((G41/C41)*M41)+((G42/C41)*M42))&gt;=1,3.57148,IF((((G41/C41)*M41)+((G42/C41)*M42))&lt;=0,0, (((G41/C41)*M41)+((G42/C41)*M42))*3.571428))</f>
        <v>0</v>
      </c>
      <c r="P41" s="933">
        <f>O41/3.571428</f>
        <v>0</v>
      </c>
      <c r="Q41" s="546" t="s">
        <v>177</v>
      </c>
      <c r="R41" s="154" t="s">
        <v>305</v>
      </c>
      <c r="S41" s="139" t="s">
        <v>306</v>
      </c>
    </row>
    <row r="42" spans="1:19" ht="35.25" thickBot="1" x14ac:dyDescent="0.5">
      <c r="A42" s="811"/>
      <c r="B42" s="858"/>
      <c r="C42" s="860"/>
      <c r="D42" s="547" t="s">
        <v>122</v>
      </c>
      <c r="E42" s="520">
        <f>$C$41/2</f>
        <v>1.7857142857142858</v>
      </c>
      <c r="F42" s="495" t="s">
        <v>31</v>
      </c>
      <c r="G42" s="548">
        <f>E42/1</f>
        <v>1.7857142857142858</v>
      </c>
      <c r="H42" s="991"/>
      <c r="I42" s="992"/>
      <c r="J42" s="1053">
        <f>H42-I42</f>
        <v>0</v>
      </c>
      <c r="K42" s="951">
        <f>(0.5*I42)*(6/10)</f>
        <v>0</v>
      </c>
      <c r="L42" s="1054">
        <f>I42+K42</f>
        <v>0</v>
      </c>
      <c r="M42" s="972" t="str">
        <f>IF(K42&lt;&gt;0,J42/K42,"0%")</f>
        <v>0%</v>
      </c>
      <c r="N42" s="1052"/>
      <c r="O42" s="941"/>
      <c r="P42" s="942"/>
      <c r="Q42" s="546" t="s">
        <v>95</v>
      </c>
      <c r="R42" s="161"/>
      <c r="S42" s="132" t="s">
        <v>384</v>
      </c>
    </row>
    <row r="43" spans="1:19" ht="30.6" customHeight="1" thickBot="1" x14ac:dyDescent="0.5">
      <c r="B43" s="831" t="s">
        <v>32</v>
      </c>
      <c r="C43" s="832"/>
      <c r="D43" s="832"/>
      <c r="E43" s="832"/>
      <c r="F43" s="833"/>
      <c r="G43" s="511"/>
      <c r="H43" s="1055"/>
      <c r="I43" s="1056"/>
      <c r="J43" s="1057"/>
      <c r="K43" s="1058"/>
      <c r="L43" s="1058"/>
      <c r="M43" s="1059"/>
      <c r="N43" s="918">
        <f>N44</f>
        <v>0</v>
      </c>
      <c r="O43" s="919">
        <f>O44</f>
        <v>0</v>
      </c>
      <c r="P43" s="920">
        <f>O43/3.571428</f>
        <v>0</v>
      </c>
      <c r="Q43" s="551"/>
      <c r="R43" s="153"/>
      <c r="S43" s="153"/>
    </row>
    <row r="44" spans="1:19" ht="37.799999999999997" customHeight="1" thickBot="1" x14ac:dyDescent="0.5">
      <c r="A44" s="811">
        <v>12</v>
      </c>
      <c r="B44" s="850" t="s">
        <v>33</v>
      </c>
      <c r="C44" s="827">
        <f>M5</f>
        <v>3.5714285714285716</v>
      </c>
      <c r="D44" s="513" t="s">
        <v>123</v>
      </c>
      <c r="E44" s="552">
        <f>C44/2</f>
        <v>1.7857142857142858</v>
      </c>
      <c r="F44" s="513" t="s">
        <v>34</v>
      </c>
      <c r="G44" s="475">
        <f>$E$44/1</f>
        <v>1.7857142857142858</v>
      </c>
      <c r="H44" s="1060"/>
      <c r="I44" s="1061"/>
      <c r="J44" s="1062">
        <f>IF(I44=H44,(H44-30),H44-I44)</f>
        <v>-30</v>
      </c>
      <c r="K44" s="956">
        <f>IF(I44&gt;=30,0,((30-I44)*(6/10)))</f>
        <v>18</v>
      </c>
      <c r="L44" s="1063">
        <f>I44+K44</f>
        <v>18</v>
      </c>
      <c r="M44" s="972" t="str">
        <f>IF(H44=0,"0%",J44/K44)</f>
        <v>0%</v>
      </c>
      <c r="N44" s="957">
        <f>(((G44/C44)*M44)+((G45/C44)*M45))</f>
        <v>0</v>
      </c>
      <c r="O44" s="932">
        <f>IF((((G44/C44)*M44)+((G45/C44)*M45))&gt;=1,3.57148,IF((((G44/C44)*M44)+((G45/C44)*M45))&lt;=0,0, (((G44/C44)*M44)+((G45/C44)*M45))*3.571428))</f>
        <v>0</v>
      </c>
      <c r="P44" s="933">
        <f>O44/3.571428</f>
        <v>0</v>
      </c>
      <c r="Q44" s="504" t="s">
        <v>178</v>
      </c>
      <c r="R44" s="159" t="s">
        <v>304</v>
      </c>
      <c r="S44" s="320" t="s">
        <v>386</v>
      </c>
    </row>
    <row r="45" spans="1:19" ht="35.25" thickBot="1" x14ac:dyDescent="0.5">
      <c r="A45" s="811"/>
      <c r="B45" s="851"/>
      <c r="C45" s="852"/>
      <c r="D45" s="526" t="s">
        <v>124</v>
      </c>
      <c r="E45" s="553">
        <f>(C44/2)</f>
        <v>1.7857142857142858</v>
      </c>
      <c r="F45" s="526" t="s">
        <v>35</v>
      </c>
      <c r="G45" s="484">
        <f>$E$45/1</f>
        <v>1.7857142857142858</v>
      </c>
      <c r="H45" s="1064"/>
      <c r="I45" s="1065"/>
      <c r="J45" s="1066">
        <f>IF(I45=H45,(H45-17),H45-I45)</f>
        <v>-17</v>
      </c>
      <c r="K45" s="1067">
        <f>IF(I45&gt;=17,0,((17-I45)*(6/10)))</f>
        <v>10.199999999999999</v>
      </c>
      <c r="L45" s="1068">
        <f>I45+K45</f>
        <v>10.199999999999999</v>
      </c>
      <c r="M45" s="1069" t="str">
        <f>IF(K45&lt;&gt;0,"0%",J45/K45)</f>
        <v>0%</v>
      </c>
      <c r="N45" s="973"/>
      <c r="O45" s="941"/>
      <c r="P45" s="942"/>
      <c r="Q45" s="510" t="s">
        <v>179</v>
      </c>
      <c r="R45" s="161"/>
      <c r="S45" s="132" t="s">
        <v>384</v>
      </c>
    </row>
    <row r="46" spans="1:19" ht="30.6" customHeight="1" thickBot="1" x14ac:dyDescent="0.5">
      <c r="B46" s="862" t="s">
        <v>36</v>
      </c>
      <c r="C46" s="863"/>
      <c r="D46" s="863"/>
      <c r="E46" s="863"/>
      <c r="F46" s="864"/>
      <c r="G46" s="554"/>
      <c r="H46" s="1070"/>
      <c r="I46" s="1071"/>
      <c r="J46" s="1072"/>
      <c r="K46" s="1073"/>
      <c r="L46" s="1073"/>
      <c r="M46" s="1074"/>
      <c r="N46" s="918">
        <f>(N47+N50+N52)/3</f>
        <v>0.5640516879969778</v>
      </c>
      <c r="O46" s="919">
        <f>(O47+O50+O52)</f>
        <v>3.6624579758790117</v>
      </c>
      <c r="P46" s="920">
        <f>O46/10.714284</f>
        <v>0.34182946577475565</v>
      </c>
      <c r="Q46" s="555"/>
      <c r="R46" s="162"/>
      <c r="S46" s="162"/>
    </row>
    <row r="47" spans="1:19" ht="20.45" customHeight="1" thickBot="1" x14ac:dyDescent="0.5">
      <c r="B47" s="820" t="s">
        <v>37</v>
      </c>
      <c r="C47" s="821"/>
      <c r="D47" s="821"/>
      <c r="E47" s="821"/>
      <c r="F47" s="822"/>
      <c r="G47" s="556"/>
      <c r="H47" s="1075"/>
      <c r="I47" s="1076"/>
      <c r="J47" s="1077"/>
      <c r="K47" s="1078"/>
      <c r="L47" s="1078"/>
      <c r="M47" s="1059"/>
      <c r="N47" s="918">
        <f>N48</f>
        <v>0</v>
      </c>
      <c r="O47" s="919">
        <f>O48</f>
        <v>0</v>
      </c>
      <c r="P47" s="920">
        <f>O47/3.571428</f>
        <v>0</v>
      </c>
      <c r="Q47" s="551"/>
      <c r="R47" s="153"/>
      <c r="S47" s="153"/>
    </row>
    <row r="48" spans="1:19" ht="37.799999999999997" customHeight="1" x14ac:dyDescent="0.45">
      <c r="A48" s="811">
        <v>13</v>
      </c>
      <c r="B48" s="850" t="s">
        <v>38</v>
      </c>
      <c r="C48" s="827">
        <f>M5</f>
        <v>3.5714285714285716</v>
      </c>
      <c r="D48" s="513" t="s">
        <v>125</v>
      </c>
      <c r="E48" s="475">
        <f>$C$48/2</f>
        <v>1.7857142857142858</v>
      </c>
      <c r="F48" s="557" t="s">
        <v>289</v>
      </c>
      <c r="G48" s="475">
        <f>E48/1</f>
        <v>1.7857142857142858</v>
      </c>
      <c r="H48" s="1079"/>
      <c r="I48" s="979"/>
      <c r="J48" s="1080">
        <f>H48-I48</f>
        <v>0</v>
      </c>
      <c r="K48" s="1081">
        <f>(0.5*I48)* (6/10)</f>
        <v>0</v>
      </c>
      <c r="L48" s="1082">
        <f>I48-K48</f>
        <v>0</v>
      </c>
      <c r="M48" s="1083" t="str">
        <f>IF(K48&lt;&gt;0,J48/K48,"0%")</f>
        <v>0%</v>
      </c>
      <c r="N48" s="1084">
        <f>(((G48/C48)*M48)+((G49/C48)*M49))</f>
        <v>0</v>
      </c>
      <c r="O48" s="932">
        <f>IF((((G48/C48)*M48)+((G49/C48)*M49))&gt;=1,3.57148,IF((((G48/C48)*M48)+((G49/C48)*M49))&lt;=0,0, (((G48/C48)*M48)+((G49/C48)*M49))*3.571428))</f>
        <v>0</v>
      </c>
      <c r="P48" s="933">
        <f>O48/3.571428</f>
        <v>0</v>
      </c>
      <c r="Q48" s="524" t="s">
        <v>95</v>
      </c>
      <c r="R48" s="159"/>
      <c r="S48" s="132" t="s">
        <v>384</v>
      </c>
    </row>
    <row r="49" spans="1:19" ht="30.6" customHeight="1" thickBot="1" x14ac:dyDescent="0.5">
      <c r="A49" s="811"/>
      <c r="B49" s="851"/>
      <c r="C49" s="852"/>
      <c r="D49" s="526" t="s">
        <v>126</v>
      </c>
      <c r="E49" s="484">
        <f>$C$48/2</f>
        <v>1.7857142857142858</v>
      </c>
      <c r="F49" s="526" t="s">
        <v>290</v>
      </c>
      <c r="G49" s="484">
        <f>E49/1</f>
        <v>1.7857142857142858</v>
      </c>
      <c r="H49" s="1085"/>
      <c r="I49" s="1086"/>
      <c r="J49" s="1003">
        <f>H49-I49</f>
        <v>0</v>
      </c>
      <c r="K49" s="1087">
        <f>(2*I49)*(6/10)</f>
        <v>0</v>
      </c>
      <c r="L49" s="1088">
        <f>I49+K49</f>
        <v>0</v>
      </c>
      <c r="M49" s="972" t="str">
        <f>IF(K49&lt;&gt;0,J49/K49,"0%")</f>
        <v>0%</v>
      </c>
      <c r="N49" s="1089"/>
      <c r="O49" s="941"/>
      <c r="P49" s="942"/>
      <c r="Q49" s="528" t="s">
        <v>95</v>
      </c>
      <c r="R49" s="161"/>
      <c r="S49" s="132" t="s">
        <v>384</v>
      </c>
    </row>
    <row r="50" spans="1:19" ht="15" customHeight="1" thickBot="1" x14ac:dyDescent="0.5">
      <c r="B50" s="831" t="s">
        <v>39</v>
      </c>
      <c r="C50" s="832"/>
      <c r="D50" s="832"/>
      <c r="E50" s="832"/>
      <c r="F50" s="833"/>
      <c r="G50" s="558"/>
      <c r="H50" s="1090"/>
      <c r="I50" s="1091"/>
      <c r="J50" s="1092"/>
      <c r="K50" s="1092"/>
      <c r="L50" s="1092"/>
      <c r="M50" s="1093"/>
      <c r="N50" s="918">
        <f>N51</f>
        <v>1.6666666666666667</v>
      </c>
      <c r="O50" s="919">
        <f>O51</f>
        <v>3.571428</v>
      </c>
      <c r="P50" s="920">
        <f>O50/3.571428</f>
        <v>1</v>
      </c>
      <c r="Q50" s="559"/>
      <c r="R50" s="163"/>
      <c r="S50" s="163"/>
    </row>
    <row r="51" spans="1:19" ht="30.6" customHeight="1" thickBot="1" x14ac:dyDescent="0.5">
      <c r="A51" s="15">
        <v>14</v>
      </c>
      <c r="B51" s="560" t="s">
        <v>226</v>
      </c>
      <c r="C51" s="561">
        <f>M5</f>
        <v>3.5714285714285716</v>
      </c>
      <c r="D51" s="562" t="s">
        <v>272</v>
      </c>
      <c r="E51" s="563">
        <f>C51</f>
        <v>3.5714285714285716</v>
      </c>
      <c r="F51" s="564" t="s">
        <v>266</v>
      </c>
      <c r="G51" s="565">
        <f>E51/1</f>
        <v>3.5714285714285716</v>
      </c>
      <c r="H51" s="1094">
        <v>100</v>
      </c>
      <c r="I51" s="1095">
        <v>0</v>
      </c>
      <c r="J51" s="1096">
        <f>H51-I51</f>
        <v>100</v>
      </c>
      <c r="K51" s="1097">
        <f>(100-I51)*(6/10)</f>
        <v>60</v>
      </c>
      <c r="L51" s="1098">
        <f>I51+K51</f>
        <v>60</v>
      </c>
      <c r="M51" s="939">
        <f>IF(K51&lt;&gt;0,J51/K51,"100%")</f>
        <v>1.6666666666666667</v>
      </c>
      <c r="N51" s="1017">
        <f>((G51/C51)*M51)</f>
        <v>1.6666666666666667</v>
      </c>
      <c r="O51" s="1018">
        <f>IF(((G51/C51)*M51)&gt;=1,3.571428,IF(((G51/C51)*M51)&lt;=0,0,((G51/C51)*M51)*3.571428))</f>
        <v>3.571428</v>
      </c>
      <c r="P51" s="920">
        <f>O51/3.571428</f>
        <v>1</v>
      </c>
      <c r="Q51" s="566" t="s">
        <v>95</v>
      </c>
      <c r="R51" s="164"/>
      <c r="S51" s="321" t="s">
        <v>387</v>
      </c>
    </row>
    <row r="52" spans="1:19" ht="20.45" customHeight="1" thickBot="1" x14ac:dyDescent="0.5">
      <c r="B52" s="831" t="s">
        <v>40</v>
      </c>
      <c r="C52" s="832"/>
      <c r="D52" s="832"/>
      <c r="E52" s="832"/>
      <c r="F52" s="833"/>
      <c r="G52" s="556"/>
      <c r="H52" s="1075"/>
      <c r="I52" s="1076"/>
      <c r="J52" s="1077"/>
      <c r="K52" s="1078"/>
      <c r="L52" s="1078"/>
      <c r="M52" s="1099"/>
      <c r="N52" s="918">
        <f>N53</f>
        <v>2.548839732426679E-2</v>
      </c>
      <c r="O52" s="919">
        <f>O53</f>
        <v>9.1029975879011488E-2</v>
      </c>
      <c r="P52" s="920">
        <f>O52/3.571428</f>
        <v>2.5488397324266786E-2</v>
      </c>
      <c r="Q52" s="568"/>
      <c r="R52" s="163"/>
      <c r="S52" s="163"/>
    </row>
    <row r="53" spans="1:19" ht="43.8" customHeight="1" x14ac:dyDescent="0.45">
      <c r="A53" s="811">
        <v>15</v>
      </c>
      <c r="B53" s="823" t="s">
        <v>108</v>
      </c>
      <c r="C53" s="827">
        <f>M5</f>
        <v>3.5714285714285716</v>
      </c>
      <c r="D53" s="569" t="s">
        <v>127</v>
      </c>
      <c r="E53" s="570">
        <f>$C$53/5</f>
        <v>0.7142857142857143</v>
      </c>
      <c r="F53" s="571" t="s">
        <v>41</v>
      </c>
      <c r="G53" s="503">
        <f>E53/1</f>
        <v>0.7142857142857143</v>
      </c>
      <c r="H53" s="1100"/>
      <c r="I53" s="1101"/>
      <c r="J53" s="980">
        <f>H53-I53</f>
        <v>0</v>
      </c>
      <c r="K53" s="1081">
        <f>(100-I53)*(6/10)</f>
        <v>60</v>
      </c>
      <c r="L53" s="1038">
        <f t="shared" ref="L53:L58" si="15">I53+K53</f>
        <v>60</v>
      </c>
      <c r="M53" s="930">
        <f t="shared" ref="M53:M55" si="16">IF(K53&lt;&gt;0,J53/K53,"0%")</f>
        <v>0</v>
      </c>
      <c r="N53" s="1102">
        <f>(((G53/C53)*M53)+((G54/C53)*M54)+((G55/C53)*M55)+((G56/C53)*M56)+((G57/C53)*M57)+((G58/C53)*M58))</f>
        <v>2.548839732426679E-2</v>
      </c>
      <c r="O53" s="1103">
        <f>IF((((G53/C53)*M53)+((G54/C53)*M54)+((G55/C53)*M55)+((G56/C53)*M56)+((G57/C53)*M57)+((G58/C53)*M58))&gt;=1,3.571428,IF((((G53/C53)*M53)+((G54/C53)*M54)+((G55/C53)*M55)+((G56/C53)*M56)+((G57/C53)*M57)+((G58/C53)*M58))&lt;=0,0,((((G53/C53)*M53)+((G54/C53)*M54)+((G55/C53)*M55)+((G56/C53)*M56)+((G57/C53)*M57)+((G58/C53)*M58))*3.571428)))</f>
        <v>9.1029975879011488E-2</v>
      </c>
      <c r="P53" s="933">
        <f>O53/3.571428</f>
        <v>2.5488397324266786E-2</v>
      </c>
      <c r="Q53" s="572" t="s">
        <v>95</v>
      </c>
      <c r="R53" s="165"/>
      <c r="S53" s="132" t="s">
        <v>388</v>
      </c>
    </row>
    <row r="54" spans="1:19" ht="35.450000000000003" customHeight="1" x14ac:dyDescent="0.45">
      <c r="A54" s="811"/>
      <c r="B54" s="824"/>
      <c r="C54" s="828"/>
      <c r="D54" s="573" t="s">
        <v>128</v>
      </c>
      <c r="E54" s="574">
        <f t="shared" ref="E54:E57" si="17">$C$53/5</f>
        <v>0.7142857142857143</v>
      </c>
      <c r="F54" s="575" t="s">
        <v>42</v>
      </c>
      <c r="G54" s="506">
        <f>E54/1</f>
        <v>0.7142857142857143</v>
      </c>
      <c r="H54" s="1104"/>
      <c r="I54" s="1105"/>
      <c r="J54" s="986">
        <f>H54-I54</f>
        <v>0</v>
      </c>
      <c r="K54" s="1040">
        <f>(100-I54)*(6/6)</f>
        <v>100</v>
      </c>
      <c r="L54" s="1041">
        <f>I54+K54</f>
        <v>100</v>
      </c>
      <c r="M54" s="964">
        <f t="shared" si="16"/>
        <v>0</v>
      </c>
      <c r="N54" s="1106"/>
      <c r="O54" s="966"/>
      <c r="P54" s="967"/>
      <c r="Q54" s="576" t="s">
        <v>95</v>
      </c>
      <c r="R54" s="146"/>
      <c r="S54" s="132" t="s">
        <v>389</v>
      </c>
    </row>
    <row r="55" spans="1:19" ht="34.25" customHeight="1" x14ac:dyDescent="0.45">
      <c r="A55" s="811"/>
      <c r="B55" s="824"/>
      <c r="C55" s="828"/>
      <c r="D55" s="573" t="s">
        <v>129</v>
      </c>
      <c r="E55" s="574">
        <f t="shared" si="17"/>
        <v>0.7142857142857143</v>
      </c>
      <c r="F55" s="575" t="s">
        <v>43</v>
      </c>
      <c r="G55" s="506">
        <f>E55/1</f>
        <v>0.7142857142857143</v>
      </c>
      <c r="H55" s="1104"/>
      <c r="I55" s="1105"/>
      <c r="J55" s="986">
        <f>H55-I55</f>
        <v>0</v>
      </c>
      <c r="K55" s="1040">
        <f>(100-I55)*(6/10)</f>
        <v>60</v>
      </c>
      <c r="L55" s="1041">
        <f t="shared" si="15"/>
        <v>60</v>
      </c>
      <c r="M55" s="964">
        <f t="shared" si="16"/>
        <v>0</v>
      </c>
      <c r="N55" s="1106"/>
      <c r="O55" s="966"/>
      <c r="P55" s="967"/>
      <c r="Q55" s="576" t="s">
        <v>95</v>
      </c>
      <c r="R55" s="146"/>
      <c r="S55" s="132" t="s">
        <v>384</v>
      </c>
    </row>
    <row r="56" spans="1:19" ht="37.25" customHeight="1" x14ac:dyDescent="0.45">
      <c r="A56" s="811"/>
      <c r="B56" s="824"/>
      <c r="C56" s="828"/>
      <c r="D56" s="573" t="s">
        <v>130</v>
      </c>
      <c r="E56" s="574">
        <f t="shared" si="17"/>
        <v>0.7142857142857143</v>
      </c>
      <c r="F56" s="575" t="s">
        <v>44</v>
      </c>
      <c r="G56" s="506">
        <f>E56/1</f>
        <v>0.7142857142857143</v>
      </c>
      <c r="H56" s="1107">
        <v>99.7</v>
      </c>
      <c r="I56" s="1108">
        <v>99.2</v>
      </c>
      <c r="J56" s="986">
        <f>H56-I56</f>
        <v>0.5</v>
      </c>
      <c r="K56" s="1109">
        <f>(0.5*I56)*(6/7)</f>
        <v>42.514285714285712</v>
      </c>
      <c r="L56" s="1041">
        <f t="shared" si="15"/>
        <v>141.71428571428572</v>
      </c>
      <c r="M56" s="964">
        <f>IF(K56&lt;&gt;0,J56/K56,"0%")</f>
        <v>1.1760752688172043E-2</v>
      </c>
      <c r="N56" s="1106"/>
      <c r="O56" s="966"/>
      <c r="P56" s="967"/>
      <c r="Q56" s="576" t="s">
        <v>101</v>
      </c>
      <c r="R56" s="146" t="s">
        <v>307</v>
      </c>
      <c r="S56" s="378" t="s">
        <v>430</v>
      </c>
    </row>
    <row r="57" spans="1:19" ht="22.8" customHeight="1" x14ac:dyDescent="0.45">
      <c r="A57" s="811"/>
      <c r="B57" s="824"/>
      <c r="C57" s="828"/>
      <c r="D57" s="866" t="s">
        <v>131</v>
      </c>
      <c r="E57" s="868">
        <f t="shared" si="17"/>
        <v>0.7142857142857143</v>
      </c>
      <c r="F57" s="575" t="s">
        <v>45</v>
      </c>
      <c r="G57" s="506">
        <f>$E$57/2</f>
        <v>0.35714285714285715</v>
      </c>
      <c r="H57" s="1110">
        <v>88.6</v>
      </c>
      <c r="I57" s="1111">
        <v>77.8</v>
      </c>
      <c r="J57" s="986">
        <f t="shared" ref="J57:J58" si="18">H57-I57</f>
        <v>10.799999999999997</v>
      </c>
      <c r="K57" s="1112">
        <f>(1*I57)*(6/10)</f>
        <v>46.68</v>
      </c>
      <c r="L57" s="1041">
        <f t="shared" si="15"/>
        <v>124.47999999999999</v>
      </c>
      <c r="M57" s="964">
        <f>IF(K57&lt;&gt;0,J57/K57,"0%")</f>
        <v>0.23136246786632383</v>
      </c>
      <c r="N57" s="1106"/>
      <c r="O57" s="966"/>
      <c r="P57" s="967"/>
      <c r="Q57" s="576" t="s">
        <v>180</v>
      </c>
      <c r="R57" s="146" t="s">
        <v>296</v>
      </c>
      <c r="S57" s="146" t="s">
        <v>302</v>
      </c>
    </row>
    <row r="58" spans="1:19" ht="15" customHeight="1" thickBot="1" x14ac:dyDescent="0.5">
      <c r="A58" s="811"/>
      <c r="B58" s="861"/>
      <c r="C58" s="852"/>
      <c r="D58" s="867"/>
      <c r="E58" s="869"/>
      <c r="F58" s="483" t="s">
        <v>46</v>
      </c>
      <c r="G58" s="509">
        <f>$E$57/2</f>
        <v>0.35714285714285715</v>
      </c>
      <c r="H58" s="991"/>
      <c r="I58" s="992"/>
      <c r="J58" s="993">
        <f t="shared" si="18"/>
        <v>0</v>
      </c>
      <c r="K58" s="1087">
        <f>(1*I58)*(6/10)</f>
        <v>0</v>
      </c>
      <c r="L58" s="1113">
        <f t="shared" si="15"/>
        <v>0</v>
      </c>
      <c r="M58" s="972" t="str">
        <f>IF(K58&lt;&gt;0,J58/K58,"0%")</f>
        <v>0%</v>
      </c>
      <c r="N58" s="1114"/>
      <c r="O58" s="974"/>
      <c r="P58" s="942"/>
      <c r="Q58" s="577" t="s">
        <v>95</v>
      </c>
      <c r="R58" s="140"/>
      <c r="S58" s="132" t="s">
        <v>384</v>
      </c>
    </row>
    <row r="59" spans="1:19" ht="23.45" customHeight="1" thickBot="1" x14ac:dyDescent="0.5">
      <c r="B59" s="862" t="s">
        <v>47</v>
      </c>
      <c r="C59" s="863"/>
      <c r="D59" s="863"/>
      <c r="E59" s="863"/>
      <c r="F59" s="864"/>
      <c r="G59" s="578"/>
      <c r="H59" s="1115"/>
      <c r="I59" s="1116"/>
      <c r="J59" s="1117"/>
      <c r="K59" s="1117"/>
      <c r="L59" s="1117"/>
      <c r="M59" s="1074"/>
      <c r="N59" s="918">
        <f>(N60+N67)/2</f>
        <v>0</v>
      </c>
      <c r="O59" s="919">
        <f>(O60+O67)</f>
        <v>0</v>
      </c>
      <c r="P59" s="920">
        <f>O59/7.142856</f>
        <v>0</v>
      </c>
      <c r="Q59" s="579"/>
      <c r="R59" s="166"/>
      <c r="S59" s="167"/>
    </row>
    <row r="60" spans="1:19" ht="22.25" customHeight="1" thickBot="1" x14ac:dyDescent="0.5">
      <c r="B60" s="831" t="s">
        <v>48</v>
      </c>
      <c r="C60" s="832"/>
      <c r="D60" s="832"/>
      <c r="E60" s="832"/>
      <c r="F60" s="833"/>
      <c r="G60" s="511"/>
      <c r="H60" s="1055"/>
      <c r="I60" s="1056"/>
      <c r="J60" s="996"/>
      <c r="K60" s="997"/>
      <c r="L60" s="997"/>
      <c r="M60" s="1059"/>
      <c r="N60" s="918">
        <f>N61</f>
        <v>0</v>
      </c>
      <c r="O60" s="919">
        <f>O61</f>
        <v>0</v>
      </c>
      <c r="P60" s="920">
        <f>O60/3.571428</f>
        <v>0</v>
      </c>
      <c r="Q60" s="512"/>
      <c r="R60" s="153"/>
      <c r="S60" s="153"/>
    </row>
    <row r="61" spans="1:19" ht="39" customHeight="1" thickBot="1" x14ac:dyDescent="0.5">
      <c r="A61" s="811">
        <v>16</v>
      </c>
      <c r="B61" s="823" t="s">
        <v>49</v>
      </c>
      <c r="C61" s="827">
        <f>M5</f>
        <v>3.5714285714285716</v>
      </c>
      <c r="D61" s="513" t="s">
        <v>133</v>
      </c>
      <c r="E61" s="475">
        <f>$C$61/4</f>
        <v>0.8928571428571429</v>
      </c>
      <c r="F61" s="513" t="s">
        <v>50</v>
      </c>
      <c r="G61" s="503">
        <f>E61/1</f>
        <v>0.8928571428571429</v>
      </c>
      <c r="H61" s="1079"/>
      <c r="I61" s="979"/>
      <c r="J61" s="1062">
        <f>IF(I61=H61,(H61-70),H61-I61)</f>
        <v>-70</v>
      </c>
      <c r="K61" s="956">
        <f>IF(I61&gt;=70,0,((70-I61)*(6/10)))</f>
        <v>42</v>
      </c>
      <c r="L61" s="1118">
        <f t="shared" ref="L61:L66" si="19">I61+K61</f>
        <v>42</v>
      </c>
      <c r="M61" s="972" t="str">
        <f>IF(H61=0,"0%",J61/K61)</f>
        <v>0%</v>
      </c>
      <c r="N61" s="1119">
        <f>(((G61/C61)*M61)+((G62/C61)*M62)+((G63/C61)*M63)+((G64/C61)*M64)+((G65/C61)*M65)+((G66/C61)*M66))</f>
        <v>0</v>
      </c>
      <c r="O61" s="1103">
        <f>IF((((G61/C61)*M61)+((G62/C61)*M62)+((G63/C61)*M63)+((G64/C61)*M64)+((G65/C61)*M65)+((G66/C61)*M66))&gt;=1,3.571428,IF((((G61/C61)*M61)+((G62/C61)*M62)+((G63/C61)*M63)+((G64/C61)*M64)+((G65/C61)*M65)+((G66/C61)*M66))&lt;=0,0,((((G61/C61)*M61)+((G62/C61)*M62)+((G63/C61)*M63)+((G64/C61)*M64)+((G65/C61)*M65)+((G66/C61)*M66))*3.571428)))</f>
        <v>0</v>
      </c>
      <c r="P61" s="933">
        <f>O61/3.571428</f>
        <v>0</v>
      </c>
      <c r="Q61" s="539" t="s">
        <v>181</v>
      </c>
      <c r="R61" s="159" t="s">
        <v>308</v>
      </c>
      <c r="S61" s="132" t="s">
        <v>384</v>
      </c>
    </row>
    <row r="62" spans="1:19" ht="58.25" customHeight="1" thickBot="1" x14ac:dyDescent="0.5">
      <c r="A62" s="811"/>
      <c r="B62" s="824"/>
      <c r="C62" s="828"/>
      <c r="D62" s="516" t="s">
        <v>134</v>
      </c>
      <c r="E62" s="517">
        <f t="shared" ref="E62:E63" si="20">$C$61/4</f>
        <v>0.8928571428571429</v>
      </c>
      <c r="F62" s="573" t="s">
        <v>276</v>
      </c>
      <c r="G62" s="506">
        <f>$E$62/1</f>
        <v>0.8928571428571429</v>
      </c>
      <c r="H62" s="1104"/>
      <c r="I62" s="1105"/>
      <c r="J62" s="1120">
        <f>IF(I62=H62,(H62-70),H62-I62)</f>
        <v>-70</v>
      </c>
      <c r="K62" s="962">
        <f t="shared" ref="K62:K63" si="21">IF(I62&gt;=70,0,((70-I62)*(6/10)))</f>
        <v>42</v>
      </c>
      <c r="L62" s="1121">
        <f t="shared" si="19"/>
        <v>42</v>
      </c>
      <c r="M62" s="972" t="str">
        <f>IF(H62=0,"0%",J62/K62)</f>
        <v>0%</v>
      </c>
      <c r="N62" s="1122"/>
      <c r="O62" s="966"/>
      <c r="P62" s="967"/>
      <c r="Q62" s="541" t="s">
        <v>182</v>
      </c>
      <c r="R62" s="159" t="s">
        <v>308</v>
      </c>
      <c r="S62" s="132" t="s">
        <v>384</v>
      </c>
    </row>
    <row r="63" spans="1:19" ht="26.45" customHeight="1" thickBot="1" x14ac:dyDescent="0.5">
      <c r="A63" s="811"/>
      <c r="B63" s="824"/>
      <c r="C63" s="828"/>
      <c r="D63" s="516" t="s">
        <v>135</v>
      </c>
      <c r="E63" s="517">
        <f t="shared" si="20"/>
        <v>0.8928571428571429</v>
      </c>
      <c r="F63" s="516" t="s">
        <v>51</v>
      </c>
      <c r="G63" s="506">
        <f>E63/1</f>
        <v>0.8928571428571429</v>
      </c>
      <c r="H63" s="1104"/>
      <c r="I63" s="1105"/>
      <c r="J63" s="1120">
        <f>IF(I63=H63,(H63-70),H63-I63)</f>
        <v>-70</v>
      </c>
      <c r="K63" s="962">
        <f t="shared" si="21"/>
        <v>42</v>
      </c>
      <c r="L63" s="1121">
        <f t="shared" si="19"/>
        <v>42</v>
      </c>
      <c r="M63" s="972" t="str">
        <f>IF(H63=0,"0%",J63/K63)</f>
        <v>0%</v>
      </c>
      <c r="N63" s="1122"/>
      <c r="O63" s="966"/>
      <c r="P63" s="967"/>
      <c r="Q63" s="541" t="s">
        <v>95</v>
      </c>
      <c r="R63" s="156"/>
      <c r="S63" s="132" t="s">
        <v>384</v>
      </c>
    </row>
    <row r="64" spans="1:19" ht="15" customHeight="1" thickBot="1" x14ac:dyDescent="0.5">
      <c r="A64" s="811"/>
      <c r="B64" s="824"/>
      <c r="C64" s="828"/>
      <c r="D64" s="844" t="s">
        <v>136</v>
      </c>
      <c r="E64" s="846">
        <f>$C$61/4</f>
        <v>0.8928571428571429</v>
      </c>
      <c r="F64" s="580" t="s">
        <v>52</v>
      </c>
      <c r="G64" s="581">
        <f>$E$64/3</f>
        <v>0.29761904761904762</v>
      </c>
      <c r="H64" s="1123">
        <v>0</v>
      </c>
      <c r="I64" s="1124">
        <v>0</v>
      </c>
      <c r="J64" s="1125">
        <f t="shared" ref="J64:J66" si="22">H64-I64</f>
        <v>0</v>
      </c>
      <c r="K64" s="1126">
        <f>(100-I64)*(6/10)</f>
        <v>60</v>
      </c>
      <c r="L64" s="1121">
        <f t="shared" si="19"/>
        <v>60</v>
      </c>
      <c r="M64" s="964">
        <f t="shared" ref="M64:M66" si="23">IF(K64&lt;&gt;0,J64/K64,"100%")</f>
        <v>0</v>
      </c>
      <c r="N64" s="1122"/>
      <c r="O64" s="966"/>
      <c r="P64" s="967"/>
      <c r="Q64" s="541" t="s">
        <v>95</v>
      </c>
      <c r="R64" s="155"/>
      <c r="S64" s="256" t="s">
        <v>328</v>
      </c>
    </row>
    <row r="65" spans="1:19" ht="23.65" thickBot="1" x14ac:dyDescent="0.5">
      <c r="A65" s="811"/>
      <c r="B65" s="824"/>
      <c r="C65" s="828"/>
      <c r="D65" s="844"/>
      <c r="E65" s="846"/>
      <c r="F65" s="580" t="s">
        <v>53</v>
      </c>
      <c r="G65" s="581">
        <f t="shared" ref="G65:G66" si="24">$E$64/3</f>
        <v>0.29761904761904762</v>
      </c>
      <c r="H65" s="1123">
        <v>0</v>
      </c>
      <c r="I65" s="1124">
        <v>0</v>
      </c>
      <c r="J65" s="1125">
        <f t="shared" si="22"/>
        <v>0</v>
      </c>
      <c r="K65" s="1126">
        <f>(100-I65)*(6/10)</f>
        <v>60</v>
      </c>
      <c r="L65" s="1121">
        <f t="shared" si="19"/>
        <v>60</v>
      </c>
      <c r="M65" s="964">
        <f t="shared" si="23"/>
        <v>0</v>
      </c>
      <c r="N65" s="1122"/>
      <c r="O65" s="966"/>
      <c r="P65" s="967"/>
      <c r="Q65" s="541" t="s">
        <v>95</v>
      </c>
      <c r="R65" s="156"/>
      <c r="S65" s="256" t="s">
        <v>328</v>
      </c>
    </row>
    <row r="66" spans="1:19" ht="27.6" customHeight="1" thickBot="1" x14ac:dyDescent="0.5">
      <c r="A66" s="811"/>
      <c r="B66" s="861"/>
      <c r="C66" s="852"/>
      <c r="D66" s="851"/>
      <c r="E66" s="865"/>
      <c r="F66" s="582" t="s">
        <v>54</v>
      </c>
      <c r="G66" s="583">
        <f t="shared" si="24"/>
        <v>0.29761904761904762</v>
      </c>
      <c r="H66" s="991"/>
      <c r="I66" s="992"/>
      <c r="J66" s="1127">
        <f t="shared" si="22"/>
        <v>0</v>
      </c>
      <c r="K66" s="1128">
        <f>(100-I66)*(6/10)</f>
        <v>60</v>
      </c>
      <c r="L66" s="1129">
        <f t="shared" si="19"/>
        <v>60</v>
      </c>
      <c r="M66" s="972">
        <f t="shared" si="23"/>
        <v>0</v>
      </c>
      <c r="N66" s="1130"/>
      <c r="O66" s="974"/>
      <c r="P66" s="942"/>
      <c r="Q66" s="584" t="s">
        <v>95</v>
      </c>
      <c r="R66" s="161"/>
      <c r="S66" s="257" t="s">
        <v>329</v>
      </c>
    </row>
    <row r="67" spans="1:19" ht="27" customHeight="1" thickBot="1" x14ac:dyDescent="0.5">
      <c r="B67" s="820" t="s">
        <v>55</v>
      </c>
      <c r="C67" s="821"/>
      <c r="D67" s="821"/>
      <c r="E67" s="821"/>
      <c r="F67" s="822"/>
      <c r="G67" s="549"/>
      <c r="H67" s="1055"/>
      <c r="I67" s="1056"/>
      <c r="J67" s="1057"/>
      <c r="K67" s="1058"/>
      <c r="L67" s="1058"/>
      <c r="M67" s="1059"/>
      <c r="N67" s="918">
        <f>N68</f>
        <v>0</v>
      </c>
      <c r="O67" s="919">
        <f>O68</f>
        <v>0</v>
      </c>
      <c r="P67" s="920">
        <f>O67/3.571428</f>
        <v>0</v>
      </c>
      <c r="Q67" s="585"/>
      <c r="R67" s="169"/>
      <c r="S67" s="163"/>
    </row>
    <row r="68" spans="1:19" ht="58.5" thickBot="1" x14ac:dyDescent="0.5">
      <c r="A68" s="16">
        <v>17</v>
      </c>
      <c r="B68" s="586" t="s">
        <v>56</v>
      </c>
      <c r="C68" s="587">
        <f>M5</f>
        <v>3.5714285714285716</v>
      </c>
      <c r="D68" s="586" t="s">
        <v>137</v>
      </c>
      <c r="E68" s="587">
        <f>C68</f>
        <v>3.5714285714285716</v>
      </c>
      <c r="F68" s="586" t="s">
        <v>57</v>
      </c>
      <c r="G68" s="588">
        <f>E68/1</f>
        <v>3.5714285714285716</v>
      </c>
      <c r="H68" s="1131"/>
      <c r="I68" s="1132"/>
      <c r="J68" s="1133">
        <f>IF(I68=H68,(H68-70),I68-H68)</f>
        <v>-70</v>
      </c>
      <c r="K68" s="1027">
        <f t="shared" ref="K68" si="25">IF(I68&gt;=70,0,((70-I68)*(6/10)))</f>
        <v>42</v>
      </c>
      <c r="L68" s="1134">
        <f>I68-K68</f>
        <v>-42</v>
      </c>
      <c r="M68" s="972" t="str">
        <f>IF(H68=0,"0%",J68/K68)</f>
        <v>0%</v>
      </c>
      <c r="N68" s="1135">
        <f>((G68/C68)*M68)</f>
        <v>0</v>
      </c>
      <c r="O68" s="1018">
        <f>IF(((G68/C68)*M68)&gt;=1,3.571428,IF(((G68/C68)*M68)&lt;=0,0,((G68/C68)*M68)*3.571428))</f>
        <v>0</v>
      </c>
      <c r="P68" s="920">
        <f>O68/3.571428</f>
        <v>0</v>
      </c>
      <c r="Q68" s="589" t="s">
        <v>132</v>
      </c>
      <c r="R68" s="159" t="s">
        <v>308</v>
      </c>
      <c r="S68" s="132" t="s">
        <v>384</v>
      </c>
    </row>
    <row r="69" spans="1:19" ht="22.25" customHeight="1" thickBot="1" x14ac:dyDescent="0.5">
      <c r="B69" s="724" t="s">
        <v>58</v>
      </c>
      <c r="C69" s="725"/>
      <c r="D69" s="725"/>
      <c r="E69" s="725"/>
      <c r="F69" s="726"/>
      <c r="G69" s="126"/>
      <c r="H69" s="1136"/>
      <c r="I69" s="1137"/>
      <c r="J69" s="1138"/>
      <c r="K69" s="1139"/>
      <c r="L69" s="1139"/>
      <c r="M69" s="1140"/>
      <c r="N69" s="918">
        <f>(N70+N72+N74)/3</f>
        <v>0</v>
      </c>
      <c r="O69" s="919">
        <f>(O70+O72+O74)</f>
        <v>0</v>
      </c>
      <c r="P69" s="920">
        <f>O69/10.714284</f>
        <v>0</v>
      </c>
      <c r="Q69" s="437"/>
      <c r="R69" s="170"/>
      <c r="S69" s="171"/>
    </row>
    <row r="70" spans="1:19" ht="20.45" customHeight="1" thickBot="1" x14ac:dyDescent="0.5">
      <c r="B70" s="831" t="s">
        <v>59</v>
      </c>
      <c r="C70" s="832"/>
      <c r="D70" s="832"/>
      <c r="E70" s="832"/>
      <c r="F70" s="833"/>
      <c r="G70" s="511"/>
      <c r="H70" s="1055"/>
      <c r="I70" s="1056"/>
      <c r="J70" s="977"/>
      <c r="K70" s="977"/>
      <c r="L70" s="977"/>
      <c r="M70" s="1141"/>
      <c r="N70" s="918">
        <f>N71</f>
        <v>0</v>
      </c>
      <c r="O70" s="919">
        <f>O71</f>
        <v>0</v>
      </c>
      <c r="P70" s="920">
        <f t="shared" ref="P70:P78" si="26">O70/3.571428</f>
        <v>0</v>
      </c>
      <c r="Q70" s="568"/>
      <c r="R70" s="163"/>
      <c r="S70" s="163"/>
    </row>
    <row r="71" spans="1:19" ht="52.25" customHeight="1" thickBot="1" x14ac:dyDescent="0.5">
      <c r="A71" s="16">
        <v>18</v>
      </c>
      <c r="B71" s="591" t="s">
        <v>60</v>
      </c>
      <c r="C71" s="592">
        <f>M5</f>
        <v>3.5714285714285716</v>
      </c>
      <c r="D71" s="593" t="s">
        <v>138</v>
      </c>
      <c r="E71" s="594">
        <f>C71</f>
        <v>3.5714285714285716</v>
      </c>
      <c r="F71" s="595" t="s">
        <v>61</v>
      </c>
      <c r="G71" s="596">
        <f>E71/1</f>
        <v>3.5714285714285716</v>
      </c>
      <c r="H71" s="1131"/>
      <c r="I71" s="1132"/>
      <c r="J71" s="1142">
        <f>I71-H71</f>
        <v>0</v>
      </c>
      <c r="K71" s="1025">
        <f>(0.5*I71)*0.6</f>
        <v>0</v>
      </c>
      <c r="L71" s="1134">
        <f>I71-K71</f>
        <v>0</v>
      </c>
      <c r="M71" s="972" t="str">
        <f>IF(H71=0,"0%",J71/K71)</f>
        <v>0%</v>
      </c>
      <c r="N71" s="1135">
        <f>((G71/C71)*M71)</f>
        <v>0</v>
      </c>
      <c r="O71" s="1018">
        <f>IF(((G71/C71)*M71)&gt;=1,3.571428,IF(((G71/C71)*M71)&lt;=0,0,((G71/C71)*M71)*3.571428))</f>
        <v>0</v>
      </c>
      <c r="P71" s="920">
        <f t="shared" si="26"/>
        <v>0</v>
      </c>
      <c r="Q71" s="597" t="s">
        <v>183</v>
      </c>
      <c r="R71" s="172" t="s">
        <v>309</v>
      </c>
      <c r="S71" s="252" t="s">
        <v>390</v>
      </c>
    </row>
    <row r="72" spans="1:19" ht="20.45" customHeight="1" thickBot="1" x14ac:dyDescent="0.5">
      <c r="B72" s="853" t="s">
        <v>277</v>
      </c>
      <c r="C72" s="854"/>
      <c r="D72" s="854"/>
      <c r="E72" s="854"/>
      <c r="F72" s="856"/>
      <c r="G72" s="536"/>
      <c r="H72" s="1075"/>
      <c r="I72" s="1076"/>
      <c r="J72" s="1031"/>
      <c r="K72" s="1032"/>
      <c r="L72" s="1032"/>
      <c r="M72" s="1033"/>
      <c r="N72" s="918">
        <f>N73</f>
        <v>0</v>
      </c>
      <c r="O72" s="919">
        <f>O73</f>
        <v>0</v>
      </c>
      <c r="P72" s="920">
        <f t="shared" si="26"/>
        <v>0</v>
      </c>
      <c r="Q72" s="598"/>
      <c r="R72" s="163"/>
      <c r="S72" s="163"/>
    </row>
    <row r="73" spans="1:19" ht="45" customHeight="1" thickBot="1" x14ac:dyDescent="0.5">
      <c r="A73" s="16">
        <v>19</v>
      </c>
      <c r="B73" s="599" t="s">
        <v>62</v>
      </c>
      <c r="C73" s="600">
        <f>M5</f>
        <v>3.5714285714285716</v>
      </c>
      <c r="D73" s="601" t="s">
        <v>139</v>
      </c>
      <c r="E73" s="600">
        <f>C73</f>
        <v>3.5714285714285716</v>
      </c>
      <c r="F73" s="602" t="s">
        <v>63</v>
      </c>
      <c r="G73" s="603">
        <f>E73/1</f>
        <v>3.5714285714285716</v>
      </c>
      <c r="H73" s="1131"/>
      <c r="I73" s="1132"/>
      <c r="J73" s="1143">
        <f>I73-H73</f>
        <v>0</v>
      </c>
      <c r="K73" s="1144">
        <f>IF(H73&gt;0,(H73),I73)</f>
        <v>0</v>
      </c>
      <c r="L73" s="1145">
        <f>I73-K73</f>
        <v>0</v>
      </c>
      <c r="M73" s="972" t="str">
        <f>IF(H73=0,"0%",J73/K73)</f>
        <v>0%</v>
      </c>
      <c r="N73" s="1135">
        <f>((G73/C73)*M73)</f>
        <v>0</v>
      </c>
      <c r="O73" s="1018">
        <f>IF(((G73/C73)*M73)&gt;=1,3.571428,IF(((G73/C73)*M73)&lt;=0,0,((G73/C73)*M73)*3.571428))</f>
        <v>0</v>
      </c>
      <c r="P73" s="920">
        <f t="shared" si="26"/>
        <v>0</v>
      </c>
      <c r="Q73" s="604" t="s">
        <v>95</v>
      </c>
      <c r="R73" s="172"/>
      <c r="S73" s="132" t="s">
        <v>384</v>
      </c>
    </row>
    <row r="74" spans="1:19" ht="30.6" customHeight="1" thickBot="1" x14ac:dyDescent="0.5">
      <c r="B74" s="831" t="s">
        <v>64</v>
      </c>
      <c r="C74" s="832"/>
      <c r="D74" s="832"/>
      <c r="E74" s="832"/>
      <c r="F74" s="833"/>
      <c r="G74" s="512"/>
      <c r="H74" s="1055"/>
      <c r="I74" s="1056"/>
      <c r="J74" s="977"/>
      <c r="K74" s="977"/>
      <c r="L74" s="977"/>
      <c r="M74" s="1059"/>
      <c r="N74" s="918">
        <f>N75</f>
        <v>0</v>
      </c>
      <c r="O74" s="919">
        <f>O75</f>
        <v>0</v>
      </c>
      <c r="P74" s="920">
        <f t="shared" si="26"/>
        <v>0</v>
      </c>
      <c r="Q74" s="568"/>
      <c r="R74" s="163"/>
      <c r="S74" s="163"/>
    </row>
    <row r="75" spans="1:19" ht="29.45" customHeight="1" thickBot="1" x14ac:dyDescent="0.5">
      <c r="A75" s="16">
        <v>20</v>
      </c>
      <c r="B75" s="599" t="s">
        <v>65</v>
      </c>
      <c r="C75" s="532">
        <f>M5</f>
        <v>3.5714285714285716</v>
      </c>
      <c r="D75" s="593" t="s">
        <v>140</v>
      </c>
      <c r="E75" s="605">
        <f>C75</f>
        <v>3.5714285714285716</v>
      </c>
      <c r="F75" s="601" t="s">
        <v>66</v>
      </c>
      <c r="G75" s="596">
        <f>E75/1</f>
        <v>3.5714285714285716</v>
      </c>
      <c r="H75" s="1146"/>
      <c r="I75" s="1147"/>
      <c r="J75" s="1096">
        <f>H75-I75</f>
        <v>0</v>
      </c>
      <c r="K75" s="1097">
        <f>IF(AND(H75=0,I75=1)," 1",(H75-I75))</f>
        <v>0</v>
      </c>
      <c r="L75" s="1148">
        <f>I75+K75</f>
        <v>0</v>
      </c>
      <c r="M75" s="1149">
        <f>(IF(H75=0,0,(J75/K75)))</f>
        <v>0</v>
      </c>
      <c r="N75" s="1135">
        <f>((G75/C75)*M75)</f>
        <v>0</v>
      </c>
      <c r="O75" s="1018">
        <f>IF(((G75/C75)*M75)&gt;=1,3.571428,IF(((G75/C75)*M75)&lt;=0,0,((G75/C75)*M75)*3.571428))</f>
        <v>0</v>
      </c>
      <c r="P75" s="920">
        <f t="shared" si="26"/>
        <v>0</v>
      </c>
      <c r="Q75" s="606" t="s">
        <v>95</v>
      </c>
      <c r="R75" s="151"/>
      <c r="S75" s="379" t="s">
        <v>431</v>
      </c>
    </row>
    <row r="76" spans="1:19" ht="20.45" customHeight="1" thickBot="1" x14ac:dyDescent="0.5">
      <c r="B76" s="876" t="s">
        <v>67</v>
      </c>
      <c r="C76" s="877"/>
      <c r="D76" s="877"/>
      <c r="E76" s="877"/>
      <c r="F76" s="878"/>
      <c r="G76" s="607"/>
      <c r="H76" s="1150"/>
      <c r="I76" s="1151"/>
      <c r="J76" s="1152"/>
      <c r="K76" s="1153"/>
      <c r="L76" s="1153"/>
      <c r="M76" s="1154"/>
      <c r="N76" s="918">
        <f t="shared" ref="N76:O77" si="27">N77</f>
        <v>0</v>
      </c>
      <c r="O76" s="919">
        <f t="shared" si="27"/>
        <v>0</v>
      </c>
      <c r="P76" s="920">
        <f t="shared" si="26"/>
        <v>0</v>
      </c>
      <c r="Q76" s="608"/>
      <c r="R76" s="172"/>
      <c r="S76" s="172"/>
    </row>
    <row r="77" spans="1:19" ht="20.45" customHeight="1" thickBot="1" x14ac:dyDescent="0.5">
      <c r="B77" s="831" t="s">
        <v>68</v>
      </c>
      <c r="C77" s="832"/>
      <c r="D77" s="832"/>
      <c r="E77" s="832"/>
      <c r="F77" s="833"/>
      <c r="G77" s="511"/>
      <c r="H77" s="1055"/>
      <c r="I77" s="1056"/>
      <c r="J77" s="996"/>
      <c r="K77" s="997"/>
      <c r="L77" s="997"/>
      <c r="M77" s="978"/>
      <c r="N77" s="918">
        <f t="shared" si="27"/>
        <v>0</v>
      </c>
      <c r="O77" s="919">
        <f t="shared" si="27"/>
        <v>0</v>
      </c>
      <c r="P77" s="920">
        <f t="shared" si="26"/>
        <v>0</v>
      </c>
      <c r="Q77" s="568"/>
      <c r="R77" s="163"/>
      <c r="S77" s="163"/>
    </row>
    <row r="78" spans="1:19" ht="35.25" thickBot="1" x14ac:dyDescent="0.5">
      <c r="A78" s="16">
        <v>21</v>
      </c>
      <c r="B78" s="599" t="s">
        <v>69</v>
      </c>
      <c r="C78" s="605">
        <f>M5</f>
        <v>3.5714285714285716</v>
      </c>
      <c r="D78" s="609" t="s">
        <v>141</v>
      </c>
      <c r="E78" s="605">
        <f>C78</f>
        <v>3.5714285714285716</v>
      </c>
      <c r="F78" s="609" t="s">
        <v>70</v>
      </c>
      <c r="G78" s="587">
        <f>E78/1</f>
        <v>3.5714285714285716</v>
      </c>
      <c r="H78" s="1131"/>
      <c r="I78" s="1132"/>
      <c r="J78" s="1133">
        <f>IF(I78=H78,(H78-60),H78-I78)</f>
        <v>-60</v>
      </c>
      <c r="K78" s="1027">
        <f>IF(I78&gt;=60,0,((60-I78)*(6/10)))</f>
        <v>36</v>
      </c>
      <c r="L78" s="1134">
        <f t="shared" ref="L78" si="28">K78+I78</f>
        <v>36</v>
      </c>
      <c r="M78" s="1016">
        <f>IF(I78&gt;=60,(1+(H78-60)/60),(H78/L78))</f>
        <v>0</v>
      </c>
      <c r="N78" s="1135">
        <f>((G78/C78)*M78)</f>
        <v>0</v>
      </c>
      <c r="O78" s="1018">
        <f>IF(((G78/C78)*M78)&gt;=1,3.571428,IF(((G78/C78)*M78)&lt;=0,0,((G78/C78)*M78)*3.571428))</f>
        <v>0</v>
      </c>
      <c r="P78" s="920">
        <f t="shared" si="26"/>
        <v>0</v>
      </c>
      <c r="Q78" s="610" t="s">
        <v>95</v>
      </c>
      <c r="R78" s="172"/>
      <c r="S78" s="132" t="s">
        <v>384</v>
      </c>
    </row>
    <row r="79" spans="1:19" ht="21.6" customHeight="1" thickBot="1" x14ac:dyDescent="0.5">
      <c r="B79" s="870" t="s">
        <v>71</v>
      </c>
      <c r="C79" s="871"/>
      <c r="D79" s="871"/>
      <c r="E79" s="871"/>
      <c r="F79" s="872"/>
      <c r="G79" s="607"/>
      <c r="H79" s="1150"/>
      <c r="I79" s="1151"/>
      <c r="J79" s="1155"/>
      <c r="K79" s="1156"/>
      <c r="L79" s="1156"/>
      <c r="M79" s="1154"/>
      <c r="N79" s="918">
        <f>(N80+N86)/2</f>
        <v>0.60224206349206355</v>
      </c>
      <c r="O79" s="919">
        <f>(O80+O86)</f>
        <v>5.955001881666667</v>
      </c>
      <c r="P79" s="920">
        <f>O79/10.714284</f>
        <v>0.55580026455026466</v>
      </c>
      <c r="Q79" s="608"/>
      <c r="R79" s="172"/>
      <c r="S79" s="172"/>
    </row>
    <row r="80" spans="1:19" ht="20.45" customHeight="1" thickBot="1" x14ac:dyDescent="0.5">
      <c r="B80" s="820" t="s">
        <v>72</v>
      </c>
      <c r="C80" s="821"/>
      <c r="D80" s="821"/>
      <c r="E80" s="821"/>
      <c r="F80" s="822"/>
      <c r="G80" s="567"/>
      <c r="H80" s="1157"/>
      <c r="I80" s="1158"/>
      <c r="J80" s="977"/>
      <c r="K80" s="977"/>
      <c r="L80" s="977"/>
      <c r="M80" s="1099"/>
      <c r="N80" s="918">
        <f>(N81+N83)/2</f>
        <v>0.46291666666666664</v>
      </c>
      <c r="O80" s="919">
        <f>(O81+O83)</f>
        <v>3.3065470899999996</v>
      </c>
      <c r="P80" s="920">
        <f>O80/7.142856</f>
        <v>0.46291666666666659</v>
      </c>
      <c r="Q80" s="611"/>
      <c r="R80" s="153"/>
      <c r="S80" s="153"/>
    </row>
    <row r="81" spans="1:19" ht="46.9" thickBot="1" x14ac:dyDescent="0.5">
      <c r="A81" s="16"/>
      <c r="B81" s="873" t="s">
        <v>73</v>
      </c>
      <c r="C81" s="827">
        <f>M5</f>
        <v>3.5714285714285716</v>
      </c>
      <c r="D81" s="513" t="s">
        <v>267</v>
      </c>
      <c r="E81" s="475">
        <f>$C$81/2</f>
        <v>1.7857142857142858</v>
      </c>
      <c r="F81" s="569" t="s">
        <v>278</v>
      </c>
      <c r="G81" s="503">
        <f>E81/1</f>
        <v>1.7857142857142858</v>
      </c>
      <c r="H81" s="953">
        <v>1</v>
      </c>
      <c r="I81" s="954"/>
      <c r="J81" s="1062">
        <f>IF(I81=H81,(H81-50),H81-I81)</f>
        <v>1</v>
      </c>
      <c r="K81" s="956">
        <f>IF(I81&gt;=50,0,((50-I81)*(6/10)))</f>
        <v>30</v>
      </c>
      <c r="L81" s="1159">
        <f>I81+K81</f>
        <v>30</v>
      </c>
      <c r="M81" s="972" t="str">
        <f>IF(I81=0,"0%",J81/K81)</f>
        <v>0%</v>
      </c>
      <c r="N81" s="1119">
        <f>(((G81/C81)*M81)+((G82/C81)*M82))</f>
        <v>0.3725</v>
      </c>
      <c r="O81" s="932">
        <f>IF((((G81/C81)*M81)+((G82/C81)*M82))&gt;=1,3.57148,IF((((G81/C81)*M81)+((G82/C81)*M82))&lt;=0,0, (((G81/C81)*M81)+((G82/C81)*M82))*3.571428))</f>
        <v>1.33035693</v>
      </c>
      <c r="P81" s="933">
        <f>O81/3.571428</f>
        <v>0.3725</v>
      </c>
      <c r="Q81" s="612" t="s">
        <v>279</v>
      </c>
      <c r="R81" s="173" t="s">
        <v>310</v>
      </c>
      <c r="S81" s="132" t="s">
        <v>432</v>
      </c>
    </row>
    <row r="82" spans="1:19" ht="39.6" customHeight="1" thickBot="1" x14ac:dyDescent="0.5">
      <c r="A82" s="16"/>
      <c r="B82" s="874"/>
      <c r="C82" s="875"/>
      <c r="D82" s="526" t="s">
        <v>268</v>
      </c>
      <c r="E82" s="484">
        <f>$C$81/2</f>
        <v>1.7857142857142858</v>
      </c>
      <c r="F82" s="527" t="s">
        <v>74</v>
      </c>
      <c r="G82" s="509">
        <f>E82/1</f>
        <v>1.7857142857142858</v>
      </c>
      <c r="H82" s="1160">
        <v>14.9</v>
      </c>
      <c r="I82" s="1161">
        <v>5</v>
      </c>
      <c r="J82" s="1162">
        <f>IF(I82=H82,(H82-30),H82-I82)</f>
        <v>9.9</v>
      </c>
      <c r="K82" s="971">
        <f>IF(I82&gt;=30,0,((30-I82)*(6/10)))</f>
        <v>15</v>
      </c>
      <c r="L82" s="1163">
        <f t="shared" ref="L82" si="29">K82+I82</f>
        <v>20</v>
      </c>
      <c r="M82" s="972">
        <f>IF(I82&gt;=30,(1+(H82-30)/30),(H82/L82))</f>
        <v>0.745</v>
      </c>
      <c r="N82" s="1130"/>
      <c r="O82" s="941"/>
      <c r="P82" s="942"/>
      <c r="Q82" s="613" t="s">
        <v>282</v>
      </c>
      <c r="R82" s="174" t="s">
        <v>311</v>
      </c>
      <c r="S82" s="139" t="s">
        <v>312</v>
      </c>
    </row>
    <row r="83" spans="1:19" ht="60" customHeight="1" x14ac:dyDescent="0.45">
      <c r="A83" s="16"/>
      <c r="B83" s="887" t="s">
        <v>142</v>
      </c>
      <c r="C83" s="889">
        <f>M5</f>
        <v>3.5714285714285716</v>
      </c>
      <c r="D83" s="614" t="s">
        <v>145</v>
      </c>
      <c r="E83" s="475">
        <f>$C$81/3</f>
        <v>1.1904761904761905</v>
      </c>
      <c r="F83" s="513" t="s">
        <v>143</v>
      </c>
      <c r="G83" s="503">
        <f>E83/1</f>
        <v>1.1904761904761905</v>
      </c>
      <c r="H83" s="953">
        <v>13.53</v>
      </c>
      <c r="I83" s="954">
        <v>13.53</v>
      </c>
      <c r="J83" s="1164">
        <f>I83-H83</f>
        <v>0</v>
      </c>
      <c r="K83" s="1050">
        <f>(0.2*I83)*(6/10)</f>
        <v>1.6235999999999999</v>
      </c>
      <c r="L83" s="1165">
        <f>I83-K83</f>
        <v>11.9064</v>
      </c>
      <c r="M83" s="930">
        <f>IF(K83&lt;&gt;0,J83/K83,"0%")</f>
        <v>0</v>
      </c>
      <c r="N83" s="1166">
        <f>(((G83/C83)*M83)+((G84/C83)*M84)+((G85/C83)*M85))</f>
        <v>0.55333333333333323</v>
      </c>
      <c r="O83" s="958">
        <f>IF((((G83/C83)*M83)+((G84/C83)*M84)+((G85/C83)*M85))&gt;=1,3.571428,IF((((G83/C83)*M83)+((G84/C83)*M84)+((G85/C83)*M85))&lt;=0,0,(((G83/C83)*M83)+((G84/C83)*M84)+((G85/C83)*M85))*3.571428))</f>
        <v>1.9761901599999996</v>
      </c>
      <c r="P83" s="933">
        <f>O83/3.571428</f>
        <v>0.55333333333333323</v>
      </c>
      <c r="Q83" s="615" t="s">
        <v>184</v>
      </c>
      <c r="R83" s="175" t="s">
        <v>313</v>
      </c>
      <c r="S83" s="165" t="s">
        <v>314</v>
      </c>
    </row>
    <row r="84" spans="1:19" ht="45" customHeight="1" x14ac:dyDescent="0.45">
      <c r="A84" s="16"/>
      <c r="B84" s="887"/>
      <c r="C84" s="890"/>
      <c r="D84" s="616" t="s">
        <v>146</v>
      </c>
      <c r="E84" s="517">
        <f t="shared" ref="E84:E85" si="30">$C$81/3</f>
        <v>1.1904761904761905</v>
      </c>
      <c r="F84" s="573" t="s">
        <v>283</v>
      </c>
      <c r="G84" s="506">
        <f>E84/1</f>
        <v>1.1904761904761905</v>
      </c>
      <c r="H84" s="1167">
        <v>89.5</v>
      </c>
      <c r="I84" s="1168">
        <v>89.5</v>
      </c>
      <c r="J84" s="1169">
        <f>I84-H84</f>
        <v>0</v>
      </c>
      <c r="K84" s="1050">
        <f>(0.5*I84)*(6/10)</f>
        <v>26.849999999999998</v>
      </c>
      <c r="L84" s="1170">
        <f>I84-K84</f>
        <v>62.650000000000006</v>
      </c>
      <c r="M84" s="964">
        <f>IF(K84&lt;&gt;0,J84/K84,"100%")</f>
        <v>0</v>
      </c>
      <c r="N84" s="1171"/>
      <c r="O84" s="966"/>
      <c r="P84" s="967"/>
      <c r="Q84" s="617" t="s">
        <v>185</v>
      </c>
      <c r="R84" s="175" t="s">
        <v>313</v>
      </c>
      <c r="S84" s="176" t="s">
        <v>315</v>
      </c>
    </row>
    <row r="85" spans="1:19" ht="38.450000000000003" customHeight="1" thickBot="1" x14ac:dyDescent="0.5">
      <c r="A85" s="16"/>
      <c r="B85" s="888"/>
      <c r="C85" s="891"/>
      <c r="D85" s="618" t="s">
        <v>147</v>
      </c>
      <c r="E85" s="484">
        <f t="shared" si="30"/>
        <v>1.1904761904761905</v>
      </c>
      <c r="F85" s="527" t="s">
        <v>144</v>
      </c>
      <c r="G85" s="509">
        <f>E85/1</f>
        <v>1.1904761904761905</v>
      </c>
      <c r="H85" s="1160">
        <v>99.4</v>
      </c>
      <c r="I85" s="1161">
        <v>99.4</v>
      </c>
      <c r="J85" s="1172">
        <f>H85-I85</f>
        <v>0</v>
      </c>
      <c r="K85" s="1173">
        <f>(100-I85)*(6/10)</f>
        <v>0.3599999999999966</v>
      </c>
      <c r="L85" s="1174">
        <f>I85+K85</f>
        <v>99.76</v>
      </c>
      <c r="M85" s="939">
        <f>IF(H85&gt;=99.4,166%, IF(K85&lt;&gt;0,J85/K85,"0%"))</f>
        <v>1.66</v>
      </c>
      <c r="N85" s="1175"/>
      <c r="O85" s="974"/>
      <c r="P85" s="942"/>
      <c r="Q85" s="619" t="s">
        <v>284</v>
      </c>
      <c r="R85" s="177" t="s">
        <v>298</v>
      </c>
      <c r="S85" s="178"/>
    </row>
    <row r="86" spans="1:19" ht="20.45" customHeight="1" thickBot="1" x14ac:dyDescent="0.5">
      <c r="B86" s="879" t="s">
        <v>75</v>
      </c>
      <c r="C86" s="880"/>
      <c r="D86" s="880"/>
      <c r="E86" s="880"/>
      <c r="F86" s="881"/>
      <c r="G86" s="590"/>
      <c r="H86" s="1176"/>
      <c r="I86" s="1177"/>
      <c r="J86" s="1178"/>
      <c r="K86" s="1179"/>
      <c r="L86" s="1179"/>
      <c r="M86" s="1099"/>
      <c r="N86" s="918">
        <f>N87</f>
        <v>0.74156746031746046</v>
      </c>
      <c r="O86" s="919">
        <f>O87</f>
        <v>2.6484547916666674</v>
      </c>
      <c r="P86" s="920">
        <f>O86/3.571428</f>
        <v>0.74156746031746057</v>
      </c>
      <c r="Q86" s="550"/>
      <c r="R86" s="163"/>
      <c r="S86" s="163"/>
    </row>
    <row r="87" spans="1:19" ht="27.6" customHeight="1" x14ac:dyDescent="0.45">
      <c r="A87" s="836">
        <v>24</v>
      </c>
      <c r="B87" s="882" t="s">
        <v>76</v>
      </c>
      <c r="C87" s="884">
        <f>M5</f>
        <v>3.5714285714285716</v>
      </c>
      <c r="D87" s="543" t="s">
        <v>159</v>
      </c>
      <c r="E87" s="544">
        <f>($C$87/3)</f>
        <v>1.1904761904761905</v>
      </c>
      <c r="F87" s="620" t="s">
        <v>285</v>
      </c>
      <c r="G87" s="621">
        <f>E87/1</f>
        <v>1.1904761904761905</v>
      </c>
      <c r="H87" s="1180">
        <v>9.9</v>
      </c>
      <c r="I87" s="1181">
        <v>12.8</v>
      </c>
      <c r="J87" s="1182">
        <f>I87-H87</f>
        <v>2.9000000000000004</v>
      </c>
      <c r="K87" s="1183">
        <f>(0.25*I87)*(6/10)</f>
        <v>1.92</v>
      </c>
      <c r="L87" s="1184">
        <f>I87-K87</f>
        <v>10.88</v>
      </c>
      <c r="M87" s="930">
        <f>IF(K87&lt;&gt;0,J87/K87,"0%")</f>
        <v>1.510416666666667</v>
      </c>
      <c r="N87" s="965">
        <f>(((G87/C87)*M87)+((G88/C87)*M88)+((G89/C87)*M89)+((G90/C87)*M90)+((G91/C87)*M91))</f>
        <v>0.74156746031746046</v>
      </c>
      <c r="O87" s="958">
        <f>IF((((G87/C87)*M87)+((G88/C87)*M88)+((G89/C87)*M89)+((G90/C87)*M90)+((G91/C87)*M91))&gt;=1,3.571428,IF((((G87/C87)*M87)+((G88/C87)*M88)+((G89/C87)*M89)+((G90/C87)*M90)+((G91/C87)*M91))&lt;=0,0,((((G87/C87)*M87)+((G88/C87)*M88)+((G89/C87)*M89)+((G90/C87)*M90)+((G91/C87)*M91))*3.571428)))</f>
        <v>2.6484547916666674</v>
      </c>
      <c r="P87" s="933">
        <f>O87/3.571428</f>
        <v>0.74156746031746057</v>
      </c>
      <c r="Q87" s="622" t="s">
        <v>186</v>
      </c>
      <c r="R87" s="179" t="s">
        <v>316</v>
      </c>
      <c r="S87" s="180" t="s">
        <v>317</v>
      </c>
    </row>
    <row r="88" spans="1:19" ht="25.8" customHeight="1" x14ac:dyDescent="0.45">
      <c r="A88" s="836"/>
      <c r="B88" s="882"/>
      <c r="C88" s="885"/>
      <c r="D88" s="892" t="s">
        <v>160</v>
      </c>
      <c r="E88" s="893">
        <f>C87/3</f>
        <v>1.1904761904761905</v>
      </c>
      <c r="F88" s="518" t="s">
        <v>77</v>
      </c>
      <c r="G88" s="623">
        <f>$E$88/3</f>
        <v>0.3968253968253968</v>
      </c>
      <c r="H88" s="999">
        <v>7</v>
      </c>
      <c r="I88" s="1000">
        <v>7</v>
      </c>
      <c r="J88" s="1185">
        <f>I88-H88</f>
        <v>0</v>
      </c>
      <c r="K88" s="1186">
        <f>I88*(6/10)</f>
        <v>4.2</v>
      </c>
      <c r="L88" s="1187">
        <f>I88-K88</f>
        <v>2.8</v>
      </c>
      <c r="M88" s="964">
        <f>IF(K88&lt;&gt;0,J88/K88,"0%")</f>
        <v>0</v>
      </c>
      <c r="N88" s="1002"/>
      <c r="O88" s="966"/>
      <c r="P88" s="967"/>
      <c r="Q88" s="624" t="s">
        <v>187</v>
      </c>
      <c r="R88" s="181" t="s">
        <v>318</v>
      </c>
      <c r="S88" s="146">
        <v>2014</v>
      </c>
    </row>
    <row r="89" spans="1:19" ht="59.65" customHeight="1" x14ac:dyDescent="0.45">
      <c r="A89" s="836"/>
      <c r="B89" s="882"/>
      <c r="C89" s="885"/>
      <c r="D89" s="892"/>
      <c r="E89" s="893"/>
      <c r="F89" s="518" t="s">
        <v>78</v>
      </c>
      <c r="G89" s="623">
        <f>$E$88/3</f>
        <v>0.3968253968253968</v>
      </c>
      <c r="H89" s="999">
        <v>20.6</v>
      </c>
      <c r="I89" s="1000">
        <v>20.6</v>
      </c>
      <c r="J89" s="1185">
        <f>I89-H89</f>
        <v>0</v>
      </c>
      <c r="K89" s="1186">
        <f>I89*(6/10)</f>
        <v>12.360000000000001</v>
      </c>
      <c r="L89" s="1187">
        <f>I89-K89</f>
        <v>8.24</v>
      </c>
      <c r="M89" s="964">
        <f>IF(K89&lt;&gt;0,J89/K89,"0%")</f>
        <v>0</v>
      </c>
      <c r="N89" s="1002"/>
      <c r="O89" s="966"/>
      <c r="P89" s="967"/>
      <c r="Q89" s="624" t="s">
        <v>188</v>
      </c>
      <c r="R89" s="175" t="s">
        <v>313</v>
      </c>
      <c r="S89" s="146" t="s">
        <v>319</v>
      </c>
    </row>
    <row r="90" spans="1:19" ht="51.75" customHeight="1" thickBot="1" x14ac:dyDescent="0.5">
      <c r="A90" s="836"/>
      <c r="B90" s="882"/>
      <c r="C90" s="885"/>
      <c r="D90" s="892"/>
      <c r="E90" s="893"/>
      <c r="F90" s="518" t="s">
        <v>79</v>
      </c>
      <c r="G90" s="623">
        <f>$E$88/3</f>
        <v>0.3968253968253968</v>
      </c>
      <c r="H90" s="989"/>
      <c r="I90" s="990"/>
      <c r="J90" s="1185">
        <f>I90-H90</f>
        <v>0</v>
      </c>
      <c r="K90" s="1188">
        <f>(I90)*(6/10)</f>
        <v>0</v>
      </c>
      <c r="L90" s="1189">
        <f>I90-K90</f>
        <v>0</v>
      </c>
      <c r="M90" s="972" t="str">
        <f>IF(I90=0,"0%",J90/K90)</f>
        <v>0%</v>
      </c>
      <c r="N90" s="1002"/>
      <c r="O90" s="966"/>
      <c r="P90" s="967"/>
      <c r="Q90" s="625" t="s">
        <v>189</v>
      </c>
      <c r="R90" s="181"/>
      <c r="S90" s="146" t="s">
        <v>433</v>
      </c>
    </row>
    <row r="91" spans="1:19" ht="40.799999999999997" customHeight="1" thickBot="1" x14ac:dyDescent="0.5">
      <c r="A91" s="836"/>
      <c r="B91" s="883"/>
      <c r="C91" s="886"/>
      <c r="D91" s="508" t="s">
        <v>161</v>
      </c>
      <c r="E91" s="484">
        <f>$C$87/3</f>
        <v>1.1904761904761905</v>
      </c>
      <c r="F91" s="626" t="s">
        <v>80</v>
      </c>
      <c r="G91" s="627">
        <f>E91/1</f>
        <v>1.1904761904761905</v>
      </c>
      <c r="H91" s="1160">
        <v>50</v>
      </c>
      <c r="I91" s="1161">
        <v>25</v>
      </c>
      <c r="J91" s="1190">
        <f>H91-I91</f>
        <v>25</v>
      </c>
      <c r="K91" s="1173">
        <f>(100-I91)*(6/10)</f>
        <v>45</v>
      </c>
      <c r="L91" s="1191">
        <f>I91+K91</f>
        <v>70</v>
      </c>
      <c r="M91" s="972">
        <f>IF(I91&gt;=60,(1+(H91-60)/60),(H91/L91))</f>
        <v>0.7142857142857143</v>
      </c>
      <c r="N91" s="1004"/>
      <c r="O91" s="974"/>
      <c r="P91" s="942"/>
      <c r="Q91" s="628" t="s">
        <v>95</v>
      </c>
      <c r="R91" s="182"/>
      <c r="S91" s="256" t="s">
        <v>328</v>
      </c>
    </row>
    <row r="92" spans="1:19" ht="14.65" thickBot="1" x14ac:dyDescent="0.5">
      <c r="B92" s="684" t="s">
        <v>81</v>
      </c>
      <c r="C92" s="685"/>
      <c r="D92" s="685"/>
      <c r="E92" s="685"/>
      <c r="F92" s="686"/>
      <c r="G92" s="11"/>
      <c r="H92" s="1150"/>
      <c r="I92" s="1151"/>
      <c r="J92" s="1152"/>
      <c r="K92" s="1153"/>
      <c r="L92" s="1153"/>
      <c r="M92" s="1192"/>
      <c r="N92" s="918">
        <f>(N93+N97)/2</f>
        <v>0</v>
      </c>
      <c r="O92" s="919">
        <f>(O93+O97)</f>
        <v>0</v>
      </c>
      <c r="P92" s="920">
        <f>O92/14.285712</f>
        <v>0</v>
      </c>
      <c r="Q92" s="555"/>
      <c r="R92" s="162"/>
      <c r="S92" s="172"/>
    </row>
    <row r="93" spans="1:19" ht="20.45" customHeight="1" thickBot="1" x14ac:dyDescent="0.5">
      <c r="B93" s="820" t="s">
        <v>82</v>
      </c>
      <c r="C93" s="821"/>
      <c r="D93" s="821"/>
      <c r="E93" s="821"/>
      <c r="F93" s="822"/>
      <c r="G93" s="511"/>
      <c r="H93" s="1055"/>
      <c r="I93" s="1056"/>
      <c r="J93" s="997"/>
      <c r="K93" s="997"/>
      <c r="L93" s="997"/>
      <c r="M93" s="1099"/>
      <c r="N93" s="918">
        <f>N94</f>
        <v>0</v>
      </c>
      <c r="O93" s="919">
        <f>O94</f>
        <v>0</v>
      </c>
      <c r="P93" s="920">
        <f>O93/3.571428</f>
        <v>0</v>
      </c>
      <c r="Q93" s="551"/>
      <c r="R93" s="153"/>
      <c r="S93" s="163"/>
    </row>
    <row r="94" spans="1:19" ht="34.799999999999997" customHeight="1" thickBot="1" x14ac:dyDescent="0.5">
      <c r="A94" s="811">
        <v>25</v>
      </c>
      <c r="B94" s="823" t="s">
        <v>83</v>
      </c>
      <c r="C94" s="894">
        <f>M5</f>
        <v>3.5714285714285716</v>
      </c>
      <c r="D94" s="850" t="s">
        <v>214</v>
      </c>
      <c r="E94" s="552">
        <f>$C$94/3</f>
        <v>1.1904761904761905</v>
      </c>
      <c r="F94" s="513" t="s">
        <v>269</v>
      </c>
      <c r="G94" s="629">
        <f>E94/1</f>
        <v>1.1904761904761905</v>
      </c>
      <c r="H94" s="1079"/>
      <c r="I94" s="979"/>
      <c r="J94" s="1193">
        <f>H94-I94</f>
        <v>0</v>
      </c>
      <c r="K94" s="1194">
        <f>(100-I94)*(6/10)</f>
        <v>60</v>
      </c>
      <c r="L94" s="1195">
        <f>I94+K94</f>
        <v>60</v>
      </c>
      <c r="M94" s="930">
        <f>IF(K94&lt;&gt;0,J94/K94,"100%")</f>
        <v>0</v>
      </c>
      <c r="N94" s="1119">
        <f>(((G94/C94)*M94)+((G95/C94)*M95)+((G96/C94)*M96))</f>
        <v>0</v>
      </c>
      <c r="O94" s="958">
        <f>IF((((G94/C94)*M94)+((G95/C94)*M95)+((G96/C94)*M96))&gt;=1,3.571428,IF((((G94/C94)*M94)+((G95/C94)*M95)+((G96/C94)*M96))&lt;=0,0,(((G94/C94)*M94)+((G95/C94)*M95)+((G96/C94)*M96))*3.571428))</f>
        <v>0</v>
      </c>
      <c r="P94" s="933">
        <f>O94/3.571428</f>
        <v>0</v>
      </c>
      <c r="Q94" s="630" t="s">
        <v>190</v>
      </c>
      <c r="R94" s="139" t="s">
        <v>320</v>
      </c>
      <c r="S94" s="168" t="s">
        <v>391</v>
      </c>
    </row>
    <row r="95" spans="1:19" ht="39.6" customHeight="1" thickBot="1" x14ac:dyDescent="0.5">
      <c r="A95" s="811"/>
      <c r="B95" s="824"/>
      <c r="C95" s="895"/>
      <c r="D95" s="844"/>
      <c r="E95" s="631">
        <f t="shared" ref="E95:E96" si="31">$C$94/3</f>
        <v>1.1904761904761905</v>
      </c>
      <c r="F95" s="573" t="s">
        <v>270</v>
      </c>
      <c r="G95" s="623">
        <f>E95/1</f>
        <v>1.1904761904761905</v>
      </c>
      <c r="H95" s="1104"/>
      <c r="I95" s="1105"/>
      <c r="J95" s="1185">
        <f>IF(AND(I95&gt;1,(H95-I95=0)),(H95-1),(H95-I95))</f>
        <v>0</v>
      </c>
      <c r="K95" s="1040">
        <f>IF(AND(I95&gt;=1,H95&gt;=1),"0",((1-I95)*(6/10)))</f>
        <v>0.6</v>
      </c>
      <c r="L95" s="1196">
        <f t="shared" ref="L95:L96" si="32">I95+K95</f>
        <v>0.6</v>
      </c>
      <c r="M95" s="964">
        <f>IF(I95&gt;=1,(1+(H95-1)/1),(J95/K95))</f>
        <v>0</v>
      </c>
      <c r="N95" s="1122"/>
      <c r="O95" s="966"/>
      <c r="P95" s="967"/>
      <c r="Q95" s="632" t="s">
        <v>191</v>
      </c>
      <c r="R95" s="146" t="s">
        <v>321</v>
      </c>
      <c r="S95" s="168" t="s">
        <v>391</v>
      </c>
    </row>
    <row r="96" spans="1:19" ht="41.45" customHeight="1" thickBot="1" x14ac:dyDescent="0.5">
      <c r="A96" s="811"/>
      <c r="B96" s="861"/>
      <c r="C96" s="896"/>
      <c r="D96" s="851"/>
      <c r="E96" s="553">
        <f t="shared" si="31"/>
        <v>1.1904761904761905</v>
      </c>
      <c r="F96" s="526" t="s">
        <v>84</v>
      </c>
      <c r="G96" s="627">
        <f>E96/1</f>
        <v>1.1904761904761905</v>
      </c>
      <c r="H96" s="991"/>
      <c r="I96" s="992"/>
      <c r="J96" s="1190">
        <f>H96-I96</f>
        <v>0</v>
      </c>
      <c r="K96" s="1173">
        <f>(100-I96)*(6/10)</f>
        <v>60</v>
      </c>
      <c r="L96" s="1191">
        <f t="shared" si="32"/>
        <v>60</v>
      </c>
      <c r="M96" s="972">
        <f>IF(K96&lt;&gt;0,J96/K96,"100%")</f>
        <v>0</v>
      </c>
      <c r="N96" s="1130"/>
      <c r="O96" s="974"/>
      <c r="P96" s="942"/>
      <c r="Q96" s="633" t="s">
        <v>95</v>
      </c>
      <c r="R96" s="140"/>
      <c r="S96" s="168" t="s">
        <v>391</v>
      </c>
    </row>
    <row r="97" spans="1:19" ht="18" customHeight="1" thickBot="1" x14ac:dyDescent="0.5">
      <c r="B97" s="897" t="s">
        <v>85</v>
      </c>
      <c r="C97" s="898"/>
      <c r="D97" s="898"/>
      <c r="E97" s="898"/>
      <c r="F97" s="899"/>
      <c r="G97" s="634"/>
      <c r="H97" s="1197"/>
      <c r="I97" s="1198"/>
      <c r="J97" s="1199"/>
      <c r="K97" s="1200"/>
      <c r="L97" s="1200"/>
      <c r="M97" s="1201"/>
      <c r="N97" s="1202">
        <f>(N98+N99+N100)/3</f>
        <v>0</v>
      </c>
      <c r="O97" s="1203">
        <f>(O98+O99+O100)</f>
        <v>0</v>
      </c>
      <c r="P97" s="920">
        <f>O97/10.714284</f>
        <v>0</v>
      </c>
      <c r="Q97" s="635"/>
      <c r="R97" s="153"/>
      <c r="S97" s="153"/>
    </row>
    <row r="98" spans="1:19" ht="29.45" customHeight="1" thickBot="1" x14ac:dyDescent="0.5">
      <c r="A98" s="16">
        <v>26</v>
      </c>
      <c r="B98" s="529" t="s">
        <v>86</v>
      </c>
      <c r="C98" s="530">
        <f>$M$5</f>
        <v>3.5714285714285716</v>
      </c>
      <c r="D98" s="529" t="s">
        <v>215</v>
      </c>
      <c r="E98" s="530">
        <f>C98/1</f>
        <v>3.5714285714285716</v>
      </c>
      <c r="F98" s="591" t="s">
        <v>291</v>
      </c>
      <c r="G98" s="530">
        <f>E98/1</f>
        <v>3.5714285714285716</v>
      </c>
      <c r="H98" s="1131"/>
      <c r="I98" s="1132"/>
      <c r="J98" s="1204">
        <f>IF(I98=H98,(H98-10),H98-I98)</f>
        <v>-10</v>
      </c>
      <c r="K98" s="1027">
        <f>IF(I98&gt;=10,0,((10-I98)*(6/10)))</f>
        <v>6</v>
      </c>
      <c r="L98" s="1134">
        <f>I98+K98</f>
        <v>6</v>
      </c>
      <c r="M98" s="964" t="str">
        <f>IF(H98=0,"0%",J98/K98)</f>
        <v>0%</v>
      </c>
      <c r="N98" s="1135">
        <f>((G98/C98)*M98)</f>
        <v>0</v>
      </c>
      <c r="O98" s="1018">
        <f>IF(((G98/C98)*M98)&gt;=1,3.571428,IF(((G98/C98)*M98)&lt;=0,0,((G98/C98)*M98)*3.571428))</f>
        <v>0</v>
      </c>
      <c r="P98" s="920">
        <f>O98/3.571428</f>
        <v>0</v>
      </c>
      <c r="Q98" s="636" t="s">
        <v>95</v>
      </c>
      <c r="R98" s="183"/>
      <c r="S98" s="132" t="s">
        <v>384</v>
      </c>
    </row>
    <row r="99" spans="1:19" ht="46.9" thickBot="1" x14ac:dyDescent="0.5">
      <c r="A99" s="16">
        <v>27</v>
      </c>
      <c r="B99" s="529" t="s">
        <v>87</v>
      </c>
      <c r="C99" s="530">
        <f>$M$5</f>
        <v>3.5714285714285716</v>
      </c>
      <c r="D99" s="529" t="s">
        <v>216</v>
      </c>
      <c r="E99" s="530">
        <f>C99/1</f>
        <v>3.5714285714285716</v>
      </c>
      <c r="F99" s="591" t="s">
        <v>271</v>
      </c>
      <c r="G99" s="530">
        <f>E99/1</f>
        <v>3.5714285714285716</v>
      </c>
      <c r="H99" s="1205">
        <v>44.66</v>
      </c>
      <c r="I99" s="1132"/>
      <c r="J99" s="1204">
        <f>IF(I99=H99,(H99-75),H99-I99)</f>
        <v>44.66</v>
      </c>
      <c r="K99" s="1027">
        <f>IF(I99&gt;=75,0,((75-I99)*(6/10)))</f>
        <v>45</v>
      </c>
      <c r="L99" s="1148">
        <f>I99+K99</f>
        <v>45</v>
      </c>
      <c r="M99" s="964" t="str">
        <f>IF(I99=0,"0%",J99/K99)</f>
        <v>0%</v>
      </c>
      <c r="N99" s="1135">
        <f>((G99/C99)*M99)</f>
        <v>0</v>
      </c>
      <c r="O99" s="1018">
        <f>IF(((G99/C99)*M99)&gt;=1,3.571428,IF(((G99/C99)*M99)&lt;=0,0,((G99/C99)*M99)*3.571428))</f>
        <v>0</v>
      </c>
      <c r="P99" s="920">
        <f>O99/3.571428</f>
        <v>0</v>
      </c>
      <c r="Q99" s="636" t="s">
        <v>192</v>
      </c>
      <c r="R99" s="183" t="s">
        <v>434</v>
      </c>
      <c r="S99" s="252" t="s">
        <v>435</v>
      </c>
    </row>
    <row r="100" spans="1:19" ht="34.9" x14ac:dyDescent="0.45">
      <c r="A100" s="811">
        <v>28</v>
      </c>
      <c r="B100" s="900" t="s">
        <v>88</v>
      </c>
      <c r="C100" s="902">
        <f>M5</f>
        <v>3.5714285714285716</v>
      </c>
      <c r="D100" s="900" t="s">
        <v>217</v>
      </c>
      <c r="E100" s="902">
        <f>C100/1</f>
        <v>3.5714285714285716</v>
      </c>
      <c r="F100" s="569" t="s">
        <v>89</v>
      </c>
      <c r="G100" s="475">
        <f>$E$100/2</f>
        <v>1.7857142857142858</v>
      </c>
      <c r="H100" s="1079"/>
      <c r="I100" s="979"/>
      <c r="J100" s="1206">
        <f>IF(I100=H100,(25-H100),I100-H100)</f>
        <v>25</v>
      </c>
      <c r="K100" s="1081">
        <f>IF(I100&lt;=25,0,((0.25*I100)*(6/10)))</f>
        <v>0</v>
      </c>
      <c r="L100" s="1207">
        <f>I100-K100</f>
        <v>0</v>
      </c>
      <c r="M100" s="930" t="s">
        <v>392</v>
      </c>
      <c r="N100" s="1208">
        <f>((G100/$C$100)*M100)+((G101/$C$100)*M101)</f>
        <v>0</v>
      </c>
      <c r="O100" s="932">
        <f>IF((((G100/C100)*M100)+((G101/C100)*M101))&gt;=1,3.57148,IF((((G100/C100)*M100)+((G101/C100)*M101))&lt;=0,0, (((G100/C100)*M100)+((G101/C100)*M101))*3.571428))</f>
        <v>0</v>
      </c>
      <c r="P100" s="933">
        <f>O100/3.571428</f>
        <v>0</v>
      </c>
      <c r="Q100" s="637" t="s">
        <v>193</v>
      </c>
      <c r="R100" s="154" t="s">
        <v>308</v>
      </c>
      <c r="S100" s="132" t="s">
        <v>384</v>
      </c>
    </row>
    <row r="101" spans="1:19" ht="38.450000000000003" customHeight="1" thickBot="1" x14ac:dyDescent="0.5">
      <c r="A101" s="811"/>
      <c r="B101" s="901"/>
      <c r="C101" s="903"/>
      <c r="D101" s="901"/>
      <c r="E101" s="904"/>
      <c r="F101" s="526" t="s">
        <v>90</v>
      </c>
      <c r="G101" s="484">
        <f>$E$100/2</f>
        <v>1.7857142857142858</v>
      </c>
      <c r="H101" s="991"/>
      <c r="I101" s="992"/>
      <c r="J101" s="1209">
        <f>IF(I101=H101,(H101-25),H101-I101)</f>
        <v>-25</v>
      </c>
      <c r="K101" s="971">
        <f>IF(I101&gt;=25,0,((25-I101)*(6/10)))</f>
        <v>15</v>
      </c>
      <c r="L101" s="1210">
        <f t="shared" ref="L101" si="33">K101+I101</f>
        <v>15</v>
      </c>
      <c r="M101" s="964" t="str">
        <f>IF(H101=0,"0%",J101/K101)</f>
        <v>0%</v>
      </c>
      <c r="N101" s="1211"/>
      <c r="O101" s="941"/>
      <c r="P101" s="942"/>
      <c r="Q101" s="638" t="s">
        <v>95</v>
      </c>
      <c r="R101" s="157"/>
      <c r="S101" s="132" t="s">
        <v>384</v>
      </c>
    </row>
    <row r="102" spans="1:19" ht="34.25" customHeight="1" thickBot="1" x14ac:dyDescent="0.5">
      <c r="B102" s="639" t="s">
        <v>194</v>
      </c>
      <c r="C102" s="640">
        <f>C11+C13+C15+C19+C24+C33+C34+C35+C36+C38+C41+C44+C48+C51+C53+C61+C68+C71+C73+C75+C78+C81+C83+C87+C94+C98+C99+C100</f>
        <v>99.999999999999972</v>
      </c>
      <c r="D102" s="641"/>
      <c r="E102" s="640">
        <f>E11+E12+E13+E14+E15+E19+E20+E21+E22+E24+E25+E28+E31+E33+E34+E35+E36+E38+E39+E41+E42+E44+E45+E48+E49++E51+E53+E54+E55+E56+E57+E61+E62+E63+E64+E68+E71+E73+E75+E78+E81++E82+E83+E84+E85+E87+E88+E91+E94+E95+E96+E98+E99+E100</f>
        <v>100.00714285714285</v>
      </c>
      <c r="F102" s="642"/>
      <c r="G102" s="640">
        <f>G11+G12+G13+G14+G15+G16+G17+G19+G20+G21+G22+G24+G25+G26+G27+G28+G29+G30+G31+G33+G34+G35+G36+G38+G39+G41+G42+G44+G45+G48+G49+G51+G53+G54+G55+G56+G57+G58+G61+G62+G63+G64+G65+G66+G68+G71+G73+G75+G78+G81+G82+G83+G84+G85+G87+G88+G89+G90+G91+G94+G95+G96+G98+G99+G100+G101</f>
        <v>100.00714285714285</v>
      </c>
      <c r="H102" s="1212"/>
      <c r="I102" s="1213"/>
      <c r="J102" s="1212"/>
      <c r="K102" s="1214"/>
      <c r="L102" s="1215"/>
      <c r="M102" s="1216"/>
      <c r="N102" s="1217"/>
      <c r="O102" s="1218"/>
      <c r="P102" s="1218"/>
      <c r="Q102" s="643"/>
      <c r="R102" s="17"/>
      <c r="S102" s="18"/>
    </row>
    <row r="104" spans="1:19" ht="15.75" x14ac:dyDescent="0.5">
      <c r="B104" s="19"/>
    </row>
    <row r="107" spans="1:19" ht="15.75" x14ac:dyDescent="0.5">
      <c r="B107" s="19"/>
    </row>
    <row r="108" spans="1:19" x14ac:dyDescent="0.45">
      <c r="B108" s="20"/>
    </row>
    <row r="109" spans="1:19" x14ac:dyDescent="0.45">
      <c r="B109" s="20"/>
    </row>
    <row r="111" spans="1:19" x14ac:dyDescent="0.45">
      <c r="E111"/>
      <c r="F111" s="644" t="s">
        <v>196</v>
      </c>
    </row>
    <row r="112" spans="1:19" x14ac:dyDescent="0.45">
      <c r="E112" s="645">
        <v>1</v>
      </c>
      <c r="F112" s="645" t="s">
        <v>197</v>
      </c>
    </row>
    <row r="113" spans="5:6" x14ac:dyDescent="0.45">
      <c r="E113" s="645">
        <v>2</v>
      </c>
      <c r="F113" s="645" t="s">
        <v>227</v>
      </c>
    </row>
    <row r="114" spans="5:6" x14ac:dyDescent="0.45">
      <c r="E114" s="645">
        <v>3</v>
      </c>
      <c r="F114" s="645" t="s">
        <v>228</v>
      </c>
    </row>
    <row r="115" spans="5:6" x14ac:dyDescent="0.45">
      <c r="E115" s="645">
        <v>4</v>
      </c>
      <c r="F115" s="645" t="s">
        <v>229</v>
      </c>
    </row>
    <row r="116" spans="5:6" x14ac:dyDescent="0.45">
      <c r="E116" s="645">
        <v>5</v>
      </c>
      <c r="F116" s="645" t="s">
        <v>198</v>
      </c>
    </row>
    <row r="117" spans="5:6" x14ac:dyDescent="0.45">
      <c r="E117" s="645">
        <v>6</v>
      </c>
      <c r="F117" s="645" t="s">
        <v>230</v>
      </c>
    </row>
    <row r="118" spans="5:6" x14ac:dyDescent="0.45">
      <c r="E118" s="645">
        <v>7</v>
      </c>
      <c r="F118" s="645" t="s">
        <v>231</v>
      </c>
    </row>
    <row r="119" spans="5:6" x14ac:dyDescent="0.45">
      <c r="E119" s="645">
        <v>8</v>
      </c>
      <c r="F119" s="645" t="s">
        <v>199</v>
      </c>
    </row>
    <row r="120" spans="5:6" x14ac:dyDescent="0.45">
      <c r="E120" s="645">
        <v>9</v>
      </c>
      <c r="F120" s="645" t="s">
        <v>200</v>
      </c>
    </row>
    <row r="121" spans="5:6" x14ac:dyDescent="0.45">
      <c r="E121" s="645">
        <v>10</v>
      </c>
      <c r="F121" s="645" t="s">
        <v>201</v>
      </c>
    </row>
    <row r="122" spans="5:6" x14ac:dyDescent="0.45">
      <c r="E122" s="645">
        <v>11</v>
      </c>
      <c r="F122" s="645" t="s">
        <v>232</v>
      </c>
    </row>
    <row r="123" spans="5:6" x14ac:dyDescent="0.45">
      <c r="E123" s="645">
        <v>12</v>
      </c>
      <c r="F123" s="645" t="s">
        <v>202</v>
      </c>
    </row>
    <row r="124" spans="5:6" x14ac:dyDescent="0.45">
      <c r="E124" s="645">
        <f t="shared" ref="E124:E145" si="34">E123+1</f>
        <v>13</v>
      </c>
      <c r="F124" s="645" t="s">
        <v>203</v>
      </c>
    </row>
    <row r="125" spans="5:6" x14ac:dyDescent="0.45">
      <c r="E125" s="645">
        <v>14</v>
      </c>
      <c r="F125" s="645" t="s">
        <v>233</v>
      </c>
    </row>
    <row r="126" spans="5:6" x14ac:dyDescent="0.45">
      <c r="E126" s="645">
        <v>15</v>
      </c>
      <c r="F126" s="645" t="s">
        <v>234</v>
      </c>
    </row>
    <row r="127" spans="5:6" x14ac:dyDescent="0.45">
      <c r="E127" s="645">
        <v>16</v>
      </c>
      <c r="F127" s="645" t="s">
        <v>213</v>
      </c>
    </row>
    <row r="128" spans="5:6" x14ac:dyDescent="0.45">
      <c r="E128" s="645">
        <v>17</v>
      </c>
      <c r="F128" s="645" t="s">
        <v>235</v>
      </c>
    </row>
    <row r="129" spans="5:6" x14ac:dyDescent="0.45">
      <c r="E129" s="645">
        <v>18</v>
      </c>
      <c r="F129" s="645" t="s">
        <v>263</v>
      </c>
    </row>
    <row r="130" spans="5:6" x14ac:dyDescent="0.45">
      <c r="E130" s="645">
        <v>19</v>
      </c>
      <c r="F130" s="645" t="s">
        <v>204</v>
      </c>
    </row>
    <row r="131" spans="5:6" x14ac:dyDescent="0.45">
      <c r="E131" s="645">
        <v>20</v>
      </c>
      <c r="F131" s="645" t="s">
        <v>236</v>
      </c>
    </row>
    <row r="132" spans="5:6" x14ac:dyDescent="0.45">
      <c r="E132" s="645">
        <v>21</v>
      </c>
      <c r="F132" s="645" t="s">
        <v>237</v>
      </c>
    </row>
    <row r="133" spans="5:6" x14ac:dyDescent="0.45">
      <c r="E133" s="645">
        <v>22</v>
      </c>
      <c r="F133" s="645" t="s">
        <v>238</v>
      </c>
    </row>
    <row r="134" spans="5:6" x14ac:dyDescent="0.45">
      <c r="E134" s="645">
        <v>23</v>
      </c>
      <c r="F134" s="645" t="s">
        <v>205</v>
      </c>
    </row>
    <row r="135" spans="5:6" x14ac:dyDescent="0.45">
      <c r="E135" s="645">
        <v>24</v>
      </c>
      <c r="F135" s="645" t="s">
        <v>239</v>
      </c>
    </row>
    <row r="136" spans="5:6" x14ac:dyDescent="0.45">
      <c r="E136" s="645">
        <v>25</v>
      </c>
      <c r="F136" s="645" t="s">
        <v>240</v>
      </c>
    </row>
    <row r="137" spans="5:6" x14ac:dyDescent="0.45">
      <c r="E137" s="645">
        <v>26</v>
      </c>
      <c r="F137" s="645" t="s">
        <v>241</v>
      </c>
    </row>
    <row r="138" spans="5:6" x14ac:dyDescent="0.45">
      <c r="E138" s="645">
        <v>27</v>
      </c>
      <c r="F138" s="645" t="s">
        <v>206</v>
      </c>
    </row>
    <row r="139" spans="5:6" x14ac:dyDescent="0.45">
      <c r="E139" s="645">
        <v>28</v>
      </c>
      <c r="F139" s="645" t="s">
        <v>242</v>
      </c>
    </row>
    <row r="140" spans="5:6" x14ac:dyDescent="0.45">
      <c r="E140" s="645">
        <v>29</v>
      </c>
      <c r="F140" s="645" t="s">
        <v>243</v>
      </c>
    </row>
    <row r="141" spans="5:6" x14ac:dyDescent="0.45">
      <c r="E141" s="645">
        <v>30</v>
      </c>
      <c r="F141" s="645" t="s">
        <v>244</v>
      </c>
    </row>
    <row r="142" spans="5:6" x14ac:dyDescent="0.45">
      <c r="E142" s="645">
        <v>31</v>
      </c>
      <c r="F142" s="645" t="s">
        <v>245</v>
      </c>
    </row>
    <row r="143" spans="5:6" x14ac:dyDescent="0.45">
      <c r="E143" s="645">
        <v>32</v>
      </c>
      <c r="F143" s="645" t="s">
        <v>246</v>
      </c>
    </row>
    <row r="144" spans="5:6" x14ac:dyDescent="0.45">
      <c r="E144" s="645">
        <v>33</v>
      </c>
      <c r="F144" s="645" t="s">
        <v>207</v>
      </c>
    </row>
    <row r="145" spans="5:6" x14ac:dyDescent="0.45">
      <c r="E145" s="645">
        <f t="shared" si="34"/>
        <v>34</v>
      </c>
      <c r="F145" s="645" t="s">
        <v>208</v>
      </c>
    </row>
    <row r="146" spans="5:6" x14ac:dyDescent="0.45">
      <c r="E146" s="645">
        <v>35</v>
      </c>
      <c r="F146" s="645" t="s">
        <v>247</v>
      </c>
    </row>
    <row r="147" spans="5:6" x14ac:dyDescent="0.45">
      <c r="E147" s="645">
        <v>36</v>
      </c>
      <c r="F147" s="645" t="s">
        <v>248</v>
      </c>
    </row>
    <row r="148" spans="5:6" x14ac:dyDescent="0.45">
      <c r="E148" s="645">
        <v>36</v>
      </c>
      <c r="F148" s="645" t="s">
        <v>249</v>
      </c>
    </row>
    <row r="149" spans="5:6" x14ac:dyDescent="0.45">
      <c r="E149" s="645">
        <v>38</v>
      </c>
      <c r="F149" s="645" t="s">
        <v>250</v>
      </c>
    </row>
    <row r="150" spans="5:6" x14ac:dyDescent="0.45">
      <c r="E150" s="645">
        <v>39</v>
      </c>
      <c r="F150" s="645" t="s">
        <v>251</v>
      </c>
    </row>
    <row r="151" spans="5:6" x14ac:dyDescent="0.45">
      <c r="E151" s="645">
        <v>40</v>
      </c>
      <c r="F151" s="645" t="s">
        <v>209</v>
      </c>
    </row>
    <row r="152" spans="5:6" x14ac:dyDescent="0.45">
      <c r="E152" s="645">
        <v>41</v>
      </c>
      <c r="F152" s="645" t="s">
        <v>264</v>
      </c>
    </row>
    <row r="153" spans="5:6" x14ac:dyDescent="0.45">
      <c r="E153" s="645">
        <v>42</v>
      </c>
      <c r="F153" s="645" t="s">
        <v>252</v>
      </c>
    </row>
    <row r="154" spans="5:6" x14ac:dyDescent="0.45">
      <c r="E154" s="645">
        <v>43</v>
      </c>
      <c r="F154" s="645" t="s">
        <v>253</v>
      </c>
    </row>
    <row r="155" spans="5:6" x14ac:dyDescent="0.45">
      <c r="E155" s="645">
        <v>44</v>
      </c>
      <c r="F155" s="645" t="s">
        <v>254</v>
      </c>
    </row>
    <row r="156" spans="5:6" x14ac:dyDescent="0.45">
      <c r="E156" s="645">
        <v>45</v>
      </c>
      <c r="F156" s="645" t="s">
        <v>210</v>
      </c>
    </row>
    <row r="157" spans="5:6" x14ac:dyDescent="0.45">
      <c r="E157" s="645">
        <v>46</v>
      </c>
      <c r="F157" s="645" t="s">
        <v>255</v>
      </c>
    </row>
    <row r="158" spans="5:6" x14ac:dyDescent="0.45">
      <c r="E158" s="645">
        <v>47</v>
      </c>
      <c r="F158" s="645" t="s">
        <v>211</v>
      </c>
    </row>
    <row r="159" spans="5:6" x14ac:dyDescent="0.45">
      <c r="E159" s="645">
        <v>48</v>
      </c>
      <c r="F159" s="645" t="s">
        <v>256</v>
      </c>
    </row>
    <row r="160" spans="5:6" x14ac:dyDescent="0.45">
      <c r="E160" s="645">
        <v>49</v>
      </c>
      <c r="F160" s="645" t="s">
        <v>257</v>
      </c>
    </row>
    <row r="161" spans="5:6" x14ac:dyDescent="0.45">
      <c r="E161" s="645">
        <v>50</v>
      </c>
      <c r="F161" s="645" t="s">
        <v>260</v>
      </c>
    </row>
    <row r="162" spans="5:6" x14ac:dyDescent="0.45">
      <c r="E162" s="645">
        <v>51</v>
      </c>
      <c r="F162" s="645" t="s">
        <v>258</v>
      </c>
    </row>
    <row r="163" spans="5:6" x14ac:dyDescent="0.45">
      <c r="E163" s="645">
        <v>52</v>
      </c>
      <c r="F163" s="645" t="s">
        <v>212</v>
      </c>
    </row>
    <row r="164" spans="5:6" x14ac:dyDescent="0.45">
      <c r="E164" s="645">
        <v>53</v>
      </c>
      <c r="F164" s="645" t="s">
        <v>259</v>
      </c>
    </row>
    <row r="165" spans="5:6" x14ac:dyDescent="0.45">
      <c r="E165" s="645">
        <v>54</v>
      </c>
      <c r="F165" s="645" t="s">
        <v>261</v>
      </c>
    </row>
    <row r="166" spans="5:6" x14ac:dyDescent="0.45">
      <c r="E166" s="645">
        <v>55</v>
      </c>
      <c r="F166" s="645" t="s">
        <v>262</v>
      </c>
    </row>
    <row r="167" spans="5:6" x14ac:dyDescent="0.45">
      <c r="E167"/>
      <c r="F167"/>
    </row>
    <row r="168" spans="5:6" x14ac:dyDescent="0.45">
      <c r="E168"/>
      <c r="F168"/>
    </row>
  </sheetData>
  <sheetProtection algorithmName="SHA-512" hashValue="O5mRQMqKXAm1PWae3o2pqFgwMPS7n4u/au/5WSAQ9xrXY46HmQdfWS0cujws01IIh8+SQ4r/rvOc8jFr6iosyg==" saltValue="MSZjY/fyHMNrAYkSqU/vjw=="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11E85C2C-0B30-4D73-AC5B-49D0A0BA945A}">
      <formula1>$F$112:$F$166</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ACA02-455D-45EB-8ABF-7989EDBB852D}">
  <dimension ref="A1:AA168"/>
  <sheetViews>
    <sheetView topLeftCell="B1" zoomScale="60" zoomScaleNormal="60" workbookViewId="0">
      <selection activeCell="H9" sqref="H9:Q10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424"/>
      <c r="R1" s="3"/>
      <c r="S1" s="4"/>
      <c r="U1" s="425"/>
      <c r="V1" s="425"/>
      <c r="W1" s="425"/>
      <c r="X1" s="425"/>
      <c r="Y1" s="425"/>
      <c r="Z1" s="425"/>
      <c r="AA1" s="425"/>
    </row>
    <row r="2" spans="1:27" ht="30" x14ac:dyDescent="1.1000000000000001">
      <c r="B2" s="426"/>
      <c r="C2" s="427"/>
      <c r="D2" s="428" t="s">
        <v>286</v>
      </c>
      <c r="E2" s="427"/>
      <c r="F2" s="429"/>
      <c r="G2" s="429"/>
      <c r="H2" s="429"/>
      <c r="I2" s="429"/>
      <c r="J2" s="429"/>
      <c r="K2" s="429"/>
      <c r="L2" s="429"/>
      <c r="M2" s="429"/>
      <c r="N2" s="429"/>
      <c r="O2" s="429"/>
      <c r="P2" s="429"/>
      <c r="Q2" s="427"/>
      <c r="R2" s="429"/>
      <c r="S2" s="6"/>
    </row>
    <row r="3" spans="1:27" ht="14.65" thickBot="1" x14ac:dyDescent="0.5">
      <c r="B3" s="430"/>
      <c r="C3" s="431"/>
      <c r="D3" s="431"/>
      <c r="E3" s="431"/>
      <c r="F3" s="432"/>
      <c r="G3" s="432"/>
      <c r="H3" s="432"/>
      <c r="I3" s="432"/>
      <c r="J3" s="432"/>
      <c r="K3" s="432"/>
      <c r="L3" s="432"/>
      <c r="M3" s="432"/>
      <c r="N3" s="432"/>
      <c r="O3" s="432"/>
      <c r="P3" s="432"/>
      <c r="Q3" s="431"/>
      <c r="R3" s="432"/>
      <c r="S3" s="7"/>
    </row>
    <row r="4" spans="1:27" ht="26.45" customHeight="1" thickBot="1" x14ac:dyDescent="0.5">
      <c r="B4" s="430"/>
      <c r="C4" s="431"/>
      <c r="D4" s="433" t="s">
        <v>195</v>
      </c>
      <c r="E4" s="431"/>
      <c r="F4" s="8" t="s">
        <v>212</v>
      </c>
      <c r="G4" s="432"/>
      <c r="H4" s="432"/>
      <c r="I4" s="432"/>
      <c r="J4" s="432"/>
      <c r="K4" s="794" t="s">
        <v>381</v>
      </c>
      <c r="L4" s="795"/>
      <c r="M4" s="796"/>
      <c r="N4" s="905">
        <f>(N9+N46+N59+N69+N76+N79+N92)/7</f>
        <v>0.53522789211564126</v>
      </c>
      <c r="O4" s="906">
        <f>(O9+O46+O59+O69+O76+O79+O92)</f>
        <v>41.610249729304996</v>
      </c>
      <c r="P4" s="905">
        <f>O4/100</f>
        <v>0.41610249729304999</v>
      </c>
      <c r="Q4" s="431"/>
      <c r="R4" s="432"/>
      <c r="S4" s="7"/>
    </row>
    <row r="5" spans="1:27" ht="18.399999999999999" thickBot="1" x14ac:dyDescent="0.6">
      <c r="B5" s="797"/>
      <c r="C5" s="798"/>
      <c r="D5" s="798"/>
      <c r="E5" s="798"/>
      <c r="F5" s="798"/>
      <c r="G5" s="798"/>
      <c r="H5" s="798"/>
      <c r="I5" s="798"/>
      <c r="J5" s="798"/>
      <c r="K5" s="798"/>
      <c r="L5" s="59"/>
      <c r="M5" s="434">
        <f>100/28</f>
        <v>3.5714285714285716</v>
      </c>
      <c r="N5" s="9"/>
      <c r="O5" s="319"/>
      <c r="P5" s="319"/>
      <c r="Q5" s="435"/>
      <c r="R5" s="9"/>
      <c r="S5" s="10"/>
    </row>
    <row r="6" spans="1:27" ht="33.6" customHeight="1" thickBot="1" x14ac:dyDescent="0.5">
      <c r="B6" s="799"/>
      <c r="C6" s="800"/>
      <c r="D6" s="800"/>
      <c r="E6" s="800"/>
      <c r="F6" s="801"/>
      <c r="G6" s="436"/>
      <c r="H6" s="436"/>
      <c r="I6" s="436"/>
      <c r="J6" s="436"/>
      <c r="K6" s="436"/>
      <c r="L6" s="436"/>
      <c r="M6" s="436"/>
      <c r="N6" s="437"/>
      <c r="O6" s="438"/>
      <c r="P6" s="438"/>
      <c r="Q6" s="437"/>
      <c r="R6" s="12"/>
      <c r="S6" s="13"/>
    </row>
    <row r="7" spans="1:27" ht="55.8" customHeight="1" thickBot="1" x14ac:dyDescent="0.5">
      <c r="B7" s="802"/>
      <c r="C7" s="803"/>
      <c r="D7" s="803"/>
      <c r="E7" s="803"/>
      <c r="F7" s="804"/>
      <c r="G7" s="439"/>
      <c r="H7" s="440" t="s">
        <v>218</v>
      </c>
      <c r="I7" s="441" t="s">
        <v>219</v>
      </c>
      <c r="J7" s="442" t="s">
        <v>91</v>
      </c>
      <c r="K7" s="443" t="s">
        <v>107</v>
      </c>
      <c r="L7" s="443" t="s">
        <v>104</v>
      </c>
      <c r="M7" s="443" t="s">
        <v>105</v>
      </c>
      <c r="N7" s="441" t="s">
        <v>106</v>
      </c>
      <c r="O7" s="441" t="s">
        <v>382</v>
      </c>
      <c r="P7" s="444" t="s">
        <v>383</v>
      </c>
      <c r="Q7" s="445" t="s">
        <v>93</v>
      </c>
      <c r="R7" s="446" t="s">
        <v>110</v>
      </c>
      <c r="S7" s="447" t="s">
        <v>103</v>
      </c>
    </row>
    <row r="8" spans="1:27" ht="25.25" customHeight="1" thickBot="1" x14ac:dyDescent="0.5">
      <c r="B8" s="448" t="s">
        <v>2</v>
      </c>
      <c r="C8" s="448" t="s">
        <v>92</v>
      </c>
      <c r="D8" s="448" t="s">
        <v>3</v>
      </c>
      <c r="E8" s="448" t="s">
        <v>94</v>
      </c>
      <c r="F8" s="448" t="s">
        <v>102</v>
      </c>
      <c r="G8" s="448" t="s">
        <v>96</v>
      </c>
      <c r="H8" s="449"/>
      <c r="I8" s="450"/>
      <c r="J8" s="449"/>
      <c r="K8" s="451"/>
      <c r="L8" s="451"/>
      <c r="M8" s="448"/>
      <c r="N8" s="452"/>
      <c r="O8" s="453"/>
      <c r="P8" s="454"/>
      <c r="Q8" s="450"/>
      <c r="R8" s="452"/>
      <c r="S8" s="452"/>
      <c r="V8" s="455" t="s">
        <v>151</v>
      </c>
      <c r="W8" s="456"/>
      <c r="X8" s="456"/>
      <c r="Y8" s="456"/>
      <c r="Z8" s="457"/>
    </row>
    <row r="9" spans="1:27" s="122" customFormat="1" ht="25.25" customHeight="1" thickBot="1" x14ac:dyDescent="0.5">
      <c r="B9" s="805" t="s">
        <v>0</v>
      </c>
      <c r="C9" s="806"/>
      <c r="D9" s="806"/>
      <c r="E9" s="806"/>
      <c r="F9" s="807"/>
      <c r="G9" s="458"/>
      <c r="H9" s="914"/>
      <c r="I9" s="915"/>
      <c r="J9" s="916"/>
      <c r="K9" s="916"/>
      <c r="L9" s="916"/>
      <c r="M9" s="917"/>
      <c r="N9" s="918">
        <f>(N10+N18+N23+N32+N37+N40+N43)/7</f>
        <v>0.56240786503157048</v>
      </c>
      <c r="O9" s="919">
        <f>(O10+O18+O23+O32+O37+O40+O43)</f>
        <v>21.120526667765787</v>
      </c>
      <c r="P9" s="920">
        <f>O9/42.857136</f>
        <v>0.49281236776451393</v>
      </c>
      <c r="Q9" s="916"/>
      <c r="R9" s="460"/>
      <c r="S9" s="460"/>
      <c r="U9" s="461"/>
      <c r="V9" s="462"/>
      <c r="W9" s="463"/>
      <c r="X9" s="463"/>
      <c r="Y9" s="463"/>
      <c r="Z9" s="464"/>
      <c r="AA9" s="461"/>
    </row>
    <row r="10" spans="1:27" s="85" customFormat="1" ht="25.25" customHeight="1" thickBot="1" x14ac:dyDescent="0.5">
      <c r="B10" s="808" t="s">
        <v>1</v>
      </c>
      <c r="C10" s="809"/>
      <c r="D10" s="809"/>
      <c r="E10" s="809"/>
      <c r="F10" s="810"/>
      <c r="G10" s="465"/>
      <c r="H10" s="921"/>
      <c r="I10" s="922"/>
      <c r="J10" s="923"/>
      <c r="K10" s="923"/>
      <c r="L10" s="923"/>
      <c r="M10" s="924"/>
      <c r="N10" s="918">
        <f>(N11+N13+N15)/3</f>
        <v>0.82125100259121953</v>
      </c>
      <c r="O10" s="919">
        <f>(O11+O13+O15)</f>
        <v>8.7559224334441819</v>
      </c>
      <c r="P10" s="920">
        <f>O10/10.714284</f>
        <v>0.81721955787658629</v>
      </c>
      <c r="Q10" s="923"/>
      <c r="R10" s="467"/>
      <c r="S10" s="467"/>
      <c r="U10" s="468"/>
      <c r="V10" s="469"/>
      <c r="W10" s="470"/>
      <c r="X10" s="470"/>
      <c r="Y10" s="470"/>
      <c r="Z10" s="471"/>
      <c r="AA10" s="468"/>
    </row>
    <row r="11" spans="1:27" ht="27.6" customHeight="1" x14ac:dyDescent="0.45">
      <c r="A11" s="811">
        <v>1</v>
      </c>
      <c r="B11" s="816" t="s">
        <v>4</v>
      </c>
      <c r="C11" s="818">
        <f>M5</f>
        <v>3.5714285714285716</v>
      </c>
      <c r="D11" s="472" t="s">
        <v>111</v>
      </c>
      <c r="E11" s="473">
        <f>$C$11/2</f>
        <v>1.7857142857142858</v>
      </c>
      <c r="F11" s="474" t="s">
        <v>5</v>
      </c>
      <c r="G11" s="475">
        <f>E11/1</f>
        <v>1.7857142857142858</v>
      </c>
      <c r="H11" s="1219">
        <v>9104</v>
      </c>
      <c r="I11" s="1220">
        <v>6901.8</v>
      </c>
      <c r="J11" s="927">
        <f>(H11-I11)</f>
        <v>2202.1999999999998</v>
      </c>
      <c r="K11" s="928">
        <f>(0.3*I11)*6/10</f>
        <v>1242.3240000000001</v>
      </c>
      <c r="L11" s="929">
        <f>I11+K11</f>
        <v>8144.1239999999998</v>
      </c>
      <c r="M11" s="930">
        <f>IF(K11&lt;&gt;0,J11/K11,"0%")</f>
        <v>1.7726454612484341</v>
      </c>
      <c r="N11" s="931">
        <f>(((G11/C11)*M11)+((G12/C11)*M12))</f>
        <v>1.0121088941462295</v>
      </c>
      <c r="O11" s="983">
        <f>IF((((G11/C11)*M11)+((G12/C11)*M12))&gt;=1,3.57148,IF((((G11/C11)*M11)+((G12/C11)*M12))&lt;=0,0, (((G11/C11)*M11)+((G12/C11)*M12))*3.571428))</f>
        <v>3.5714800000000002</v>
      </c>
      <c r="P11" s="933">
        <f>O11/3.571428</f>
        <v>1.0000145600023296</v>
      </c>
      <c r="Q11" s="1221" t="s">
        <v>97</v>
      </c>
      <c r="R11" s="87"/>
      <c r="S11" s="337" t="s">
        <v>395</v>
      </c>
      <c r="V11" s="477" t="s">
        <v>109</v>
      </c>
      <c r="W11" s="478" t="e">
        <f>#REF!</f>
        <v>#REF!</v>
      </c>
      <c r="X11" s="479"/>
      <c r="Y11" s="479"/>
      <c r="Z11" s="480"/>
    </row>
    <row r="12" spans="1:27" ht="27" customHeight="1" thickBot="1" x14ac:dyDescent="0.5">
      <c r="A12" s="811"/>
      <c r="B12" s="817"/>
      <c r="C12" s="819"/>
      <c r="D12" s="481" t="s">
        <v>112</v>
      </c>
      <c r="E12" s="482">
        <f>$C$11/2</f>
        <v>1.7857142857142858</v>
      </c>
      <c r="F12" s="483" t="s">
        <v>281</v>
      </c>
      <c r="G12" s="484">
        <f>E12/1</f>
        <v>1.7857142857142858</v>
      </c>
      <c r="H12" s="1222">
        <v>15.3</v>
      </c>
      <c r="I12" s="1223">
        <v>15.9</v>
      </c>
      <c r="J12" s="936">
        <f>I12-H12</f>
        <v>0.59999999999999964</v>
      </c>
      <c r="K12" s="937">
        <f>(0.25*I12)*(6/10)</f>
        <v>2.3849999999999998</v>
      </c>
      <c r="L12" s="938">
        <f>I12-K12</f>
        <v>13.515000000000001</v>
      </c>
      <c r="M12" s="972">
        <f>IF(K12&lt;&gt;0,J12/K12,"0%")</f>
        <v>0.25157232704402505</v>
      </c>
      <c r="N12" s="940"/>
      <c r="O12" s="1224"/>
      <c r="P12" s="942"/>
      <c r="Q12" s="1225" t="s">
        <v>98</v>
      </c>
      <c r="R12" s="128" t="s">
        <v>396</v>
      </c>
      <c r="S12" s="48"/>
      <c r="V12" s="486">
        <v>0.02</v>
      </c>
      <c r="W12" s="487" t="e">
        <f>(W11-(W11*V12))</f>
        <v>#REF!</v>
      </c>
      <c r="X12" s="487" t="e">
        <f>W11-(V12*W11)</f>
        <v>#REF!</v>
      </c>
      <c r="Y12" s="479"/>
      <c r="Z12" s="480"/>
    </row>
    <row r="13" spans="1:27" ht="32.450000000000003" customHeight="1" x14ac:dyDescent="0.45">
      <c r="A13" s="811">
        <v>2</v>
      </c>
      <c r="B13" s="812" t="s">
        <v>6</v>
      </c>
      <c r="C13" s="814">
        <f>M5</f>
        <v>3.5714285714285716</v>
      </c>
      <c r="D13" s="488" t="s">
        <v>273</v>
      </c>
      <c r="E13" s="489">
        <f>$C$13/2</f>
        <v>1.7857142857142858</v>
      </c>
      <c r="F13" s="490" t="s">
        <v>7</v>
      </c>
      <c r="G13" s="646">
        <f>E13/1</f>
        <v>1.7857142857142858</v>
      </c>
      <c r="H13" s="1219">
        <v>1.5</v>
      </c>
      <c r="I13" s="1226">
        <v>2.2999999999999998</v>
      </c>
      <c r="J13" s="945">
        <f>IF(I13=H13,(5-H13),I13-H13)</f>
        <v>0.79999999999999982</v>
      </c>
      <c r="K13" s="946">
        <f>IF(I13&lt;=5,0,((I13-5)*(6/10)))</f>
        <v>0</v>
      </c>
      <c r="L13" s="947">
        <f>I13-K13</f>
        <v>2.2999999999999998</v>
      </c>
      <c r="M13" s="1083">
        <f>IF(I13&lt;=5,(1+(5-H13)/5),(J13/K13))</f>
        <v>1.7</v>
      </c>
      <c r="N13" s="931">
        <f>(((G13/C13)*M13)+((G14/C13)*M14))</f>
        <v>0.89385964912280447</v>
      </c>
      <c r="O13" s="983">
        <f>IF((((G13/C13)*M13)+((G14/C13)*M14))&gt;=1,3.57148,IF((((G13/C13)*M13)+((G14/C13)*M14))&lt;=0,0, (((G13/C13)*M13)+((G14/C13)*M14))*3.571428))</f>
        <v>3.1923553789473593</v>
      </c>
      <c r="P13" s="933">
        <f>O13/3.571428</f>
        <v>0.89385964912280447</v>
      </c>
      <c r="Q13" s="1227" t="s">
        <v>99</v>
      </c>
      <c r="R13" s="128" t="s">
        <v>397</v>
      </c>
      <c r="S13" s="188"/>
      <c r="V13" s="486">
        <v>0.02</v>
      </c>
      <c r="W13" s="487" t="e">
        <f>(#REF!-(#REF!*V13))</f>
        <v>#REF!</v>
      </c>
      <c r="X13" s="487" t="e">
        <f>(W11-(V12*W11))-((W11-(V12*W11))*0.02)-(((W11-(V12*W11))-((W11-(V12*W11))*0.02))*0.02)-(((W11-(V12*W11))-((W11-(V12*W11))*0.02)-(((W11-(V12*W11))-((W11-(V12*W11))*0.02))*0.02))*0.02)</f>
        <v>#REF!</v>
      </c>
      <c r="Y13" s="493" t="e">
        <f>(W11-W14)/W11</f>
        <v>#REF!</v>
      </c>
      <c r="Z13" s="480"/>
    </row>
    <row r="14" spans="1:27" ht="33" customHeight="1" thickBot="1" x14ac:dyDescent="0.5">
      <c r="A14" s="811"/>
      <c r="B14" s="813"/>
      <c r="C14" s="815"/>
      <c r="D14" s="481" t="s">
        <v>274</v>
      </c>
      <c r="E14" s="494">
        <f>$C$13/2</f>
        <v>1.7857142857142858</v>
      </c>
      <c r="F14" s="495" t="s">
        <v>8</v>
      </c>
      <c r="G14" s="647">
        <f>E14/1</f>
        <v>1.7857142857142858</v>
      </c>
      <c r="H14" s="1228">
        <v>98.1</v>
      </c>
      <c r="I14" s="1229">
        <v>98</v>
      </c>
      <c r="J14" s="950">
        <f>H14-I14</f>
        <v>9.9999999999994316E-2</v>
      </c>
      <c r="K14" s="951">
        <f>(0.95*(100-I14))*6/10</f>
        <v>1.1399999999999999</v>
      </c>
      <c r="L14" s="952">
        <f>K14+I14</f>
        <v>99.14</v>
      </c>
      <c r="M14" s="939">
        <f>IF(K14&lt;&gt;0,J14/K14,"1%")</f>
        <v>8.7719298245609062E-2</v>
      </c>
      <c r="N14" s="940"/>
      <c r="O14" s="1224"/>
      <c r="P14" s="942"/>
      <c r="Q14" s="1230" t="s">
        <v>100</v>
      </c>
      <c r="R14" s="88"/>
      <c r="S14" s="123"/>
      <c r="V14" s="498">
        <v>0.02</v>
      </c>
      <c r="W14" s="499" t="e">
        <f>(#REF!-(#REF!*V14))</f>
        <v>#REF!</v>
      </c>
      <c r="X14" s="499"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500" t="e">
        <f>W11-X14</f>
        <v>#REF!</v>
      </c>
      <c r="Z14" s="501"/>
    </row>
    <row r="15" spans="1:27" ht="22.25" customHeight="1" thickBot="1" x14ac:dyDescent="0.5">
      <c r="A15" s="836">
        <v>3</v>
      </c>
      <c r="B15" s="837" t="s">
        <v>9</v>
      </c>
      <c r="C15" s="839">
        <f>M5</f>
        <v>3.5714285714285716</v>
      </c>
      <c r="D15" s="837" t="s">
        <v>113</v>
      </c>
      <c r="E15" s="839">
        <f>$C$15/1</f>
        <v>3.5714285714285716</v>
      </c>
      <c r="F15" s="502" t="s">
        <v>221</v>
      </c>
      <c r="G15" s="503">
        <f>$E$15/3</f>
        <v>1.1904761904761905</v>
      </c>
      <c r="H15" s="1047">
        <v>99.8</v>
      </c>
      <c r="I15" s="1048">
        <v>99.7</v>
      </c>
      <c r="J15" s="955">
        <f>H15-I15</f>
        <v>9.9999999999994316E-2</v>
      </c>
      <c r="K15" s="956">
        <f>(0.5*I15)*6/10</f>
        <v>29.910000000000004</v>
      </c>
      <c r="L15" s="929">
        <f>I15+K15</f>
        <v>129.61000000000001</v>
      </c>
      <c r="M15" s="930">
        <f>IF(K15&lt;&gt;0,J15/K15,"0%")</f>
        <v>3.3433634236039551E-3</v>
      </c>
      <c r="N15" s="957">
        <f>(((G15/C15)*M15)+((G16/C15)*M16)+((G17/C15)*M17))</f>
        <v>0.55778446450462482</v>
      </c>
      <c r="O15" s="958">
        <f>IF((((G15/C15)*M15)+((G16/C15)*M16)+((G17/C15)*M17))&gt;=1,3.571428,IF((((G15/C15)*M15)+((G16/C15)*M16)+((G17/C15)*M17))&lt;=0,0,(((G15/C15)*M15)+((G16/C15)*M16)+((G17/C15)*M17))*3.571428))</f>
        <v>1.9920870544968232</v>
      </c>
      <c r="P15" s="933">
        <f>O15/3.571428</f>
        <v>0.55778446450462482</v>
      </c>
      <c r="Q15" s="1231" t="s">
        <v>101</v>
      </c>
      <c r="R15" s="129"/>
      <c r="S15" s="92"/>
    </row>
    <row r="16" spans="1:27" x14ac:dyDescent="0.45">
      <c r="A16" s="836"/>
      <c r="B16" s="837"/>
      <c r="C16" s="839"/>
      <c r="D16" s="837"/>
      <c r="E16" s="839"/>
      <c r="F16" s="505" t="s">
        <v>220</v>
      </c>
      <c r="G16" s="506">
        <f t="shared" ref="G16:G17" si="0">$E$15/3</f>
        <v>1.1904761904761905</v>
      </c>
      <c r="H16" s="1232">
        <v>99.8</v>
      </c>
      <c r="I16" s="1233">
        <v>99.7</v>
      </c>
      <c r="J16" s="961">
        <f>H16-I16</f>
        <v>9.9999999999994316E-2</v>
      </c>
      <c r="K16" s="962">
        <f>(0.5*I16)*6/10</f>
        <v>29.910000000000004</v>
      </c>
      <c r="L16" s="963">
        <f t="shared" ref="L16:L17" si="1">I16+K16</f>
        <v>129.61000000000001</v>
      </c>
      <c r="M16" s="964">
        <f>IF(K16&lt;&gt;0,J16/K16,"0%")</f>
        <v>3.3433634236039551E-3</v>
      </c>
      <c r="N16" s="965"/>
      <c r="O16" s="1234"/>
      <c r="P16" s="967"/>
      <c r="Q16" s="1235" t="s">
        <v>95</v>
      </c>
      <c r="R16" s="130"/>
      <c r="S16" s="95"/>
    </row>
    <row r="17" spans="1:19" ht="25.25" customHeight="1" thickBot="1" x14ac:dyDescent="0.5">
      <c r="A17" s="836"/>
      <c r="B17" s="838"/>
      <c r="C17" s="840"/>
      <c r="D17" s="838"/>
      <c r="E17" s="840"/>
      <c r="F17" s="508" t="s">
        <v>10</v>
      </c>
      <c r="G17" s="509">
        <f t="shared" si="0"/>
        <v>1.1904761904761905</v>
      </c>
      <c r="H17" s="1236">
        <v>64.5</v>
      </c>
      <c r="I17" s="1237">
        <v>43</v>
      </c>
      <c r="J17" s="970">
        <f>H17-I17</f>
        <v>21.5</v>
      </c>
      <c r="K17" s="971">
        <f>(0.5*I17)*6/10</f>
        <v>12.9</v>
      </c>
      <c r="L17" s="938">
        <f t="shared" si="1"/>
        <v>55.9</v>
      </c>
      <c r="M17" s="972">
        <f>IF(K17&lt;&gt;0,J17/K17,"0%")</f>
        <v>1.6666666666666665</v>
      </c>
      <c r="N17" s="973"/>
      <c r="O17" s="1238"/>
      <c r="P17" s="967"/>
      <c r="Q17" s="1239" t="s">
        <v>162</v>
      </c>
      <c r="R17" s="131"/>
      <c r="S17" s="94"/>
    </row>
    <row r="18" spans="1:19" ht="21.4" thickBot="1" x14ac:dyDescent="0.7">
      <c r="A18" s="14"/>
      <c r="B18" s="831" t="s">
        <v>11</v>
      </c>
      <c r="C18" s="832"/>
      <c r="D18" s="832"/>
      <c r="E18" s="832"/>
      <c r="F18" s="833"/>
      <c r="G18" s="511"/>
      <c r="H18" s="1240"/>
      <c r="I18" s="1241"/>
      <c r="J18" s="977"/>
      <c r="K18" s="977"/>
      <c r="L18" s="977"/>
      <c r="M18" s="978"/>
      <c r="N18" s="918">
        <f>N19</f>
        <v>0.1142132135073597</v>
      </c>
      <c r="O18" s="919">
        <f>O19</f>
        <v>0.40790426869016266</v>
      </c>
      <c r="P18" s="920">
        <f>O18/3.571428</f>
        <v>0.1142132135073597</v>
      </c>
      <c r="Q18" s="977"/>
      <c r="R18" s="328"/>
      <c r="S18" s="329"/>
    </row>
    <row r="19" spans="1:19" ht="34.25" customHeight="1" thickBot="1" x14ac:dyDescent="0.5">
      <c r="A19" s="811">
        <v>4</v>
      </c>
      <c r="B19" s="823" t="s">
        <v>12</v>
      </c>
      <c r="C19" s="827">
        <f>M5</f>
        <v>3.5714285714285716</v>
      </c>
      <c r="D19" s="513" t="s">
        <v>114</v>
      </c>
      <c r="E19" s="475">
        <f>$C$19/4</f>
        <v>0.8928571428571429</v>
      </c>
      <c r="F19" s="514" t="s">
        <v>222</v>
      </c>
      <c r="G19" s="503">
        <f>E19/1</f>
        <v>0.8928571428571429</v>
      </c>
      <c r="H19" s="1232">
        <v>88</v>
      </c>
      <c r="I19" s="1233">
        <v>84.2</v>
      </c>
      <c r="J19" s="980">
        <f>H19-I19</f>
        <v>3.7999999999999972</v>
      </c>
      <c r="K19" s="956">
        <f>(2*I19)*6/10</f>
        <v>101.04</v>
      </c>
      <c r="L19" s="981">
        <f t="shared" ref="L19:L22" si="2">K19+I19</f>
        <v>185.24</v>
      </c>
      <c r="M19" s="930">
        <f>IF(K19&lt;&gt;0,J19/K19,"0%")</f>
        <v>3.7608867775138527E-2</v>
      </c>
      <c r="N19" s="982">
        <f>(((G19/C19)*M19)+((G20/C19)*M20)+((G21/C19)*M21)+((G22/C19)*M22))</f>
        <v>0.1142132135073597</v>
      </c>
      <c r="O19" s="983">
        <f>IF((((G19/C19)*M19)+((G20/C19)*M20)+((G21/C19)*M21)+((G22/C19)*M22))&gt;=1,3.571428,IF((((G19/C19)*M19)+((G20/C19)*M20)+((G21/C19)*M21)+((G22/C19)*M22))&lt;=0,0,((((G19/C19)*M19)+((G20/C19)*M20)+((G21/C19)*M21)+((G22/C19)*M22))*3.571428)))</f>
        <v>0.40790426869016266</v>
      </c>
      <c r="P19" s="933">
        <f>O19/3.571428</f>
        <v>0.1142132135073597</v>
      </c>
      <c r="Q19" s="1242" t="s">
        <v>163</v>
      </c>
      <c r="R19" s="89" t="s">
        <v>398</v>
      </c>
      <c r="S19" s="51"/>
    </row>
    <row r="20" spans="1:19" ht="39" customHeight="1" thickBot="1" x14ac:dyDescent="0.5">
      <c r="A20" s="811"/>
      <c r="B20" s="824"/>
      <c r="C20" s="828"/>
      <c r="D20" s="516" t="s">
        <v>152</v>
      </c>
      <c r="E20" s="517">
        <f>($C$19/4)</f>
        <v>0.8928571428571429</v>
      </c>
      <c r="F20" s="518" t="s">
        <v>265</v>
      </c>
      <c r="G20" s="506">
        <f>E20/1</f>
        <v>0.8928571428571429</v>
      </c>
      <c r="H20" s="1243">
        <v>99.2</v>
      </c>
      <c r="I20" s="1111">
        <v>99</v>
      </c>
      <c r="J20" s="986">
        <f t="shared" ref="J20:J24" si="3">H20-I20</f>
        <v>0.20000000000000284</v>
      </c>
      <c r="K20" s="962">
        <f>(100-I20)*(6/10)</f>
        <v>0.6</v>
      </c>
      <c r="L20" s="987">
        <f t="shared" si="2"/>
        <v>99.6</v>
      </c>
      <c r="M20" s="964">
        <f>IF(K20&lt;&gt;0,J20/K20,"0%")</f>
        <v>0.33333333333333809</v>
      </c>
      <c r="N20" s="988"/>
      <c r="O20" s="1244"/>
      <c r="P20" s="967"/>
      <c r="Q20" s="1245" t="s">
        <v>164</v>
      </c>
      <c r="R20" s="89" t="s">
        <v>398</v>
      </c>
      <c r="S20" s="53"/>
    </row>
    <row r="21" spans="1:19" ht="56.45" customHeight="1" thickBot="1" x14ac:dyDescent="0.5">
      <c r="A21" s="811"/>
      <c r="B21" s="824"/>
      <c r="C21" s="828"/>
      <c r="D21" s="516" t="s">
        <v>153</v>
      </c>
      <c r="E21" s="517">
        <f t="shared" ref="E21:E22" si="4">($C$19/4)</f>
        <v>0.8928571428571429</v>
      </c>
      <c r="F21" s="518" t="s">
        <v>155</v>
      </c>
      <c r="G21" s="506">
        <f>E21/1</f>
        <v>0.8928571428571429</v>
      </c>
      <c r="H21" s="1246">
        <v>50</v>
      </c>
      <c r="I21" s="1247"/>
      <c r="J21" s="986">
        <f t="shared" si="3"/>
        <v>50</v>
      </c>
      <c r="K21" s="962">
        <f>(0.3*I21)*6/10</f>
        <v>0</v>
      </c>
      <c r="L21" s="987">
        <f t="shared" si="2"/>
        <v>0</v>
      </c>
      <c r="M21" s="964" t="str">
        <f>IF(K21&lt;&gt;0,J21/K21,"0%")</f>
        <v>0%</v>
      </c>
      <c r="N21" s="988"/>
      <c r="O21" s="1244"/>
      <c r="P21" s="967"/>
      <c r="Q21" s="1245" t="s">
        <v>165</v>
      </c>
      <c r="R21" s="89" t="s">
        <v>398</v>
      </c>
      <c r="S21" s="337" t="s">
        <v>399</v>
      </c>
    </row>
    <row r="22" spans="1:19" ht="36.6" customHeight="1" thickBot="1" x14ac:dyDescent="0.5">
      <c r="A22" s="811"/>
      <c r="B22" s="834"/>
      <c r="C22" s="835"/>
      <c r="D22" s="495" t="s">
        <v>154</v>
      </c>
      <c r="E22" s="520">
        <f t="shared" si="4"/>
        <v>0.8928571428571429</v>
      </c>
      <c r="F22" s="521" t="s">
        <v>156</v>
      </c>
      <c r="G22" s="522">
        <f>E22/1</f>
        <v>0.8928571428571429</v>
      </c>
      <c r="H22" s="1248">
        <v>81.599999999999994</v>
      </c>
      <c r="I22" s="1249">
        <v>80.599999999999994</v>
      </c>
      <c r="J22" s="993">
        <f t="shared" si="3"/>
        <v>1</v>
      </c>
      <c r="K22" s="971">
        <f>(100-I22)*(6/10)</f>
        <v>11.640000000000002</v>
      </c>
      <c r="L22" s="994">
        <f t="shared" si="2"/>
        <v>92.24</v>
      </c>
      <c r="M22" s="972">
        <f>IF(K22&lt;&gt;0,J22/K22,"100%")</f>
        <v>8.5910652920962186E-2</v>
      </c>
      <c r="N22" s="995"/>
      <c r="O22" s="1224"/>
      <c r="P22" s="942"/>
      <c r="Q22" s="1250" t="s">
        <v>95</v>
      </c>
      <c r="R22" s="89" t="s">
        <v>398</v>
      </c>
      <c r="S22" s="53"/>
    </row>
    <row r="23" spans="1:19" ht="20.45" customHeight="1" thickBot="1" x14ac:dyDescent="0.5">
      <c r="B23" s="820" t="s">
        <v>13</v>
      </c>
      <c r="C23" s="821"/>
      <c r="D23" s="821"/>
      <c r="E23" s="821"/>
      <c r="F23" s="822"/>
      <c r="G23" s="511"/>
      <c r="H23" s="1240"/>
      <c r="I23" s="1241"/>
      <c r="J23" s="996"/>
      <c r="K23" s="997"/>
      <c r="L23" s="997"/>
      <c r="M23" s="978"/>
      <c r="N23" s="918">
        <f>N24</f>
        <v>0.47079714679598583</v>
      </c>
      <c r="O23" s="919">
        <f>O24</f>
        <v>1.6814181123872942</v>
      </c>
      <c r="P23" s="920">
        <f>O23/3.571428</f>
        <v>0.47079714679598589</v>
      </c>
      <c r="Q23" s="977"/>
      <c r="R23" s="324"/>
      <c r="S23" s="324"/>
    </row>
    <row r="24" spans="1:19" ht="36" customHeight="1" x14ac:dyDescent="0.45">
      <c r="A24" s="811">
        <v>5</v>
      </c>
      <c r="B24" s="823" t="s">
        <v>14</v>
      </c>
      <c r="C24" s="827">
        <f>M5</f>
        <v>3.5714285714285716</v>
      </c>
      <c r="D24" s="513" t="s">
        <v>115</v>
      </c>
      <c r="E24" s="475">
        <f>$C$24/4</f>
        <v>0.8928571428571429</v>
      </c>
      <c r="F24" s="513" t="s">
        <v>280</v>
      </c>
      <c r="G24" s="475">
        <f>E24/1</f>
        <v>0.8928571428571429</v>
      </c>
      <c r="H24" s="1251"/>
      <c r="I24" s="1252"/>
      <c r="J24" s="998">
        <f t="shared" si="3"/>
        <v>0</v>
      </c>
      <c r="K24" s="956">
        <f>(0.3*I24)*6/10</f>
        <v>0</v>
      </c>
      <c r="L24" s="981">
        <f>K24+I24</f>
        <v>0</v>
      </c>
      <c r="M24" s="930" t="str">
        <f t="shared" ref="M24:M30" si="5">IF(K24&lt;&gt;0,J24/K24,"0%")</f>
        <v>0%</v>
      </c>
      <c r="N24" s="982">
        <f>(((G24/C24)*M24)+((G25/C24)*M25)+ ((G26/C24)*M26)+((G27/C24)*M27)+((G28/C24)*M28)+((G29/C24)*M29)+((G30/C24)*M30)+((G31/C24)*M31))</f>
        <v>0.47079714679598583</v>
      </c>
      <c r="O24" s="983">
        <f>IF((((G24/C24)*M24)+((G25/C24)*M25)+ ((G26/C24)*M26)+((G27/C24)*M27)+((G28/C24)*M28)+((G29/C24)*M29)+((G30/C24)*M30)+((G31/C24)*M31))&gt;=1,3.571428,IF((((G24/C24)*M24)+((G25/C24)*M25)+ ((G26/C24)*M26)+((G27/C24)*M27)+((G28/C24)*M28)+((G29/C24)*M29)+((G30/C24)*M30)+((G31/C24)*M31))&lt;=0,0,((((G24/C24)*M24)+((G25/C24)*M25)+ ((G26/C24)*M26)+((G27/C24)*M27)+((G28/C24)*M28)+((G29/C24)*M29)+((G30/C24)*M30)+((G31/C24)*M31))*3.571428)))</f>
        <v>1.6814181123872942</v>
      </c>
      <c r="P24" s="933">
        <f>O24/3.571428</f>
        <v>0.47079714679598589</v>
      </c>
      <c r="Q24" s="1253" t="s">
        <v>166</v>
      </c>
      <c r="R24" s="51"/>
      <c r="S24" s="51"/>
    </row>
    <row r="25" spans="1:19" ht="19.8" customHeight="1" x14ac:dyDescent="0.45">
      <c r="A25" s="811"/>
      <c r="B25" s="824"/>
      <c r="C25" s="828"/>
      <c r="D25" s="844" t="s">
        <v>158</v>
      </c>
      <c r="E25" s="846">
        <v>0.9</v>
      </c>
      <c r="F25" s="516" t="s">
        <v>15</v>
      </c>
      <c r="G25" s="517">
        <f>$E$25/3</f>
        <v>0.3</v>
      </c>
      <c r="H25" s="1254">
        <v>25.9</v>
      </c>
      <c r="I25" s="1255">
        <v>44.8</v>
      </c>
      <c r="J25" s="1001">
        <f t="shared" ref="J25:J30" si="6">I25-H25</f>
        <v>18.899999999999999</v>
      </c>
      <c r="K25" s="962">
        <f>(0.5*I25)*6/10</f>
        <v>13.439999999999998</v>
      </c>
      <c r="L25" s="987">
        <f t="shared" ref="L25:L30" si="7">I25-K25</f>
        <v>31.36</v>
      </c>
      <c r="M25" s="964">
        <f t="shared" si="5"/>
        <v>1.4062500000000002</v>
      </c>
      <c r="N25" s="988"/>
      <c r="O25" s="1244"/>
      <c r="P25" s="967"/>
      <c r="Q25" s="1256" t="s">
        <v>167</v>
      </c>
      <c r="R25" s="337" t="s">
        <v>400</v>
      </c>
      <c r="S25" s="53"/>
    </row>
    <row r="26" spans="1:19" ht="19.8" customHeight="1" x14ac:dyDescent="0.45">
      <c r="A26" s="811"/>
      <c r="B26" s="824"/>
      <c r="C26" s="828"/>
      <c r="D26" s="845"/>
      <c r="E26" s="829"/>
      <c r="F26" s="516" t="s">
        <v>16</v>
      </c>
      <c r="G26" s="517">
        <f t="shared" ref="G26:G27" si="8">$E$25/3</f>
        <v>0.3</v>
      </c>
      <c r="H26" s="1254">
        <v>9</v>
      </c>
      <c r="I26" s="1255">
        <v>11</v>
      </c>
      <c r="J26" s="1001">
        <f t="shared" si="6"/>
        <v>2</v>
      </c>
      <c r="K26" s="962">
        <f>(0.8*I26)*6/10</f>
        <v>5.28</v>
      </c>
      <c r="L26" s="987">
        <f t="shared" si="7"/>
        <v>5.72</v>
      </c>
      <c r="M26" s="964">
        <f t="shared" si="5"/>
        <v>0.37878787878787878</v>
      </c>
      <c r="N26" s="988"/>
      <c r="O26" s="1244"/>
      <c r="P26" s="967"/>
      <c r="Q26" s="1256" t="s">
        <v>168</v>
      </c>
      <c r="R26" s="337" t="s">
        <v>397</v>
      </c>
      <c r="S26" s="53"/>
    </row>
    <row r="27" spans="1:19" ht="19.8" customHeight="1" x14ac:dyDescent="0.45">
      <c r="A27" s="811"/>
      <c r="B27" s="824"/>
      <c r="C27" s="828"/>
      <c r="D27" s="845"/>
      <c r="E27" s="829"/>
      <c r="F27" s="516" t="s">
        <v>17</v>
      </c>
      <c r="G27" s="517">
        <f t="shared" si="8"/>
        <v>0.3</v>
      </c>
      <c r="H27" s="1254">
        <v>16.7</v>
      </c>
      <c r="I27" s="1255">
        <v>19</v>
      </c>
      <c r="J27" s="1001">
        <f t="shared" si="6"/>
        <v>2.3000000000000007</v>
      </c>
      <c r="K27" s="962">
        <f>(0.5*I27)*(6/10)</f>
        <v>5.7</v>
      </c>
      <c r="L27" s="987">
        <f t="shared" si="7"/>
        <v>13.3</v>
      </c>
      <c r="M27" s="964">
        <f t="shared" si="5"/>
        <v>0.40350877192982465</v>
      </c>
      <c r="N27" s="988"/>
      <c r="O27" s="1244"/>
      <c r="P27" s="967"/>
      <c r="Q27" s="1256" t="s">
        <v>169</v>
      </c>
      <c r="R27" s="337" t="s">
        <v>397</v>
      </c>
      <c r="S27" s="53"/>
    </row>
    <row r="28" spans="1:19" ht="30.6" customHeight="1" x14ac:dyDescent="0.45">
      <c r="A28" s="16"/>
      <c r="B28" s="824"/>
      <c r="C28" s="828"/>
      <c r="D28" s="844" t="s">
        <v>116</v>
      </c>
      <c r="E28" s="846">
        <f t="shared" ref="E28:E31" si="9">$C$24/4</f>
        <v>0.8928571428571429</v>
      </c>
      <c r="F28" s="516" t="s">
        <v>148</v>
      </c>
      <c r="G28" s="517">
        <f>$E$28/3</f>
        <v>0.29761904761904762</v>
      </c>
      <c r="H28" s="1254">
        <v>0.01</v>
      </c>
      <c r="I28" s="1255">
        <v>8.5000000000000006E-3</v>
      </c>
      <c r="J28" s="1001">
        <f t="shared" si="6"/>
        <v>-1.4999999999999996E-3</v>
      </c>
      <c r="K28" s="962">
        <f>(0.5*I28)*(6/10)</f>
        <v>2.5500000000000002E-3</v>
      </c>
      <c r="L28" s="987">
        <f t="shared" si="7"/>
        <v>5.9500000000000004E-3</v>
      </c>
      <c r="M28" s="964">
        <f t="shared" si="5"/>
        <v>-0.58823529411764686</v>
      </c>
      <c r="N28" s="1002"/>
      <c r="O28" s="1244"/>
      <c r="P28" s="967"/>
      <c r="Q28" s="1256" t="s">
        <v>170</v>
      </c>
      <c r="R28" s="337" t="s">
        <v>401</v>
      </c>
      <c r="S28" s="53"/>
    </row>
    <row r="29" spans="1:19" ht="20.45" customHeight="1" x14ac:dyDescent="0.45">
      <c r="A29" s="16"/>
      <c r="B29" s="824"/>
      <c r="C29" s="828"/>
      <c r="D29" s="845"/>
      <c r="E29" s="829"/>
      <c r="F29" s="516" t="s">
        <v>149</v>
      </c>
      <c r="G29" s="517">
        <f t="shared" ref="G29:G30" si="10">$E$28/3</f>
        <v>0.29761904761904762</v>
      </c>
      <c r="H29" s="1254">
        <v>29</v>
      </c>
      <c r="I29" s="1255">
        <v>42</v>
      </c>
      <c r="J29" s="1001">
        <f t="shared" si="6"/>
        <v>13</v>
      </c>
      <c r="K29" s="962">
        <f>(0.5*I29)*(6/10)</f>
        <v>12.6</v>
      </c>
      <c r="L29" s="987">
        <f t="shared" si="7"/>
        <v>29.4</v>
      </c>
      <c r="M29" s="964">
        <f t="shared" si="5"/>
        <v>1.0317460317460319</v>
      </c>
      <c r="N29" s="1002"/>
      <c r="O29" s="1244"/>
      <c r="P29" s="967"/>
      <c r="Q29" s="1256" t="s">
        <v>171</v>
      </c>
      <c r="R29" s="124"/>
      <c r="S29" s="53"/>
    </row>
    <row r="30" spans="1:19" ht="20.45" customHeight="1" x14ac:dyDescent="0.45">
      <c r="A30" s="16"/>
      <c r="B30" s="825"/>
      <c r="C30" s="829"/>
      <c r="D30" s="845"/>
      <c r="E30" s="829"/>
      <c r="F30" s="516" t="s">
        <v>150</v>
      </c>
      <c r="G30" s="517">
        <f t="shared" si="10"/>
        <v>0.29761904761904762</v>
      </c>
      <c r="H30" s="1257"/>
      <c r="I30" s="1258"/>
      <c r="J30" s="1001">
        <f t="shared" si="6"/>
        <v>0</v>
      </c>
      <c r="K30" s="962">
        <f>(0.5*I30)*(6/10)</f>
        <v>0</v>
      </c>
      <c r="L30" s="987">
        <f t="shared" si="7"/>
        <v>0</v>
      </c>
      <c r="M30" s="964" t="str">
        <f t="shared" si="5"/>
        <v>0%</v>
      </c>
      <c r="N30" s="1002"/>
      <c r="O30" s="1244"/>
      <c r="P30" s="967"/>
      <c r="Q30" s="1256" t="s">
        <v>172</v>
      </c>
      <c r="R30" s="124"/>
      <c r="S30" s="338" t="s">
        <v>402</v>
      </c>
    </row>
    <row r="31" spans="1:19" ht="34.9" customHeight="1" thickBot="1" x14ac:dyDescent="0.5">
      <c r="A31" s="16"/>
      <c r="B31" s="826"/>
      <c r="C31" s="830"/>
      <c r="D31" s="526" t="s">
        <v>117</v>
      </c>
      <c r="E31" s="484">
        <f t="shared" si="9"/>
        <v>0.8928571428571429</v>
      </c>
      <c r="F31" s="527" t="s">
        <v>223</v>
      </c>
      <c r="G31" s="484">
        <f>E31/1</f>
        <v>0.8928571428571429</v>
      </c>
      <c r="H31" s="1259">
        <v>100</v>
      </c>
      <c r="I31" s="1260">
        <v>100</v>
      </c>
      <c r="J31" s="1003">
        <f t="shared" ref="J31" si="11">H31-I31</f>
        <v>0</v>
      </c>
      <c r="K31" s="971">
        <f>(100-I31)*(6/10)</f>
        <v>0</v>
      </c>
      <c r="L31" s="994">
        <f>K31+I31</f>
        <v>100</v>
      </c>
      <c r="M31" s="939" t="str">
        <f>IF(K31&lt;&gt;0,J31/K31,"100%")</f>
        <v>100%</v>
      </c>
      <c r="N31" s="1004"/>
      <c r="O31" s="1224"/>
      <c r="P31" s="942"/>
      <c r="Q31" s="1261" t="s">
        <v>95</v>
      </c>
      <c r="R31" s="337" t="s">
        <v>401</v>
      </c>
      <c r="S31" s="48"/>
    </row>
    <row r="32" spans="1:19" ht="20.45" customHeight="1" thickBot="1" x14ac:dyDescent="0.5">
      <c r="B32" s="847" t="s">
        <v>18</v>
      </c>
      <c r="C32" s="848"/>
      <c r="D32" s="848"/>
      <c r="E32" s="848"/>
      <c r="F32" s="849"/>
      <c r="G32" s="511"/>
      <c r="H32" s="1262"/>
      <c r="I32" s="1263"/>
      <c r="J32" s="1007"/>
      <c r="K32" s="1008"/>
      <c r="L32" s="1009"/>
      <c r="M32" s="1010"/>
      <c r="N32" s="918">
        <f>(N33+N34+N35+N36)/4</f>
        <v>-9.6409717733247177E-2</v>
      </c>
      <c r="O32" s="919">
        <f>(O33+O34+O35+O36)</f>
        <v>1.6189165384615387</v>
      </c>
      <c r="P32" s="920">
        <f>O32/14.285712</f>
        <v>0.11332417582417584</v>
      </c>
      <c r="Q32" s="977"/>
      <c r="R32" s="329"/>
      <c r="S32" s="329"/>
    </row>
    <row r="33" spans="1:19" ht="33.6" customHeight="1" thickBot="1" x14ac:dyDescent="0.5">
      <c r="A33" s="16">
        <v>6</v>
      </c>
      <c r="B33" s="529" t="s">
        <v>19</v>
      </c>
      <c r="C33" s="530">
        <f>$M$5</f>
        <v>3.5714285714285716</v>
      </c>
      <c r="D33" s="531" t="s">
        <v>287</v>
      </c>
      <c r="E33" s="532">
        <f>C33/1</f>
        <v>3.5714285714285716</v>
      </c>
      <c r="F33" s="529" t="s">
        <v>288</v>
      </c>
      <c r="G33" s="530">
        <f>E33/1</f>
        <v>3.5714285714285716</v>
      </c>
      <c r="H33" s="1264">
        <v>2.5</v>
      </c>
      <c r="I33" s="1265">
        <v>2.2999999999999998</v>
      </c>
      <c r="J33" s="1013">
        <f>IF(H33&lt;7,(H33-7),(H33-I33))</f>
        <v>-4.5</v>
      </c>
      <c r="K33" s="1014">
        <f>IF((7-H33&gt;=0),(7-H33),0)</f>
        <v>4.5</v>
      </c>
      <c r="L33" s="1015">
        <f>IF((I33&lt;7),7,I33)</f>
        <v>7</v>
      </c>
      <c r="M33" s="1016">
        <f>IF(K33&lt;&gt;0,J33/7,(1+((H33-I33)/I33)))</f>
        <v>-0.6428571428571429</v>
      </c>
      <c r="N33" s="1017">
        <f>((G33/C33)*M33)</f>
        <v>-0.6428571428571429</v>
      </c>
      <c r="O33" s="1018">
        <f>IF(((G33/C33)*M33)&gt;=1,3.571428,IF(((G33/C33)*M33)&lt;=0,0,((G33/C33)*M33)*3.571428))</f>
        <v>0</v>
      </c>
      <c r="P33" s="920">
        <f>O33/3.571428</f>
        <v>0</v>
      </c>
      <c r="Q33" s="1266" t="s">
        <v>97</v>
      </c>
      <c r="R33" s="125"/>
      <c r="S33" s="339" t="s">
        <v>403</v>
      </c>
    </row>
    <row r="34" spans="1:19" ht="51" customHeight="1" thickBot="1" x14ac:dyDescent="0.5">
      <c r="A34" s="16">
        <v>7</v>
      </c>
      <c r="B34" s="529" t="s">
        <v>20</v>
      </c>
      <c r="C34" s="530">
        <f t="shared" ref="C34:C36" si="12">$M$5</f>
        <v>3.5714285714285716</v>
      </c>
      <c r="D34" s="529" t="s">
        <v>118</v>
      </c>
      <c r="E34" s="532">
        <f t="shared" ref="E34:E36" si="13">C34/1</f>
        <v>3.5714285714285716</v>
      </c>
      <c r="F34" s="529" t="s">
        <v>21</v>
      </c>
      <c r="G34" s="530">
        <f>E34/1</f>
        <v>3.5714285714285716</v>
      </c>
      <c r="H34" s="1267">
        <v>16</v>
      </c>
      <c r="I34" s="1268">
        <v>17</v>
      </c>
      <c r="J34" s="1269">
        <f>H34-I34</f>
        <v>-1</v>
      </c>
      <c r="K34" s="1022">
        <f>(0.5*I34)*(6/10)</f>
        <v>5.0999999999999996</v>
      </c>
      <c r="L34" s="1023">
        <f>K34+I34</f>
        <v>22.1</v>
      </c>
      <c r="M34" s="1016">
        <f>IF(K34&lt;&gt;0,J34/K34,"0%")</f>
        <v>-0.19607843137254904</v>
      </c>
      <c r="N34" s="1017">
        <f>((G34/C34)*M34)</f>
        <v>-0.19607843137254904</v>
      </c>
      <c r="O34" s="1018">
        <f>IF(((G34/C34)*M34)&gt;=1,3.571428,IF(((G34/C34)*M34)&lt;=0,0,((G34/C34)*M34)*3.571428))</f>
        <v>0</v>
      </c>
      <c r="P34" s="920">
        <f t="shared" ref="P34:P36" si="14">O34/3.571428</f>
        <v>0</v>
      </c>
      <c r="Q34" s="1266" t="s">
        <v>173</v>
      </c>
      <c r="R34" s="136"/>
      <c r="S34" s="339" t="s">
        <v>404</v>
      </c>
    </row>
    <row r="35" spans="1:19" ht="40.799999999999997" customHeight="1" thickBot="1" x14ac:dyDescent="0.5">
      <c r="A35" s="16">
        <v>8</v>
      </c>
      <c r="B35" s="529" t="s">
        <v>22</v>
      </c>
      <c r="C35" s="530">
        <f t="shared" si="12"/>
        <v>3.5714285714285716</v>
      </c>
      <c r="D35" s="529" t="s">
        <v>119</v>
      </c>
      <c r="E35" s="532">
        <f t="shared" si="13"/>
        <v>3.5714285714285716</v>
      </c>
      <c r="F35" s="529" t="s">
        <v>23</v>
      </c>
      <c r="G35" s="530">
        <f>E35/1</f>
        <v>3.5714285714285716</v>
      </c>
      <c r="H35" s="1270">
        <v>0.11</v>
      </c>
      <c r="I35" s="1271">
        <v>0.09</v>
      </c>
      <c r="J35" s="1024">
        <f>H35-I35</f>
        <v>2.0000000000000004E-2</v>
      </c>
      <c r="K35" s="1025">
        <f>IF((I35&gt;=1),0,((1-I35)*0.6))</f>
        <v>0.54600000000000004</v>
      </c>
      <c r="L35" s="1015">
        <f>I35+K35</f>
        <v>0.63600000000000001</v>
      </c>
      <c r="M35" s="1016">
        <f>IF(K35&lt;&gt;0,J35/K35,"0%")</f>
        <v>3.6630036630036632E-2</v>
      </c>
      <c r="N35" s="1017">
        <f>((G35/C35)*M35)</f>
        <v>3.6630036630036632E-2</v>
      </c>
      <c r="O35" s="1018">
        <f>IF(((G35/C35)*M35)&gt;=1,3.571428,IF(((G35/C35)*M35)&lt;=0,0,((G35/C35)*M35)*3.571428))</f>
        <v>0.13082153846153846</v>
      </c>
      <c r="P35" s="920">
        <f t="shared" si="14"/>
        <v>3.6630036630036632E-2</v>
      </c>
      <c r="Q35" s="1266" t="s">
        <v>174</v>
      </c>
      <c r="R35" s="91"/>
      <c r="S35" s="339" t="s">
        <v>405</v>
      </c>
    </row>
    <row r="36" spans="1:19" ht="32.450000000000003" customHeight="1" thickBot="1" x14ac:dyDescent="0.5">
      <c r="A36" s="16">
        <v>9</v>
      </c>
      <c r="B36" s="529" t="s">
        <v>24</v>
      </c>
      <c r="C36" s="530">
        <f t="shared" si="12"/>
        <v>3.5714285714285716</v>
      </c>
      <c r="D36" s="529" t="s">
        <v>275</v>
      </c>
      <c r="E36" s="532">
        <f t="shared" si="13"/>
        <v>3.5714285714285716</v>
      </c>
      <c r="F36" s="534" t="s">
        <v>25</v>
      </c>
      <c r="G36" s="530">
        <f>E36/1</f>
        <v>3.5714285714285716</v>
      </c>
      <c r="H36" s="1272">
        <v>5</v>
      </c>
      <c r="I36" s="1273">
        <v>4</v>
      </c>
      <c r="J36" s="1026">
        <f>H36-I36</f>
        <v>1</v>
      </c>
      <c r="K36" s="1027">
        <f>(1*I36)*(6/10)</f>
        <v>2.4</v>
      </c>
      <c r="L36" s="1028">
        <f>I36+K36</f>
        <v>6.4</v>
      </c>
      <c r="M36" s="1016">
        <f>IF(K36&lt;&gt;0,J36/K36,"0%")</f>
        <v>0.41666666666666669</v>
      </c>
      <c r="N36" s="1017">
        <f>((G36/C36)*M36)</f>
        <v>0.41666666666666669</v>
      </c>
      <c r="O36" s="1018">
        <f>IF(((G36/C36)*M36)&gt;=1,3.571428,IF(((G36/C36)*M36)&lt;=0,0,((G36/C36)*M36)*3.571428))</f>
        <v>1.4880950000000002</v>
      </c>
      <c r="P36" s="920">
        <f t="shared" si="14"/>
        <v>0.41666666666666669</v>
      </c>
      <c r="Q36" s="1274" t="s">
        <v>175</v>
      </c>
      <c r="R36" s="90"/>
      <c r="S36" s="339" t="s">
        <v>404</v>
      </c>
    </row>
    <row r="37" spans="1:19" ht="30.6" customHeight="1" thickBot="1" x14ac:dyDescent="0.5">
      <c r="B37" s="841" t="s">
        <v>26</v>
      </c>
      <c r="C37" s="842"/>
      <c r="D37" s="842"/>
      <c r="E37" s="842"/>
      <c r="F37" s="843"/>
      <c r="G37" s="536"/>
      <c r="H37" s="1240"/>
      <c r="I37" s="1241"/>
      <c r="J37" s="1031"/>
      <c r="K37" s="1032"/>
      <c r="L37" s="1032"/>
      <c r="M37" s="1033"/>
      <c r="N37" s="918">
        <f>N38</f>
        <v>0.62666666666666659</v>
      </c>
      <c r="O37" s="919">
        <f>O38</f>
        <v>2.2380948799999998</v>
      </c>
      <c r="P37" s="920">
        <f>O37/3.571428</f>
        <v>0.62666666666666659</v>
      </c>
      <c r="Q37" s="1275"/>
      <c r="R37" s="328"/>
      <c r="S37" s="329"/>
    </row>
    <row r="38" spans="1:19" ht="25.8" customHeight="1" thickBot="1" x14ac:dyDescent="0.5">
      <c r="A38" s="811">
        <v>10</v>
      </c>
      <c r="B38" s="823" t="s">
        <v>27</v>
      </c>
      <c r="C38" s="827">
        <f>M5</f>
        <v>3.5714285714285716</v>
      </c>
      <c r="D38" s="502" t="s">
        <v>120</v>
      </c>
      <c r="E38" s="475">
        <f>$C$38/2</f>
        <v>1.7857142857142858</v>
      </c>
      <c r="F38" s="538" t="s">
        <v>224</v>
      </c>
      <c r="G38" s="503">
        <f>E38/1</f>
        <v>1.7857142857142858</v>
      </c>
      <c r="H38" s="1276">
        <v>21.9</v>
      </c>
      <c r="I38" s="1277">
        <v>12.5</v>
      </c>
      <c r="J38" s="1278">
        <f>H38-I38</f>
        <v>9.3999999999999986</v>
      </c>
      <c r="K38" s="1037">
        <f>(1*I38)*(6/10)</f>
        <v>7.5</v>
      </c>
      <c r="L38" s="1038">
        <f>I38+K38</f>
        <v>20</v>
      </c>
      <c r="M38" s="930">
        <f>IF(K38&lt;&gt;0,J38/K38,"0%")</f>
        <v>1.2533333333333332</v>
      </c>
      <c r="N38" s="957">
        <f>(((G38/C38)*M38)+((G39/C38)*M39))</f>
        <v>0.62666666666666659</v>
      </c>
      <c r="O38" s="983">
        <f>IF((((G38/C38)*M38)+((G39/C38)*M39))&gt;=1,3.57148,IF((((G38/C38)*M38)+((G39/C38)*M39))&lt;=0,0, (((G38/C38)*M38)+((G39/C38)*M39))*3.571428))</f>
        <v>2.2380948799999998</v>
      </c>
      <c r="P38" s="933">
        <f>O38/3.571428</f>
        <v>0.62666666666666659</v>
      </c>
      <c r="Q38" s="1279" t="s">
        <v>176</v>
      </c>
      <c r="R38" s="337" t="s">
        <v>406</v>
      </c>
      <c r="S38" s="648"/>
    </row>
    <row r="39" spans="1:19" ht="35.25" thickBot="1" x14ac:dyDescent="0.5">
      <c r="A39" s="811"/>
      <c r="B39" s="824"/>
      <c r="C39" s="828"/>
      <c r="D39" s="505" t="s">
        <v>157</v>
      </c>
      <c r="E39" s="484">
        <f>$C$38/2</f>
        <v>1.7857142857142858</v>
      </c>
      <c r="F39" s="540" t="s">
        <v>225</v>
      </c>
      <c r="G39" s="506">
        <f>E39/1</f>
        <v>1.7857142857142858</v>
      </c>
      <c r="H39" s="1280"/>
      <c r="I39" s="1281"/>
      <c r="J39" s="1282">
        <f>H39-I39</f>
        <v>0</v>
      </c>
      <c r="K39" s="1040">
        <f>IF(AND(I39&gt;=10,H39&gt;=I39),0,((10-H39)*(6/10)))</f>
        <v>6</v>
      </c>
      <c r="L39" s="1041">
        <f>I39+K39</f>
        <v>6</v>
      </c>
      <c r="M39" s="972">
        <f>IF(K39&lt;&gt;0,J39/K39,"0%")</f>
        <v>0</v>
      </c>
      <c r="N39" s="965"/>
      <c r="O39" s="1224"/>
      <c r="P39" s="942"/>
      <c r="Q39" s="1283" t="s">
        <v>95</v>
      </c>
      <c r="R39" s="337" t="s">
        <v>408</v>
      </c>
      <c r="S39" s="109" t="s">
        <v>407</v>
      </c>
    </row>
    <row r="40" spans="1:19" ht="20.45" customHeight="1" thickBot="1" x14ac:dyDescent="0.5">
      <c r="B40" s="853" t="s">
        <v>28</v>
      </c>
      <c r="C40" s="854"/>
      <c r="D40" s="854"/>
      <c r="E40" s="855"/>
      <c r="F40" s="856"/>
      <c r="G40" s="536"/>
      <c r="H40" s="1284"/>
      <c r="I40" s="1285"/>
      <c r="J40" s="1044"/>
      <c r="K40" s="1045"/>
      <c r="L40" s="1045"/>
      <c r="M40" s="1046"/>
      <c r="N40" s="918">
        <f>N41</f>
        <v>0.79710144927536231</v>
      </c>
      <c r="O40" s="919">
        <f>O41</f>
        <v>2.8467904347826085</v>
      </c>
      <c r="P40" s="920">
        <f>O40/3.571428</f>
        <v>0.79710144927536231</v>
      </c>
      <c r="Q40" s="1286"/>
      <c r="R40" s="323"/>
      <c r="S40" s="324"/>
    </row>
    <row r="41" spans="1:19" ht="35.25" thickBot="1" x14ac:dyDescent="0.5">
      <c r="A41" s="811">
        <v>11</v>
      </c>
      <c r="B41" s="857" t="s">
        <v>29</v>
      </c>
      <c r="C41" s="859">
        <f>M5</f>
        <v>3.5714285714285716</v>
      </c>
      <c r="D41" s="543" t="s">
        <v>121</v>
      </c>
      <c r="E41" s="544">
        <f>$C$41/2</f>
        <v>1.7857142857142858</v>
      </c>
      <c r="F41" s="490" t="s">
        <v>30</v>
      </c>
      <c r="G41" s="545">
        <f>E41/1</f>
        <v>1.7857142857142858</v>
      </c>
      <c r="H41" s="1287">
        <v>0.68</v>
      </c>
      <c r="I41" s="1288">
        <v>0.46</v>
      </c>
      <c r="J41" s="1049">
        <f>H41-I41</f>
        <v>0.22000000000000003</v>
      </c>
      <c r="K41" s="1050">
        <f>(0.5*I41)*(6/10)</f>
        <v>0.13800000000000001</v>
      </c>
      <c r="L41" s="1051">
        <f>I41+K41</f>
        <v>0.59800000000000009</v>
      </c>
      <c r="M41" s="930">
        <f>IF(K41&lt;&gt;0,J41/K41,"0%")</f>
        <v>1.5942028985507246</v>
      </c>
      <c r="N41" s="1052">
        <f>(((G41/C41)*M41)+(G42/C41)*M42)</f>
        <v>0.79710144927536231</v>
      </c>
      <c r="O41" s="983">
        <f>IF((((G41/C41)*M41)+((G42/C41)*M42))&gt;=1,3.57148,IF((((G41/C41)*M41)+((G42/C41)*M42))&lt;=0,0, (((G41/C41)*M41)+((G42/C41)*M42))*3.571428))</f>
        <v>2.8467904347826085</v>
      </c>
      <c r="P41" s="933">
        <f>O41/3.571428</f>
        <v>0.79710144927536231</v>
      </c>
      <c r="Q41" s="1289" t="s">
        <v>177</v>
      </c>
      <c r="R41" s="298"/>
      <c r="S41" s="86"/>
    </row>
    <row r="42" spans="1:19" ht="23.65" thickBot="1" x14ac:dyDescent="0.5">
      <c r="A42" s="811"/>
      <c r="B42" s="858"/>
      <c r="C42" s="860"/>
      <c r="D42" s="547" t="s">
        <v>122</v>
      </c>
      <c r="E42" s="520">
        <f>$C$41/2</f>
        <v>1.7857142857142858</v>
      </c>
      <c r="F42" s="495" t="s">
        <v>31</v>
      </c>
      <c r="G42" s="548">
        <f>E42/1</f>
        <v>1.7857142857142858</v>
      </c>
      <c r="H42" s="1290"/>
      <c r="I42" s="1291"/>
      <c r="J42" s="1053">
        <f>H42-I42</f>
        <v>0</v>
      </c>
      <c r="K42" s="951">
        <f>(0.5*I42)*(6/10)</f>
        <v>0</v>
      </c>
      <c r="L42" s="1054">
        <f>I42+K42</f>
        <v>0</v>
      </c>
      <c r="M42" s="972" t="str">
        <f>IF(K42&lt;&gt;0,J42/K42,"0%")</f>
        <v>0%</v>
      </c>
      <c r="N42" s="1052"/>
      <c r="O42" s="1224"/>
      <c r="P42" s="942"/>
      <c r="Q42" s="1289" t="s">
        <v>95</v>
      </c>
      <c r="R42" s="325"/>
      <c r="S42" s="109" t="s">
        <v>407</v>
      </c>
    </row>
    <row r="43" spans="1:19" ht="30.6" customHeight="1" thickBot="1" x14ac:dyDescent="0.5">
      <c r="B43" s="831" t="s">
        <v>32</v>
      </c>
      <c r="C43" s="832"/>
      <c r="D43" s="832"/>
      <c r="E43" s="832"/>
      <c r="F43" s="833"/>
      <c r="G43" s="511"/>
      <c r="H43" s="1292"/>
      <c r="I43" s="1293"/>
      <c r="J43" s="1057"/>
      <c r="K43" s="1058"/>
      <c r="L43" s="1058"/>
      <c r="M43" s="1059"/>
      <c r="N43" s="918">
        <f>N44</f>
        <v>1.203235294117647</v>
      </c>
      <c r="O43" s="919">
        <f>O44</f>
        <v>3.5714800000000002</v>
      </c>
      <c r="P43" s="920">
        <f>O43/3.571428</f>
        <v>1.0000145600023296</v>
      </c>
      <c r="Q43" s="1294"/>
      <c r="R43" s="324"/>
      <c r="S43" s="324"/>
    </row>
    <row r="44" spans="1:19" ht="37.799999999999997" customHeight="1" x14ac:dyDescent="0.45">
      <c r="A44" s="811">
        <v>12</v>
      </c>
      <c r="B44" s="850" t="s">
        <v>33</v>
      </c>
      <c r="C44" s="827">
        <f>M5</f>
        <v>3.5714285714285716</v>
      </c>
      <c r="D44" s="513" t="s">
        <v>123</v>
      </c>
      <c r="E44" s="552">
        <f>C44/2</f>
        <v>1.7857142857142858</v>
      </c>
      <c r="F44" s="513" t="s">
        <v>34</v>
      </c>
      <c r="G44" s="475">
        <f>$E$44/1</f>
        <v>1.7857142857142858</v>
      </c>
      <c r="H44" s="1295">
        <v>36.9</v>
      </c>
      <c r="I44" s="1296">
        <v>33.9</v>
      </c>
      <c r="J44" s="1062">
        <f>IF(I44=H44,(H44-30),H44-I44)</f>
        <v>3</v>
      </c>
      <c r="K44" s="956">
        <f>IF(I44&gt;=30,0,((30-I44)*(6/10)))</f>
        <v>0</v>
      </c>
      <c r="L44" s="1063">
        <f>I44+K44</f>
        <v>33.9</v>
      </c>
      <c r="M44" s="930">
        <f>IF(I44&gt;=30,(1+(H44-30)/30),(J44/K44))</f>
        <v>1.23</v>
      </c>
      <c r="N44" s="957">
        <f>(((G44/C44)*M44)+((G45/C44)*M45))</f>
        <v>1.203235294117647</v>
      </c>
      <c r="O44" s="983">
        <f>IF((((G44/C44)*M44)+((G45/C44)*M45))&gt;=1,3.57148,IF((((G44/C44)*M44)+((G45/C44)*M45))&lt;=0,0, (((G44/C44)*M44)+((G45/C44)*M45))*3.571428))</f>
        <v>3.5714800000000002</v>
      </c>
      <c r="P44" s="933">
        <f>O44/3.571428</f>
        <v>1.0000145600023296</v>
      </c>
      <c r="Q44" s="1297" t="s">
        <v>178</v>
      </c>
      <c r="R44" s="340"/>
      <c r="S44" s="341" t="s">
        <v>406</v>
      </c>
    </row>
    <row r="45" spans="1:19" ht="35.25" thickBot="1" x14ac:dyDescent="0.5">
      <c r="A45" s="811"/>
      <c r="B45" s="851"/>
      <c r="C45" s="852"/>
      <c r="D45" s="526" t="s">
        <v>124</v>
      </c>
      <c r="E45" s="553">
        <f>(C44/2)</f>
        <v>1.7857142857142858</v>
      </c>
      <c r="F45" s="526" t="s">
        <v>35</v>
      </c>
      <c r="G45" s="484">
        <f>$E$45/1</f>
        <v>1.7857142857142858</v>
      </c>
      <c r="H45" s="1298">
        <v>20</v>
      </c>
      <c r="I45" s="1299">
        <v>20</v>
      </c>
      <c r="J45" s="1066">
        <f>IF(I45=H45,(H45-17),H45-I45)</f>
        <v>3</v>
      </c>
      <c r="K45" s="1067">
        <f>IF(I45&gt;=17,0,((17-I45)*(6/10)))</f>
        <v>0</v>
      </c>
      <c r="L45" s="1068">
        <f>I45+K45</f>
        <v>20</v>
      </c>
      <c r="M45" s="1069">
        <f>IF(I45&gt;=17,(1+(H45-17)/17),(H45/17))</f>
        <v>1.1764705882352942</v>
      </c>
      <c r="N45" s="973"/>
      <c r="O45" s="1224"/>
      <c r="P45" s="942"/>
      <c r="Q45" s="1300" t="s">
        <v>179</v>
      </c>
      <c r="R45" s="342"/>
      <c r="S45" s="343" t="s">
        <v>408</v>
      </c>
    </row>
    <row r="46" spans="1:19" ht="30.6" customHeight="1" thickBot="1" x14ac:dyDescent="0.5">
      <c r="B46" s="862" t="s">
        <v>36</v>
      </c>
      <c r="C46" s="863"/>
      <c r="D46" s="863"/>
      <c r="E46" s="863"/>
      <c r="F46" s="864"/>
      <c r="G46" s="554"/>
      <c r="H46" s="1301"/>
      <c r="I46" s="1302"/>
      <c r="J46" s="1072"/>
      <c r="K46" s="1073"/>
      <c r="L46" s="1073"/>
      <c r="M46" s="1074"/>
      <c r="N46" s="918">
        <f>(N47+N50+N52)/3</f>
        <v>0.45703152084854687</v>
      </c>
      <c r="O46" s="919">
        <f>(O47+O50+O52)</f>
        <v>4.8967655113232524</v>
      </c>
      <c r="P46" s="920">
        <f>O46/10.714284</f>
        <v>0.45703152084854692</v>
      </c>
      <c r="Q46" s="1303"/>
      <c r="R46" s="326"/>
      <c r="S46" s="326"/>
    </row>
    <row r="47" spans="1:19" ht="20.45" customHeight="1" thickBot="1" x14ac:dyDescent="0.5">
      <c r="B47" s="820" t="s">
        <v>37</v>
      </c>
      <c r="C47" s="821"/>
      <c r="D47" s="821"/>
      <c r="E47" s="821"/>
      <c r="F47" s="822"/>
      <c r="G47" s="556"/>
      <c r="H47" s="1292"/>
      <c r="I47" s="1293"/>
      <c r="J47" s="1077"/>
      <c r="K47" s="1078"/>
      <c r="L47" s="1078"/>
      <c r="M47" s="1059"/>
      <c r="N47" s="918">
        <f>N48</f>
        <v>9.7850214041712985E-2</v>
      </c>
      <c r="O47" s="919">
        <f>O48</f>
        <v>0.34946499423456695</v>
      </c>
      <c r="P47" s="920">
        <f>O47/3.571428</f>
        <v>9.7850214041712985E-2</v>
      </c>
      <c r="Q47" s="1294"/>
      <c r="R47" s="324"/>
      <c r="S47" s="324"/>
    </row>
    <row r="48" spans="1:19" ht="37.799999999999997" customHeight="1" thickBot="1" x14ac:dyDescent="0.5">
      <c r="A48" s="811">
        <v>13</v>
      </c>
      <c r="B48" s="850" t="s">
        <v>38</v>
      </c>
      <c r="C48" s="827">
        <f>M5</f>
        <v>3.5714285714285716</v>
      </c>
      <c r="D48" s="513" t="s">
        <v>125</v>
      </c>
      <c r="E48" s="475">
        <f>$C$48/2</f>
        <v>1.7857142857142858</v>
      </c>
      <c r="F48" s="557" t="s">
        <v>289</v>
      </c>
      <c r="G48" s="475">
        <f>E48/1</f>
        <v>1.7857142857142858</v>
      </c>
      <c r="H48" s="1304"/>
      <c r="I48" s="1305"/>
      <c r="J48" s="1080">
        <f>H48-I48</f>
        <v>0</v>
      </c>
      <c r="K48" s="1081">
        <f>(0.5*I48)* (6/10)</f>
        <v>0</v>
      </c>
      <c r="L48" s="1082">
        <f>I48-K48</f>
        <v>0</v>
      </c>
      <c r="M48" s="1083" t="str">
        <f>IF(K48&lt;&gt;0,J48/K48,"0%")</f>
        <v>0%</v>
      </c>
      <c r="N48" s="1084">
        <f>(((G48/C48)*M48)+((G49/C48)*M49))</f>
        <v>9.7850214041712985E-2</v>
      </c>
      <c r="O48" s="983">
        <f>IF((((G48/C48)*M48)+((G49/C48)*M49))&gt;=1,3.57148,IF((((G48/C48)*M48)+((G49/C48)*M49))&lt;=0,0, (((G48/C48)*M48)+((G49/C48)*M49))*3.571428))</f>
        <v>0.34946499423456695</v>
      </c>
      <c r="P48" s="933">
        <f>O48/3.571428</f>
        <v>9.7850214041712985E-2</v>
      </c>
      <c r="Q48" s="1253" t="s">
        <v>95</v>
      </c>
      <c r="R48" s="60"/>
      <c r="S48" s="109" t="s">
        <v>407</v>
      </c>
    </row>
    <row r="49" spans="1:19" ht="30.6" customHeight="1" thickBot="1" x14ac:dyDescent="0.5">
      <c r="A49" s="811"/>
      <c r="B49" s="851"/>
      <c r="C49" s="852"/>
      <c r="D49" s="526" t="s">
        <v>126</v>
      </c>
      <c r="E49" s="484">
        <f>$C$48/2</f>
        <v>1.7857142857142858</v>
      </c>
      <c r="F49" s="526" t="s">
        <v>290</v>
      </c>
      <c r="G49" s="484">
        <f>E49/1</f>
        <v>1.7857142857142858</v>
      </c>
      <c r="H49" s="1306">
        <v>8567.2000000000007</v>
      </c>
      <c r="I49" s="1307">
        <v>6937.9</v>
      </c>
      <c r="J49" s="1003">
        <f>H49-I49</f>
        <v>1629.3000000000011</v>
      </c>
      <c r="K49" s="1087">
        <f>(2*I49)*(6/10)</f>
        <v>8325.48</v>
      </c>
      <c r="L49" s="1088">
        <f>I49+K49</f>
        <v>15263.38</v>
      </c>
      <c r="M49" s="972">
        <f>IF(K49&lt;&gt;0,J49/K49,"0%")</f>
        <v>0.19570042808342597</v>
      </c>
      <c r="N49" s="1089"/>
      <c r="O49" s="1224"/>
      <c r="P49" s="942"/>
      <c r="Q49" s="1261" t="s">
        <v>95</v>
      </c>
      <c r="R49" s="337" t="s">
        <v>409</v>
      </c>
      <c r="S49" s="337" t="s">
        <v>410</v>
      </c>
    </row>
    <row r="50" spans="1:19" ht="15" customHeight="1" thickBot="1" x14ac:dyDescent="0.5">
      <c r="B50" s="831" t="s">
        <v>39</v>
      </c>
      <c r="C50" s="832"/>
      <c r="D50" s="832"/>
      <c r="E50" s="832"/>
      <c r="F50" s="833"/>
      <c r="G50" s="558"/>
      <c r="H50" s="1308"/>
      <c r="I50" s="1309"/>
      <c r="J50" s="1092"/>
      <c r="K50" s="1092"/>
      <c r="L50" s="1092"/>
      <c r="M50" s="1093"/>
      <c r="N50" s="918">
        <f>N51</f>
        <v>0.83333333333333337</v>
      </c>
      <c r="O50" s="919">
        <f>O51</f>
        <v>2.9761900000000003</v>
      </c>
      <c r="P50" s="920">
        <f>O50/3.571428</f>
        <v>0.83333333333333337</v>
      </c>
      <c r="Q50" s="1310"/>
      <c r="R50" s="330"/>
      <c r="S50" s="330"/>
    </row>
    <row r="51" spans="1:19" ht="30.6" customHeight="1" thickBot="1" x14ac:dyDescent="0.5">
      <c r="A51" s="15">
        <v>14</v>
      </c>
      <c r="B51" s="560" t="s">
        <v>226</v>
      </c>
      <c r="C51" s="561">
        <f>M5</f>
        <v>3.5714285714285716</v>
      </c>
      <c r="D51" s="562" t="s">
        <v>272</v>
      </c>
      <c r="E51" s="563">
        <f>C51</f>
        <v>3.5714285714285716</v>
      </c>
      <c r="F51" s="564" t="s">
        <v>266</v>
      </c>
      <c r="G51" s="565">
        <f>E51/1</f>
        <v>3.5714285714285716</v>
      </c>
      <c r="H51" s="1270">
        <v>50</v>
      </c>
      <c r="I51" s="1311">
        <v>0</v>
      </c>
      <c r="J51" s="1096">
        <f>H51-I51</f>
        <v>50</v>
      </c>
      <c r="K51" s="1097">
        <f>(100-I51)*(6/10)</f>
        <v>60</v>
      </c>
      <c r="L51" s="1098">
        <f>I51+K51</f>
        <v>60</v>
      </c>
      <c r="M51" s="939">
        <f>IF(K51&lt;&gt;0,J51/K51,"100%")</f>
        <v>0.83333333333333337</v>
      </c>
      <c r="N51" s="1017">
        <f>((G51/C51)*M51)</f>
        <v>0.83333333333333337</v>
      </c>
      <c r="O51" s="1018">
        <f>IF(((G51/C51)*M51)&gt;=1,3.571428,IF(((G51/C51)*M51)&lt;=0,0,((G51/C51)*M51)*3.571428))</f>
        <v>2.9761900000000003</v>
      </c>
      <c r="P51" s="920">
        <f>O51/3.571428</f>
        <v>0.83333333333333337</v>
      </c>
      <c r="Q51" s="1312" t="s">
        <v>95</v>
      </c>
      <c r="R51" s="247"/>
      <c r="S51" s="344" t="s">
        <v>483</v>
      </c>
    </row>
    <row r="52" spans="1:19" ht="20.45" customHeight="1" thickBot="1" x14ac:dyDescent="0.5">
      <c r="B52" s="831" t="s">
        <v>40</v>
      </c>
      <c r="C52" s="832"/>
      <c r="D52" s="832"/>
      <c r="E52" s="832"/>
      <c r="F52" s="833"/>
      <c r="G52" s="556"/>
      <c r="H52" s="1313"/>
      <c r="I52" s="1314"/>
      <c r="J52" s="1077"/>
      <c r="K52" s="1078"/>
      <c r="L52" s="1078"/>
      <c r="M52" s="1099"/>
      <c r="N52" s="918">
        <f>N53</f>
        <v>0.43991101517059417</v>
      </c>
      <c r="O52" s="919">
        <f>O53</f>
        <v>1.5711105170886848</v>
      </c>
      <c r="P52" s="920">
        <f>O52/3.571428</f>
        <v>0.43991101517059417</v>
      </c>
      <c r="Q52" s="1315"/>
      <c r="R52" s="324"/>
      <c r="S52" s="324"/>
    </row>
    <row r="53" spans="1:19" ht="43.8" customHeight="1" thickBot="1" x14ac:dyDescent="0.5">
      <c r="A53" s="811">
        <v>15</v>
      </c>
      <c r="B53" s="823" t="s">
        <v>108</v>
      </c>
      <c r="C53" s="827">
        <f>M5</f>
        <v>3.5714285714285716</v>
      </c>
      <c r="D53" s="569" t="s">
        <v>127</v>
      </c>
      <c r="E53" s="570">
        <f>$C$53/5</f>
        <v>0.7142857142857143</v>
      </c>
      <c r="F53" s="571" t="s">
        <v>41</v>
      </c>
      <c r="G53" s="503">
        <f>E53/1</f>
        <v>0.7142857142857143</v>
      </c>
      <c r="H53" s="1316">
        <v>74</v>
      </c>
      <c r="I53" s="1317">
        <v>40</v>
      </c>
      <c r="J53" s="980">
        <f>H53-I53</f>
        <v>34</v>
      </c>
      <c r="K53" s="1081">
        <f>(100-I53)*(6/10)</f>
        <v>36</v>
      </c>
      <c r="L53" s="1038">
        <f t="shared" ref="L53:L58" si="15">I53+K53</f>
        <v>76</v>
      </c>
      <c r="M53" s="930">
        <f t="shared" ref="M53:M55" si="16">IF(K53&lt;&gt;0,J53/K53,"0%")</f>
        <v>0.94444444444444442</v>
      </c>
      <c r="N53" s="1102">
        <f>(((G53/C53)*M53)+((G54/C53)*M54)+((G55/C53)*M55)+((G56/C53)*M56)+((G57/C53)*M57)+((G58/C53)*M58))</f>
        <v>0.43991101517059417</v>
      </c>
      <c r="O53" s="1103">
        <f>IF((((G53/C53)*M53)+((G54/C53)*M54)+((G55/C53)*M55)+((G56/C53)*M56)+((G57/C53)*M57)+((G58/C53)*M58))&gt;=1,3.571428,IF((((G53/C53)*M53)+((G54/C53)*M54)+((G55/C53)*M55)+((G56/C53)*M56)+((G57/C53)*M57)+((G58/C53)*M58))&lt;=0,0,((((G53/C53)*M53)+((G54/C53)*M54)+((G55/C53)*M55)+((G56/C53)*M56)+((G57/C53)*M57)+((G58/C53)*M58))*3.571428)))</f>
        <v>1.5711105170886848</v>
      </c>
      <c r="P53" s="933">
        <f>O53/3.571428</f>
        <v>0.43991101517059417</v>
      </c>
      <c r="Q53" s="1318" t="s">
        <v>95</v>
      </c>
      <c r="R53" s="345"/>
      <c r="S53" s="346"/>
    </row>
    <row r="54" spans="1:19" ht="35.450000000000003" customHeight="1" x14ac:dyDescent="0.45">
      <c r="A54" s="811"/>
      <c r="B54" s="824"/>
      <c r="C54" s="828"/>
      <c r="D54" s="573" t="s">
        <v>128</v>
      </c>
      <c r="E54" s="574">
        <f t="shared" ref="E54:E57" si="17">$C$53/5</f>
        <v>0.7142857142857143</v>
      </c>
      <c r="F54" s="575" t="s">
        <v>42</v>
      </c>
      <c r="G54" s="506">
        <f>E54/1</f>
        <v>0.7142857142857143</v>
      </c>
      <c r="H54" s="1254">
        <v>0</v>
      </c>
      <c r="I54" s="1255">
        <v>0</v>
      </c>
      <c r="J54" s="986">
        <f>H54-I54</f>
        <v>0</v>
      </c>
      <c r="K54" s="1040">
        <f>(100-I54)*(6/6)</f>
        <v>100</v>
      </c>
      <c r="L54" s="1041">
        <f>I54+K54</f>
        <v>100</v>
      </c>
      <c r="M54" s="964">
        <f t="shared" si="16"/>
        <v>0</v>
      </c>
      <c r="N54" s="1106"/>
      <c r="O54" s="1319"/>
      <c r="P54" s="967"/>
      <c r="Q54" s="1320" t="s">
        <v>95</v>
      </c>
      <c r="R54" s="255"/>
      <c r="S54" s="133" t="s">
        <v>407</v>
      </c>
    </row>
    <row r="55" spans="1:19" ht="34.25" customHeight="1" x14ac:dyDescent="0.45">
      <c r="A55" s="811"/>
      <c r="B55" s="824"/>
      <c r="C55" s="828"/>
      <c r="D55" s="573" t="s">
        <v>129</v>
      </c>
      <c r="E55" s="574">
        <f t="shared" si="17"/>
        <v>0.7142857142857143</v>
      </c>
      <c r="F55" s="575" t="s">
        <v>43</v>
      </c>
      <c r="G55" s="506">
        <f>E55/1</f>
        <v>0.7142857142857143</v>
      </c>
      <c r="H55" s="1254">
        <v>0</v>
      </c>
      <c r="I55" s="1255">
        <v>0</v>
      </c>
      <c r="J55" s="986">
        <f>H55-I55</f>
        <v>0</v>
      </c>
      <c r="K55" s="1040">
        <f>(100-I55)*(6/10)</f>
        <v>60</v>
      </c>
      <c r="L55" s="1041">
        <f t="shared" si="15"/>
        <v>60</v>
      </c>
      <c r="M55" s="964">
        <f t="shared" si="16"/>
        <v>0</v>
      </c>
      <c r="N55" s="1106"/>
      <c r="O55" s="1319"/>
      <c r="P55" s="967"/>
      <c r="Q55" s="1320" t="s">
        <v>95</v>
      </c>
      <c r="R55" s="255"/>
      <c r="S55" s="132" t="s">
        <v>407</v>
      </c>
    </row>
    <row r="56" spans="1:19" ht="37.25" customHeight="1" x14ac:dyDescent="0.45">
      <c r="A56" s="811"/>
      <c r="B56" s="824"/>
      <c r="C56" s="828"/>
      <c r="D56" s="573" t="s">
        <v>130</v>
      </c>
      <c r="E56" s="574">
        <f t="shared" si="17"/>
        <v>0.7142857142857143</v>
      </c>
      <c r="F56" s="575" t="s">
        <v>44</v>
      </c>
      <c r="G56" s="506">
        <f>E56/1</f>
        <v>0.7142857142857143</v>
      </c>
      <c r="H56" s="1321">
        <v>3916</v>
      </c>
      <c r="I56" s="1322">
        <v>2725</v>
      </c>
      <c r="J56" s="986">
        <f>H56-I56</f>
        <v>1191</v>
      </c>
      <c r="K56" s="1109">
        <f>(0.5*I56)*(6/7)</f>
        <v>1167.8571428571429</v>
      </c>
      <c r="L56" s="1041">
        <f t="shared" si="15"/>
        <v>3892.8571428571431</v>
      </c>
      <c r="M56" s="964">
        <f>IF(K56&lt;&gt;0,J56/K56,"0%")</f>
        <v>1.0198165137614679</v>
      </c>
      <c r="N56" s="1106"/>
      <c r="O56" s="1319"/>
      <c r="P56" s="967"/>
      <c r="Q56" s="1320" t="s">
        <v>101</v>
      </c>
      <c r="R56" s="337" t="s">
        <v>411</v>
      </c>
      <c r="S56" s="347" t="s">
        <v>412</v>
      </c>
    </row>
    <row r="57" spans="1:19" ht="22.8" customHeight="1" x14ac:dyDescent="0.45">
      <c r="A57" s="811"/>
      <c r="B57" s="824"/>
      <c r="C57" s="828"/>
      <c r="D57" s="866" t="s">
        <v>131</v>
      </c>
      <c r="E57" s="868">
        <f t="shared" si="17"/>
        <v>0.7142857142857143</v>
      </c>
      <c r="F57" s="575" t="s">
        <v>45</v>
      </c>
      <c r="G57" s="506">
        <f>$E$57/2</f>
        <v>0.35714285714285715</v>
      </c>
      <c r="H57" s="1243">
        <v>127.8</v>
      </c>
      <c r="I57" s="1255">
        <v>102</v>
      </c>
      <c r="J57" s="986">
        <f t="shared" ref="J57:J58" si="18">H57-I57</f>
        <v>25.799999999999997</v>
      </c>
      <c r="K57" s="1112">
        <f>(1*I57)*(6/10)</f>
        <v>61.199999999999996</v>
      </c>
      <c r="L57" s="1041">
        <f t="shared" si="15"/>
        <v>163.19999999999999</v>
      </c>
      <c r="M57" s="964">
        <f>IF(K57&lt;&gt;0,J57/K57,"0%")</f>
        <v>0.42156862745098039</v>
      </c>
      <c r="N57" s="1106"/>
      <c r="O57" s="1319"/>
      <c r="P57" s="967"/>
      <c r="Q57" s="1320" t="s">
        <v>180</v>
      </c>
      <c r="R57" s="255"/>
      <c r="S57" s="347" t="s">
        <v>413</v>
      </c>
    </row>
    <row r="58" spans="1:19" ht="15" customHeight="1" thickBot="1" x14ac:dyDescent="0.5">
      <c r="A58" s="811"/>
      <c r="B58" s="861"/>
      <c r="C58" s="852"/>
      <c r="D58" s="867"/>
      <c r="E58" s="869"/>
      <c r="F58" s="483" t="s">
        <v>46</v>
      </c>
      <c r="G58" s="509">
        <f>$E$57/2</f>
        <v>0.35714285714285715</v>
      </c>
      <c r="H58" s="1248">
        <v>7</v>
      </c>
      <c r="I58" s="1249">
        <v>6.8</v>
      </c>
      <c r="J58" s="993">
        <f t="shared" si="18"/>
        <v>0.20000000000000018</v>
      </c>
      <c r="K58" s="1087">
        <f>(1*I58)*(6/10)</f>
        <v>4.08</v>
      </c>
      <c r="L58" s="1113">
        <f t="shared" si="15"/>
        <v>10.879999999999999</v>
      </c>
      <c r="M58" s="972">
        <f>IF(K58&lt;&gt;0,J58/K58,"0%")</f>
        <v>4.9019607843137296E-2</v>
      </c>
      <c r="N58" s="1114"/>
      <c r="O58" s="1323"/>
      <c r="P58" s="942"/>
      <c r="Q58" s="1324" t="s">
        <v>95</v>
      </c>
      <c r="R58" s="93"/>
      <c r="S58" s="94"/>
    </row>
    <row r="59" spans="1:19" ht="23.45" customHeight="1" thickBot="1" x14ac:dyDescent="0.5">
      <c r="B59" s="862" t="s">
        <v>47</v>
      </c>
      <c r="C59" s="863"/>
      <c r="D59" s="863"/>
      <c r="E59" s="863"/>
      <c r="F59" s="864"/>
      <c r="G59" s="578"/>
      <c r="H59" s="1301"/>
      <c r="I59" s="1302"/>
      <c r="J59" s="1117"/>
      <c r="K59" s="1117"/>
      <c r="L59" s="1117"/>
      <c r="M59" s="1074"/>
      <c r="N59" s="918">
        <f>(N60+N67)/2</f>
        <v>0.27380952380952384</v>
      </c>
      <c r="O59" s="919">
        <f>(O60+O67)</f>
        <v>1.9557820000000001</v>
      </c>
      <c r="P59" s="920">
        <f>O59/7.142856</f>
        <v>0.27380952380952384</v>
      </c>
      <c r="Q59" s="1325"/>
      <c r="R59" s="332"/>
      <c r="S59" s="333"/>
    </row>
    <row r="60" spans="1:19" ht="22.25" customHeight="1" thickBot="1" x14ac:dyDescent="0.5">
      <c r="B60" s="831" t="s">
        <v>48</v>
      </c>
      <c r="C60" s="832"/>
      <c r="D60" s="832"/>
      <c r="E60" s="832"/>
      <c r="F60" s="833"/>
      <c r="G60" s="511"/>
      <c r="H60" s="1313"/>
      <c r="I60" s="1314"/>
      <c r="J60" s="996"/>
      <c r="K60" s="997"/>
      <c r="L60" s="997"/>
      <c r="M60" s="1059"/>
      <c r="N60" s="918">
        <f>N61</f>
        <v>0.54761904761904767</v>
      </c>
      <c r="O60" s="919">
        <f>O61</f>
        <v>1.9557820000000001</v>
      </c>
      <c r="P60" s="920">
        <f>O60/3.571428</f>
        <v>0.54761904761904767</v>
      </c>
      <c r="Q60" s="977"/>
      <c r="R60" s="324"/>
      <c r="S60" s="324"/>
    </row>
    <row r="61" spans="1:19" ht="39" customHeight="1" x14ac:dyDescent="0.45">
      <c r="A61" s="811">
        <v>16</v>
      </c>
      <c r="B61" s="823" t="s">
        <v>49</v>
      </c>
      <c r="C61" s="827">
        <f>M5</f>
        <v>3.5714285714285716</v>
      </c>
      <c r="D61" s="513" t="s">
        <v>133</v>
      </c>
      <c r="E61" s="475">
        <f>$C$61/4</f>
        <v>0.8928571428571429</v>
      </c>
      <c r="F61" s="513" t="s">
        <v>50</v>
      </c>
      <c r="G61" s="503">
        <f>E61/1</f>
        <v>0.8928571428571429</v>
      </c>
      <c r="H61" s="1326"/>
      <c r="I61" s="1327"/>
      <c r="J61" s="1062">
        <f>IF(I61=H61,(H61-70),H61-I61)</f>
        <v>-70</v>
      </c>
      <c r="K61" s="956">
        <f>IF(I61&gt;=70,0,((70-I61)*(6/10)))</f>
        <v>42</v>
      </c>
      <c r="L61" s="1118">
        <f t="shared" ref="L61:L66" si="19">I61+K61</f>
        <v>42</v>
      </c>
      <c r="M61" s="964" t="str">
        <f>IF(H61=0,"0%",J61/K61)</f>
        <v>0%</v>
      </c>
      <c r="N61" s="1119">
        <f>(((G61/C61)*M61)+((G62/C61)*M62)+((G63/C61)*M63)+((G64/C61)*M64)+((G65/C61)*M65)+((G66/C61)*M66))</f>
        <v>0.54761904761904767</v>
      </c>
      <c r="O61" s="1103">
        <f>IF((((G61/C61)*M61)+((G62/C61)*M62)+((G63/C61)*M63)+((G64/C61)*M64)+((G65/C61)*M65)+((G66/C61)*M66))&gt;=1,3.571428,IF((((G61/C61)*M61)+((G62/C61)*M62)+((G63/C61)*M63)+((G64/C61)*M64)+((G65/C61)*M65)+((G66/C61)*M66))&lt;=0,0,((((G61/C61)*M61)+((G62/C61)*M62)+((G63/C61)*M63)+((G64/C61)*M64)+((G65/C61)*M65)+((G66/C61)*M66))*3.571428)))</f>
        <v>1.9557820000000001</v>
      </c>
      <c r="P61" s="933">
        <f>O61/3.571428</f>
        <v>0.54761904761904767</v>
      </c>
      <c r="Q61" s="1279" t="s">
        <v>181</v>
      </c>
      <c r="R61" s="60"/>
      <c r="S61" s="132" t="s">
        <v>407</v>
      </c>
    </row>
    <row r="62" spans="1:19" ht="58.25" customHeight="1" x14ac:dyDescent="0.45">
      <c r="A62" s="811"/>
      <c r="B62" s="824"/>
      <c r="C62" s="828"/>
      <c r="D62" s="516" t="s">
        <v>134</v>
      </c>
      <c r="E62" s="517">
        <f t="shared" ref="E62:E63" si="20">$C$61/4</f>
        <v>0.8928571428571429</v>
      </c>
      <c r="F62" s="573" t="s">
        <v>276</v>
      </c>
      <c r="G62" s="506">
        <f>$E$62/1</f>
        <v>0.8928571428571429</v>
      </c>
      <c r="H62" s="1328">
        <v>60</v>
      </c>
      <c r="I62" s="1329">
        <v>60</v>
      </c>
      <c r="J62" s="1120">
        <f>IF(I62=H62,(H62-70),H62-I62)</f>
        <v>-10</v>
      </c>
      <c r="K62" s="962">
        <f t="shared" ref="K62:K63" si="21">IF(I62&gt;=70,0,((70-I62)*(6/10)))</f>
        <v>6</v>
      </c>
      <c r="L62" s="1121">
        <f t="shared" si="19"/>
        <v>66</v>
      </c>
      <c r="M62" s="1083">
        <f>IF(I62&gt;=70,(1+(H62-70)/70),(H62/70))</f>
        <v>0.8571428571428571</v>
      </c>
      <c r="N62" s="1122"/>
      <c r="O62" s="1319"/>
      <c r="P62" s="967"/>
      <c r="Q62" s="1283" t="s">
        <v>182</v>
      </c>
      <c r="R62" s="337" t="s">
        <v>414</v>
      </c>
      <c r="S62" s="53"/>
    </row>
    <row r="63" spans="1:19" ht="26.45" customHeight="1" x14ac:dyDescent="0.45">
      <c r="A63" s="811"/>
      <c r="B63" s="824"/>
      <c r="C63" s="828"/>
      <c r="D63" s="516" t="s">
        <v>135</v>
      </c>
      <c r="E63" s="517">
        <f t="shared" si="20"/>
        <v>0.8928571428571429</v>
      </c>
      <c r="F63" s="516" t="s">
        <v>51</v>
      </c>
      <c r="G63" s="506">
        <f>E63/1</f>
        <v>0.8928571428571429</v>
      </c>
      <c r="H63" s="1328">
        <v>70</v>
      </c>
      <c r="I63" s="1329">
        <v>70</v>
      </c>
      <c r="J63" s="1120">
        <f>IF(I63=H63,(H63-70),H63-I63)</f>
        <v>0</v>
      </c>
      <c r="K63" s="962">
        <f t="shared" si="21"/>
        <v>0</v>
      </c>
      <c r="L63" s="1121">
        <f t="shared" si="19"/>
        <v>70</v>
      </c>
      <c r="M63" s="1083">
        <f t="shared" ref="M63" si="22">IF(I63&gt;=70,(1+(H63-70)/70),(J63/K63))</f>
        <v>1</v>
      </c>
      <c r="N63" s="1122"/>
      <c r="O63" s="1319"/>
      <c r="P63" s="967"/>
      <c r="Q63" s="1283" t="s">
        <v>95</v>
      </c>
      <c r="R63" s="337" t="s">
        <v>414</v>
      </c>
      <c r="S63" s="53"/>
    </row>
    <row r="64" spans="1:19" ht="15" customHeight="1" x14ac:dyDescent="0.45">
      <c r="A64" s="811"/>
      <c r="B64" s="824"/>
      <c r="C64" s="828"/>
      <c r="D64" s="844" t="s">
        <v>136</v>
      </c>
      <c r="E64" s="846">
        <f>$C$61/4</f>
        <v>0.8928571428571429</v>
      </c>
      <c r="F64" s="580" t="s">
        <v>52</v>
      </c>
      <c r="G64" s="581">
        <f>$E$64/3</f>
        <v>0.29761904761904762</v>
      </c>
      <c r="H64" s="1243">
        <v>100</v>
      </c>
      <c r="I64" s="1330">
        <v>100</v>
      </c>
      <c r="J64" s="1125">
        <f t="shared" ref="J64:J66" si="23">H64-I64</f>
        <v>0</v>
      </c>
      <c r="K64" s="1126">
        <f>(100-I64)*(6/10)</f>
        <v>0</v>
      </c>
      <c r="L64" s="1121">
        <f t="shared" si="19"/>
        <v>100</v>
      </c>
      <c r="M64" s="964" t="str">
        <f t="shared" ref="M64:M66" si="24">IF(K64&lt;&gt;0,J64/K64,"100%")</f>
        <v>100%</v>
      </c>
      <c r="N64" s="1122"/>
      <c r="O64" s="1319"/>
      <c r="P64" s="967"/>
      <c r="Q64" s="1283" t="s">
        <v>95</v>
      </c>
      <c r="R64" s="124"/>
      <c r="S64" s="348" t="s">
        <v>327</v>
      </c>
    </row>
    <row r="65" spans="1:19" x14ac:dyDescent="0.45">
      <c r="A65" s="811"/>
      <c r="B65" s="824"/>
      <c r="C65" s="828"/>
      <c r="D65" s="844"/>
      <c r="E65" s="846"/>
      <c r="F65" s="580" t="s">
        <v>53</v>
      </c>
      <c r="G65" s="581">
        <f t="shared" ref="G65:G66" si="25">$E$64/3</f>
        <v>0.29761904761904762</v>
      </c>
      <c r="H65" s="1243">
        <v>0</v>
      </c>
      <c r="I65" s="1330">
        <v>0</v>
      </c>
      <c r="J65" s="1125">
        <f t="shared" si="23"/>
        <v>0</v>
      </c>
      <c r="K65" s="1126">
        <f>(100-I65)*(6/10)</f>
        <v>60</v>
      </c>
      <c r="L65" s="1121">
        <f t="shared" si="19"/>
        <v>60</v>
      </c>
      <c r="M65" s="964">
        <f t="shared" si="24"/>
        <v>0</v>
      </c>
      <c r="N65" s="1122"/>
      <c r="O65" s="1319"/>
      <c r="P65" s="967"/>
      <c r="Q65" s="1283" t="s">
        <v>95</v>
      </c>
      <c r="R65" s="134"/>
      <c r="S65" s="348" t="s">
        <v>327</v>
      </c>
    </row>
    <row r="66" spans="1:19" ht="27.6" customHeight="1" thickBot="1" x14ac:dyDescent="0.5">
      <c r="A66" s="811"/>
      <c r="B66" s="861"/>
      <c r="C66" s="852"/>
      <c r="D66" s="851"/>
      <c r="E66" s="865"/>
      <c r="F66" s="582" t="s">
        <v>54</v>
      </c>
      <c r="G66" s="583">
        <f t="shared" si="25"/>
        <v>0.29761904761904762</v>
      </c>
      <c r="H66" s="1248">
        <v>0</v>
      </c>
      <c r="I66" s="1249">
        <v>0</v>
      </c>
      <c r="J66" s="1127">
        <f t="shared" si="23"/>
        <v>0</v>
      </c>
      <c r="K66" s="1128">
        <f>(100-I66)*(6/10)</f>
        <v>60</v>
      </c>
      <c r="L66" s="1129">
        <f t="shared" si="19"/>
        <v>60</v>
      </c>
      <c r="M66" s="972">
        <f t="shared" si="24"/>
        <v>0</v>
      </c>
      <c r="N66" s="1130"/>
      <c r="O66" s="1323"/>
      <c r="P66" s="942"/>
      <c r="Q66" s="1331" t="s">
        <v>95</v>
      </c>
      <c r="R66" s="325"/>
      <c r="S66" s="348" t="s">
        <v>327</v>
      </c>
    </row>
    <row r="67" spans="1:19" ht="27" customHeight="1" thickBot="1" x14ac:dyDescent="0.5">
      <c r="B67" s="820" t="s">
        <v>55</v>
      </c>
      <c r="C67" s="821"/>
      <c r="D67" s="821"/>
      <c r="E67" s="821"/>
      <c r="F67" s="822"/>
      <c r="G67" s="549"/>
      <c r="H67" s="1284"/>
      <c r="I67" s="1285"/>
      <c r="J67" s="1057"/>
      <c r="K67" s="1058"/>
      <c r="L67" s="1058"/>
      <c r="M67" s="1059"/>
      <c r="N67" s="918">
        <f>N68</f>
        <v>0</v>
      </c>
      <c r="O67" s="919">
        <f>O68</f>
        <v>0</v>
      </c>
      <c r="P67" s="920">
        <f>O67/3.571428</f>
        <v>0</v>
      </c>
      <c r="Q67" s="1332"/>
      <c r="R67" s="649"/>
      <c r="S67" s="650"/>
    </row>
    <row r="68" spans="1:19" ht="58.5" thickBot="1" x14ac:dyDescent="0.5">
      <c r="A68" s="16">
        <v>17</v>
      </c>
      <c r="B68" s="586" t="s">
        <v>56</v>
      </c>
      <c r="C68" s="587">
        <f>M5</f>
        <v>3.5714285714285716</v>
      </c>
      <c r="D68" s="586" t="s">
        <v>137</v>
      </c>
      <c r="E68" s="587">
        <f>C68</f>
        <v>3.5714285714285716</v>
      </c>
      <c r="F68" s="586" t="s">
        <v>57</v>
      </c>
      <c r="G68" s="588">
        <f>E68/1</f>
        <v>3.5714285714285716</v>
      </c>
      <c r="H68" s="1333"/>
      <c r="I68" s="1334"/>
      <c r="J68" s="1133">
        <f>IF(I68=H68,(H68-70),I68-H68)</f>
        <v>-70</v>
      </c>
      <c r="K68" s="1027">
        <f t="shared" ref="K68" si="26">IF(I68&gt;=70,0,((70-I68)*(6/10)))</f>
        <v>42</v>
      </c>
      <c r="L68" s="1134">
        <f>I68-K68</f>
        <v>-42</v>
      </c>
      <c r="M68" s="964" t="str">
        <f>IF(H68=0,"0%",J68/K68)</f>
        <v>0%</v>
      </c>
      <c r="N68" s="1135">
        <f>((G68/C68)*M68)</f>
        <v>0</v>
      </c>
      <c r="O68" s="1018">
        <f>IF(((G68/C68)*M68)&gt;=1,3.571428,IF(((G68/C68)*M68)&lt;=0,0,((G68/C68)*M68)*3.571428))</f>
        <v>0</v>
      </c>
      <c r="P68" s="920">
        <f>O68/3.571428</f>
        <v>0</v>
      </c>
      <c r="Q68" s="1335" t="s">
        <v>132</v>
      </c>
      <c r="R68" s="86" t="s">
        <v>322</v>
      </c>
      <c r="S68" s="132" t="s">
        <v>407</v>
      </c>
    </row>
    <row r="69" spans="1:19" ht="22.25" customHeight="1" thickBot="1" x14ac:dyDescent="0.5">
      <c r="B69" s="724" t="s">
        <v>58</v>
      </c>
      <c r="C69" s="725"/>
      <c r="D69" s="725"/>
      <c r="E69" s="725"/>
      <c r="F69" s="726"/>
      <c r="G69" s="126"/>
      <c r="H69" s="1336"/>
      <c r="I69" s="1337"/>
      <c r="J69" s="1138"/>
      <c r="K69" s="1139"/>
      <c r="L69" s="1139"/>
      <c r="M69" s="1140"/>
      <c r="N69" s="918">
        <f>(N70+N72+N74)/3</f>
        <v>0</v>
      </c>
      <c r="O69" s="919">
        <f>(O70+O72+O74)</f>
        <v>0</v>
      </c>
      <c r="P69" s="920">
        <f>O69/10.714284</f>
        <v>0</v>
      </c>
      <c r="Q69" s="1338"/>
      <c r="R69" s="334"/>
      <c r="S69" s="335"/>
    </row>
    <row r="70" spans="1:19" ht="20.45" customHeight="1" thickBot="1" x14ac:dyDescent="0.5">
      <c r="B70" s="831" t="s">
        <v>59</v>
      </c>
      <c r="C70" s="832"/>
      <c r="D70" s="832"/>
      <c r="E70" s="832"/>
      <c r="F70" s="833"/>
      <c r="G70" s="511"/>
      <c r="H70" s="1292"/>
      <c r="I70" s="1293"/>
      <c r="J70" s="977"/>
      <c r="K70" s="977"/>
      <c r="L70" s="977"/>
      <c r="M70" s="1141"/>
      <c r="N70" s="918">
        <f>N71</f>
        <v>0</v>
      </c>
      <c r="O70" s="919">
        <f>O71</f>
        <v>0</v>
      </c>
      <c r="P70" s="920">
        <f t="shared" ref="P70:P78" si="27">O70/3.571428</f>
        <v>0</v>
      </c>
      <c r="Q70" s="1315"/>
      <c r="R70" s="651"/>
      <c r="S70" s="651"/>
    </row>
    <row r="71" spans="1:19" ht="52.25" customHeight="1" thickBot="1" x14ac:dyDescent="0.5">
      <c r="A71" s="16">
        <v>18</v>
      </c>
      <c r="B71" s="591" t="s">
        <v>60</v>
      </c>
      <c r="C71" s="592">
        <f>M5</f>
        <v>3.5714285714285716</v>
      </c>
      <c r="D71" s="593" t="s">
        <v>138</v>
      </c>
      <c r="E71" s="594">
        <f>C71</f>
        <v>3.5714285714285716</v>
      </c>
      <c r="F71" s="595" t="s">
        <v>61</v>
      </c>
      <c r="G71" s="596">
        <f>E71/1</f>
        <v>3.5714285714285716</v>
      </c>
      <c r="H71" s="1339"/>
      <c r="I71" s="1340"/>
      <c r="J71" s="1142">
        <f>I71-H71</f>
        <v>0</v>
      </c>
      <c r="K71" s="1025">
        <f>(0.5*I71)*0.6</f>
        <v>0</v>
      </c>
      <c r="L71" s="1134">
        <f>I71-K71</f>
        <v>0</v>
      </c>
      <c r="M71" s="964" t="str">
        <f>IF(H71=0,"0%",J71/K71)</f>
        <v>0%</v>
      </c>
      <c r="N71" s="1135">
        <f>((G71/C71)*M71)</f>
        <v>0</v>
      </c>
      <c r="O71" s="1018">
        <f>IF(((G71/C71)*M71)&gt;=1,3.571428,IF(((G71/C71)*M71)&lt;=0,0,((G71/C71)*M71)*3.571428))</f>
        <v>0</v>
      </c>
      <c r="P71" s="920">
        <f t="shared" si="27"/>
        <v>0</v>
      </c>
      <c r="Q71" s="1341" t="s">
        <v>183</v>
      </c>
      <c r="R71" s="331"/>
      <c r="S71" s="132" t="s">
        <v>407</v>
      </c>
    </row>
    <row r="72" spans="1:19" ht="20.45" customHeight="1" thickBot="1" x14ac:dyDescent="0.5">
      <c r="B72" s="853" t="s">
        <v>277</v>
      </c>
      <c r="C72" s="854"/>
      <c r="D72" s="854"/>
      <c r="E72" s="854"/>
      <c r="F72" s="856"/>
      <c r="G72" s="536"/>
      <c r="H72" s="1292"/>
      <c r="I72" s="1293"/>
      <c r="J72" s="1031"/>
      <c r="K72" s="1032"/>
      <c r="L72" s="1032"/>
      <c r="M72" s="1033"/>
      <c r="N72" s="918">
        <f>N73</f>
        <v>0</v>
      </c>
      <c r="O72" s="919">
        <f>O73</f>
        <v>0</v>
      </c>
      <c r="P72" s="920">
        <f t="shared" si="27"/>
        <v>0</v>
      </c>
      <c r="Q72" s="1342"/>
      <c r="R72" s="651"/>
      <c r="S72" s="651"/>
    </row>
    <row r="73" spans="1:19" ht="45" customHeight="1" thickBot="1" x14ac:dyDescent="0.5">
      <c r="A73" s="16">
        <v>19</v>
      </c>
      <c r="B73" s="599" t="s">
        <v>62</v>
      </c>
      <c r="C73" s="600">
        <f>M5</f>
        <v>3.5714285714285716</v>
      </c>
      <c r="D73" s="601" t="s">
        <v>139</v>
      </c>
      <c r="E73" s="600">
        <f>C73</f>
        <v>3.5714285714285716</v>
      </c>
      <c r="F73" s="602" t="s">
        <v>63</v>
      </c>
      <c r="G73" s="603">
        <f>E73/1</f>
        <v>3.5714285714285716</v>
      </c>
      <c r="H73" s="1270"/>
      <c r="I73" s="1311"/>
      <c r="J73" s="1143">
        <f>I73-H73</f>
        <v>0</v>
      </c>
      <c r="K73" s="1144">
        <f>IF(H73&gt;0,(H73),I73)</f>
        <v>0</v>
      </c>
      <c r="L73" s="1145">
        <f>I73-K73</f>
        <v>0</v>
      </c>
      <c r="M73" s="964" t="str">
        <f>IF(H73=0,"0%",J73/K73)</f>
        <v>0%</v>
      </c>
      <c r="N73" s="1135">
        <f>((G73/C73)*M73)</f>
        <v>0</v>
      </c>
      <c r="O73" s="1018">
        <f>IF(((G73/C73)*M73)&gt;=1,3.571428,IF(((G73/C73)*M73)&lt;=0,0,((G73/C73)*M73)*3.571428))</f>
        <v>0</v>
      </c>
      <c r="P73" s="920">
        <f t="shared" si="27"/>
        <v>0</v>
      </c>
      <c r="Q73" s="1343" t="s">
        <v>95</v>
      </c>
      <c r="R73" s="86"/>
      <c r="S73" s="132" t="s">
        <v>407</v>
      </c>
    </row>
    <row r="74" spans="1:19" ht="30.6" customHeight="1" thickBot="1" x14ac:dyDescent="0.5">
      <c r="B74" s="831" t="s">
        <v>64</v>
      </c>
      <c r="C74" s="832"/>
      <c r="D74" s="832"/>
      <c r="E74" s="832"/>
      <c r="F74" s="833"/>
      <c r="G74" s="512"/>
      <c r="H74" s="1292"/>
      <c r="I74" s="1293"/>
      <c r="J74" s="977"/>
      <c r="K74" s="977"/>
      <c r="L74" s="977"/>
      <c r="M74" s="1059"/>
      <c r="N74" s="918">
        <f>N75</f>
        <v>0</v>
      </c>
      <c r="O74" s="919">
        <f>O75</f>
        <v>0</v>
      </c>
      <c r="P74" s="920">
        <f t="shared" si="27"/>
        <v>0</v>
      </c>
      <c r="Q74" s="1315"/>
      <c r="R74" s="330"/>
      <c r="S74" s="330"/>
    </row>
    <row r="75" spans="1:19" ht="29.45" customHeight="1" thickBot="1" x14ac:dyDescent="0.5">
      <c r="A75" s="16">
        <v>20</v>
      </c>
      <c r="B75" s="599" t="s">
        <v>65</v>
      </c>
      <c r="C75" s="532">
        <f>M5</f>
        <v>3.5714285714285716</v>
      </c>
      <c r="D75" s="593" t="s">
        <v>140</v>
      </c>
      <c r="E75" s="605">
        <f>C75</f>
        <v>3.5714285714285716</v>
      </c>
      <c r="F75" s="601" t="s">
        <v>66</v>
      </c>
      <c r="G75" s="596">
        <f>E75/1</f>
        <v>3.5714285714285716</v>
      </c>
      <c r="H75" s="1270">
        <v>0</v>
      </c>
      <c r="I75" s="1344">
        <v>0</v>
      </c>
      <c r="J75" s="1096">
        <f>H75-I75</f>
        <v>0</v>
      </c>
      <c r="K75" s="1097">
        <f>IF(AND(H75=0,I75=1)," 1",(H75-I75))</f>
        <v>0</v>
      </c>
      <c r="L75" s="1148">
        <f>I75+K75</f>
        <v>0</v>
      </c>
      <c r="M75" s="964" t="str">
        <f>IF(H75=0,"0%",J75/K75)</f>
        <v>0%</v>
      </c>
      <c r="N75" s="1135">
        <f>((G75/C75)*M75)</f>
        <v>0</v>
      </c>
      <c r="O75" s="1018">
        <f>IF(((G75/C75)*M75)&gt;=1,3.571428,IF(((G75/C75)*M75)&lt;=0,0,((G75/C75)*M75)*3.571428))</f>
        <v>0</v>
      </c>
      <c r="P75" s="920">
        <f t="shared" si="27"/>
        <v>0</v>
      </c>
      <c r="Q75" s="1345" t="s">
        <v>95</v>
      </c>
      <c r="R75" s="187"/>
      <c r="S75" s="132" t="s">
        <v>407</v>
      </c>
    </row>
    <row r="76" spans="1:19" ht="20.45" customHeight="1" thickBot="1" x14ac:dyDescent="0.5">
      <c r="B76" s="876" t="s">
        <v>67</v>
      </c>
      <c r="C76" s="877"/>
      <c r="D76" s="877"/>
      <c r="E76" s="877"/>
      <c r="F76" s="878"/>
      <c r="G76" s="607"/>
      <c r="H76" s="1346"/>
      <c r="I76" s="1347"/>
      <c r="J76" s="1152"/>
      <c r="K76" s="1153"/>
      <c r="L76" s="1153"/>
      <c r="M76" s="1154"/>
      <c r="N76" s="918">
        <f t="shared" ref="N76:O77" si="28">N77</f>
        <v>1.6666666666666665</v>
      </c>
      <c r="O76" s="919">
        <f t="shared" si="28"/>
        <v>3.571428</v>
      </c>
      <c r="P76" s="920">
        <f t="shared" si="27"/>
        <v>1</v>
      </c>
      <c r="Q76" s="1348"/>
      <c r="R76" s="322"/>
      <c r="S76" s="322"/>
    </row>
    <row r="77" spans="1:19" ht="20.45" customHeight="1" thickBot="1" x14ac:dyDescent="0.5">
      <c r="B77" s="831" t="s">
        <v>68</v>
      </c>
      <c r="C77" s="832"/>
      <c r="D77" s="832"/>
      <c r="E77" s="832"/>
      <c r="F77" s="833"/>
      <c r="G77" s="511"/>
      <c r="H77" s="1292"/>
      <c r="I77" s="1293"/>
      <c r="J77" s="996"/>
      <c r="K77" s="997"/>
      <c r="L77" s="997"/>
      <c r="M77" s="978"/>
      <c r="N77" s="918">
        <f t="shared" si="28"/>
        <v>1.6666666666666665</v>
      </c>
      <c r="O77" s="919">
        <f t="shared" si="28"/>
        <v>3.571428</v>
      </c>
      <c r="P77" s="920">
        <f t="shared" si="27"/>
        <v>1</v>
      </c>
      <c r="Q77" s="1315"/>
      <c r="R77" s="330"/>
      <c r="S77" s="330"/>
    </row>
    <row r="78" spans="1:19" ht="35.25" thickBot="1" x14ac:dyDescent="0.5">
      <c r="A78" s="16">
        <v>21</v>
      </c>
      <c r="B78" s="599" t="s">
        <v>69</v>
      </c>
      <c r="C78" s="605">
        <f>M5</f>
        <v>3.5714285714285716</v>
      </c>
      <c r="D78" s="609" t="s">
        <v>141</v>
      </c>
      <c r="E78" s="605">
        <f>C78</f>
        <v>3.5714285714285716</v>
      </c>
      <c r="F78" s="609" t="s">
        <v>70</v>
      </c>
      <c r="G78" s="587">
        <f>E78/1</f>
        <v>3.5714285714285716</v>
      </c>
      <c r="H78" s="1349">
        <v>100</v>
      </c>
      <c r="I78" s="1350">
        <v>100</v>
      </c>
      <c r="J78" s="1133">
        <f>IF(I78=H78,(H78-60),H78-I78)</f>
        <v>40</v>
      </c>
      <c r="K78" s="1027">
        <f>IF(I78&gt;=60,0,((60-I78)*(6/10)))</f>
        <v>0</v>
      </c>
      <c r="L78" s="1134">
        <f t="shared" ref="L78" si="29">K78+I78</f>
        <v>100</v>
      </c>
      <c r="M78" s="1016">
        <f>IF(I78&gt;=60,(1+(H78-60)/60),(H78/L78))</f>
        <v>1.6666666666666665</v>
      </c>
      <c r="N78" s="1135">
        <f>((G78/C78)*M78)</f>
        <v>1.6666666666666665</v>
      </c>
      <c r="O78" s="1018">
        <f>IF(((G78/C78)*M78)&gt;=1,3.571428,IF(((G78/C78)*M78)&lt;=0,0,((G78/C78)*M78)*3.571428))</f>
        <v>3.571428</v>
      </c>
      <c r="P78" s="920">
        <f t="shared" si="27"/>
        <v>1</v>
      </c>
      <c r="Q78" s="1351" t="s">
        <v>95</v>
      </c>
      <c r="R78" s="86"/>
      <c r="S78" s="349" t="s">
        <v>415</v>
      </c>
    </row>
    <row r="79" spans="1:19" ht="21.6" customHeight="1" thickBot="1" x14ac:dyDescent="0.5">
      <c r="B79" s="870" t="s">
        <v>71</v>
      </c>
      <c r="C79" s="871"/>
      <c r="D79" s="871"/>
      <c r="E79" s="871"/>
      <c r="F79" s="872"/>
      <c r="G79" s="607"/>
      <c r="H79" s="1346"/>
      <c r="I79" s="1347"/>
      <c r="J79" s="1155"/>
      <c r="K79" s="1156"/>
      <c r="L79" s="1156"/>
      <c r="M79" s="1154"/>
      <c r="N79" s="918">
        <f>(N80+N86)/2</f>
        <v>0.29640926530667178</v>
      </c>
      <c r="O79" s="919">
        <f>(O80+O86)</f>
        <v>4.3218588780035603</v>
      </c>
      <c r="P79" s="920">
        <f>O79/10.714284</f>
        <v>0.40337355982010187</v>
      </c>
      <c r="Q79" s="1348"/>
      <c r="R79" s="322"/>
      <c r="S79" s="322"/>
    </row>
    <row r="80" spans="1:19" ht="20.45" customHeight="1" thickBot="1" x14ac:dyDescent="0.5">
      <c r="B80" s="820" t="s">
        <v>72</v>
      </c>
      <c r="C80" s="821"/>
      <c r="D80" s="821"/>
      <c r="E80" s="821"/>
      <c r="F80" s="822"/>
      <c r="G80" s="567"/>
      <c r="H80" s="1292"/>
      <c r="I80" s="1293"/>
      <c r="J80" s="977"/>
      <c r="K80" s="977"/>
      <c r="L80" s="977"/>
      <c r="M80" s="1099"/>
      <c r="N80" s="918">
        <f>(N81+N83)/2</f>
        <v>0.18327437106918418</v>
      </c>
      <c r="O80" s="919">
        <f>(O81+O83)</f>
        <v>2.8592013993710821</v>
      </c>
      <c r="P80" s="920">
        <f>O80/7.142856</f>
        <v>0.4002882599580731</v>
      </c>
      <c r="Q80" s="1352"/>
      <c r="R80" s="324"/>
      <c r="S80" s="324"/>
    </row>
    <row r="81" spans="1:19" ht="46.5" x14ac:dyDescent="0.45">
      <c r="A81" s="16"/>
      <c r="B81" s="873" t="s">
        <v>73</v>
      </c>
      <c r="C81" s="827">
        <f>M5</f>
        <v>3.5714285714285716</v>
      </c>
      <c r="D81" s="513" t="s">
        <v>267</v>
      </c>
      <c r="E81" s="475">
        <f>$C$81/2</f>
        <v>1.7857142857142858</v>
      </c>
      <c r="F81" s="569" t="s">
        <v>278</v>
      </c>
      <c r="G81" s="503">
        <f>E81/1</f>
        <v>1.7857142857142858</v>
      </c>
      <c r="H81" s="1353">
        <v>4</v>
      </c>
      <c r="I81" s="1354">
        <v>4</v>
      </c>
      <c r="J81" s="1062">
        <f>IF(I81=H81,(H81-50),H81-I81)</f>
        <v>-46</v>
      </c>
      <c r="K81" s="956">
        <f>IF(I81&gt;=50,0,((50-I81)*(6/10)))</f>
        <v>27.599999999999998</v>
      </c>
      <c r="L81" s="1159">
        <f>I81+K81</f>
        <v>31.599999999999998</v>
      </c>
      <c r="M81" s="930">
        <f>IF(I81&gt;=50,(1+(H81-50)/50),(J81/K81))</f>
        <v>-1.6666666666666667</v>
      </c>
      <c r="N81" s="1119">
        <f>(((G81/C81)*M81)+((G82/C81)*M82))</f>
        <v>-0.43402777777777785</v>
      </c>
      <c r="O81" s="983">
        <f>IF((((G81/C81)*M81)+((G82/C81)*M82))&gt;=1,3.57148,IF((((G81/C81)*M81)+((G82/C81)*M82))&lt;=0,0, (((G81/C81)*M81)+((G82/C81)*M82))*3.571428))</f>
        <v>0</v>
      </c>
      <c r="P81" s="933">
        <f>O81/3.571428</f>
        <v>0</v>
      </c>
      <c r="Q81" s="1355" t="s">
        <v>279</v>
      </c>
      <c r="R81" s="298"/>
      <c r="S81" s="51"/>
    </row>
    <row r="82" spans="1:19" ht="39.6" customHeight="1" thickBot="1" x14ac:dyDescent="0.5">
      <c r="A82" s="16"/>
      <c r="B82" s="874"/>
      <c r="C82" s="875"/>
      <c r="D82" s="526" t="s">
        <v>268</v>
      </c>
      <c r="E82" s="484">
        <f>$C$81/2</f>
        <v>1.7857142857142858</v>
      </c>
      <c r="F82" s="527" t="s">
        <v>74</v>
      </c>
      <c r="G82" s="509">
        <f>E82/1</f>
        <v>1.7857142857142858</v>
      </c>
      <c r="H82" s="1356">
        <v>23</v>
      </c>
      <c r="I82" s="1357">
        <v>27</v>
      </c>
      <c r="J82" s="1162">
        <f>IF(I82=H82,(H82-30),H82-I82)</f>
        <v>-4</v>
      </c>
      <c r="K82" s="971">
        <f>IF(I82&gt;=30,0,((30-I82)*(6/10)))</f>
        <v>1.7999999999999998</v>
      </c>
      <c r="L82" s="1163">
        <f t="shared" ref="L82" si="30">K82+I82</f>
        <v>28.8</v>
      </c>
      <c r="M82" s="972">
        <f>IF(I82&gt;=30,(1+(H82-30)/30),(H82/L82))</f>
        <v>0.79861111111111105</v>
      </c>
      <c r="N82" s="1130"/>
      <c r="O82" s="1224"/>
      <c r="P82" s="942"/>
      <c r="Q82" s="1358" t="s">
        <v>282</v>
      </c>
      <c r="R82" s="135"/>
      <c r="S82" s="350" t="s">
        <v>416</v>
      </c>
    </row>
    <row r="83" spans="1:19" ht="60" customHeight="1" x14ac:dyDescent="0.45">
      <c r="A83" s="16"/>
      <c r="B83" s="887" t="s">
        <v>142</v>
      </c>
      <c r="C83" s="889">
        <f>M5</f>
        <v>3.5714285714285716</v>
      </c>
      <c r="D83" s="614" t="s">
        <v>145</v>
      </c>
      <c r="E83" s="475">
        <f>$C$81/3</f>
        <v>1.1904761904761905</v>
      </c>
      <c r="F83" s="513" t="s">
        <v>143</v>
      </c>
      <c r="G83" s="475">
        <f>E83/1</f>
        <v>1.1904761904761905</v>
      </c>
      <c r="H83" s="1353">
        <v>47</v>
      </c>
      <c r="I83" s="1354">
        <v>53</v>
      </c>
      <c r="J83" s="1164">
        <f>I83-H83</f>
        <v>6</v>
      </c>
      <c r="K83" s="1050">
        <f>(0.2*I83)*(6/10)</f>
        <v>6.36</v>
      </c>
      <c r="L83" s="1165">
        <f>I83-K83</f>
        <v>46.64</v>
      </c>
      <c r="M83" s="930">
        <f>IF(K83&lt;&gt;0,J83/K83,"0%")</f>
        <v>0.94339622641509424</v>
      </c>
      <c r="N83" s="1166">
        <f>(((G83/C83)*M83)+((G84/C83)*M84)+((G85/C83)*M85))</f>
        <v>0.8005765199161462</v>
      </c>
      <c r="O83" s="958">
        <f>IF((((G83/C83)*M83)+((G84/C83)*M84)+((G85/C83)*M85))&gt;=1,3.571428,IF((((G83/C83)*M83)+((G84/C83)*M84)+((G85/C83)*M85))&lt;=0,0,(((G83/C83)*M83)+((G84/C83)*M84)+((G85/C83)*M85))*3.571428))</f>
        <v>2.8592013993710821</v>
      </c>
      <c r="P83" s="933">
        <f>O83/3.571428</f>
        <v>0.8005765199161462</v>
      </c>
      <c r="Q83" s="1359" t="s">
        <v>184</v>
      </c>
      <c r="R83" s="351"/>
      <c r="S83" s="189"/>
    </row>
    <row r="84" spans="1:19" ht="45" customHeight="1" x14ac:dyDescent="0.45">
      <c r="A84" s="16"/>
      <c r="B84" s="887"/>
      <c r="C84" s="890"/>
      <c r="D84" s="616" t="s">
        <v>146</v>
      </c>
      <c r="E84" s="517">
        <f t="shared" ref="E84:E85" si="31">$C$81/3</f>
        <v>1.1904761904761905</v>
      </c>
      <c r="F84" s="573" t="s">
        <v>283</v>
      </c>
      <c r="G84" s="517">
        <f>E84/1</f>
        <v>1.1904761904761905</v>
      </c>
      <c r="H84" s="1360"/>
      <c r="I84" s="1361"/>
      <c r="J84" s="1169">
        <f>I84-H84</f>
        <v>0</v>
      </c>
      <c r="K84" s="1050">
        <f>(0.5*I84)*(6/10)</f>
        <v>0</v>
      </c>
      <c r="L84" s="1170">
        <f>I84-K84</f>
        <v>0</v>
      </c>
      <c r="M84" s="964" t="str">
        <f>IF(H84=0,"0%",J84/K84)</f>
        <v>0%</v>
      </c>
      <c r="N84" s="1171"/>
      <c r="O84" s="1234"/>
      <c r="P84" s="967"/>
      <c r="Q84" s="1362" t="s">
        <v>185</v>
      </c>
      <c r="R84" s="96"/>
      <c r="S84" s="132" t="s">
        <v>407</v>
      </c>
    </row>
    <row r="85" spans="1:19" ht="38.450000000000003" customHeight="1" thickBot="1" x14ac:dyDescent="0.5">
      <c r="A85" s="16"/>
      <c r="B85" s="888"/>
      <c r="C85" s="891"/>
      <c r="D85" s="618" t="s">
        <v>147</v>
      </c>
      <c r="E85" s="484">
        <f t="shared" si="31"/>
        <v>1.1904761904761905</v>
      </c>
      <c r="F85" s="527" t="s">
        <v>144</v>
      </c>
      <c r="G85" s="484">
        <f>E85/1</f>
        <v>1.1904761904761905</v>
      </c>
      <c r="H85" s="1363">
        <v>99.9</v>
      </c>
      <c r="I85" s="1357">
        <v>99.2</v>
      </c>
      <c r="J85" s="1172">
        <f>H85-I85</f>
        <v>0.70000000000000284</v>
      </c>
      <c r="K85" s="1173">
        <f>(100-I85)*(6/10)</f>
        <v>0.47999999999999826</v>
      </c>
      <c r="L85" s="1174">
        <f>I85+K85</f>
        <v>99.68</v>
      </c>
      <c r="M85" s="939">
        <f>IF(H85&gt;=100,167%, IF(K85&lt;&gt;0,J85/K85,"0%"))</f>
        <v>1.4583333333333446</v>
      </c>
      <c r="N85" s="1175"/>
      <c r="O85" s="1238"/>
      <c r="P85" s="942"/>
      <c r="Q85" s="1364" t="s">
        <v>284</v>
      </c>
      <c r="R85" s="352"/>
      <c r="S85" s="137"/>
    </row>
    <row r="86" spans="1:19" ht="20.45" customHeight="1" thickBot="1" x14ac:dyDescent="0.5">
      <c r="B86" s="879" t="s">
        <v>75</v>
      </c>
      <c r="C86" s="880"/>
      <c r="D86" s="880"/>
      <c r="E86" s="880"/>
      <c r="F86" s="881"/>
      <c r="G86" s="590"/>
      <c r="H86" s="1284"/>
      <c r="I86" s="1285"/>
      <c r="J86" s="1178"/>
      <c r="K86" s="1179"/>
      <c r="L86" s="1179"/>
      <c r="M86" s="1099"/>
      <c r="N86" s="918">
        <f>N87</f>
        <v>0.4095441595441594</v>
      </c>
      <c r="O86" s="919">
        <f>O87</f>
        <v>1.4626574786324782</v>
      </c>
      <c r="P86" s="920">
        <f>O86/3.571428</f>
        <v>0.4095441595441594</v>
      </c>
      <c r="Q86" s="1058"/>
      <c r="R86" s="324"/>
      <c r="S86" s="324"/>
    </row>
    <row r="87" spans="1:19" ht="27.6" customHeight="1" x14ac:dyDescent="0.45">
      <c r="A87" s="836">
        <v>24</v>
      </c>
      <c r="B87" s="882" t="s">
        <v>76</v>
      </c>
      <c r="C87" s="884">
        <f>M5</f>
        <v>3.5714285714285716</v>
      </c>
      <c r="D87" s="543" t="s">
        <v>159</v>
      </c>
      <c r="E87" s="544">
        <f>($C$87/3)</f>
        <v>1.1904761904761905</v>
      </c>
      <c r="F87" s="620" t="s">
        <v>285</v>
      </c>
      <c r="G87" s="621">
        <f>E87/1</f>
        <v>1.1904761904761905</v>
      </c>
      <c r="H87" s="1365">
        <v>34.4</v>
      </c>
      <c r="I87" s="1366">
        <v>38.4</v>
      </c>
      <c r="J87" s="1182">
        <f>I87-H87</f>
        <v>4</v>
      </c>
      <c r="K87" s="1183">
        <f>(0.25*I87)*(6/10)</f>
        <v>5.76</v>
      </c>
      <c r="L87" s="1184">
        <f>I87-K87</f>
        <v>32.64</v>
      </c>
      <c r="M87" s="930">
        <f>IF(K87&lt;&gt;0,J87/K87,"0%")</f>
        <v>0.69444444444444442</v>
      </c>
      <c r="N87" s="965">
        <f>(((G87/C87)*M87)+((G88/C87)*M88)+((G89/C87)*M89)+((G90/C87)*M90)+((G91/C87)*M91))</f>
        <v>0.4095441595441594</v>
      </c>
      <c r="O87" s="958">
        <f>IF((((G87/C87)*M87)+((G88/C87)*M88)+((G89/C87)*M89)+((G90/C87)*M90)+((G91/C87)*M91))&gt;=1,3.571428,IF((((G87/C87)*M87)+((G88/C87)*M88)+((G89/C87)*M89)+((G90/C87)*M90)+((G91/C87)*M91))&lt;=0,0,((((G87/C87)*M87)+((G88/C87)*M88)+((G89/C87)*M89)+((G90/C87)*M90)+((G91/C87)*M91))*3.571428)))</f>
        <v>1.4626574786324782</v>
      </c>
      <c r="P87" s="933">
        <f>O87/3.571428</f>
        <v>0.4095441595441594</v>
      </c>
      <c r="Q87" s="1367" t="s">
        <v>186</v>
      </c>
      <c r="R87" s="353"/>
      <c r="S87" s="354"/>
    </row>
    <row r="88" spans="1:19" ht="25.8" customHeight="1" x14ac:dyDescent="0.45">
      <c r="A88" s="836"/>
      <c r="B88" s="882"/>
      <c r="C88" s="885"/>
      <c r="D88" s="892" t="s">
        <v>160</v>
      </c>
      <c r="E88" s="893">
        <f>C87/3</f>
        <v>1.1904761904761905</v>
      </c>
      <c r="F88" s="518" t="s">
        <v>77</v>
      </c>
      <c r="G88" s="623">
        <f>$E$88/3</f>
        <v>0.3968253968253968</v>
      </c>
      <c r="H88" s="1110">
        <v>7.9</v>
      </c>
      <c r="I88" s="1111">
        <v>2.6</v>
      </c>
      <c r="J88" s="1185">
        <f>I88-H88</f>
        <v>-5.3000000000000007</v>
      </c>
      <c r="K88" s="1186">
        <f>I88*(6/10)</f>
        <v>1.56</v>
      </c>
      <c r="L88" s="1187">
        <f>I88-K88</f>
        <v>1.04</v>
      </c>
      <c r="M88" s="964">
        <f>IF(K88&lt;&gt;0,J88/K88,"0%")</f>
        <v>-3.3974358974358978</v>
      </c>
      <c r="N88" s="1002"/>
      <c r="O88" s="1234"/>
      <c r="P88" s="967"/>
      <c r="Q88" s="1368" t="s">
        <v>187</v>
      </c>
      <c r="R88" s="355" t="s">
        <v>417</v>
      </c>
      <c r="S88" s="356" t="s">
        <v>418</v>
      </c>
    </row>
    <row r="89" spans="1:19" ht="59.65" customHeight="1" x14ac:dyDescent="0.45">
      <c r="A89" s="836"/>
      <c r="B89" s="882"/>
      <c r="C89" s="885"/>
      <c r="D89" s="892"/>
      <c r="E89" s="893"/>
      <c r="F89" s="518" t="s">
        <v>78</v>
      </c>
      <c r="G89" s="623">
        <f>$E$88/3</f>
        <v>0.3968253968253968</v>
      </c>
      <c r="H89" s="1369">
        <v>1.5</v>
      </c>
      <c r="I89" s="1370"/>
      <c r="J89" s="1185">
        <f>I89-H89</f>
        <v>-1.5</v>
      </c>
      <c r="K89" s="1186">
        <f>I89*(6/10)</f>
        <v>0</v>
      </c>
      <c r="L89" s="1187">
        <f>I89-K89</f>
        <v>0</v>
      </c>
      <c r="M89" s="964" t="str">
        <f>IF(K89&lt;&gt;0,J89/K89,"0%")</f>
        <v>0%</v>
      </c>
      <c r="N89" s="1002"/>
      <c r="O89" s="1234"/>
      <c r="P89" s="967"/>
      <c r="Q89" s="1368" t="s">
        <v>188</v>
      </c>
      <c r="R89" s="355"/>
      <c r="S89" s="132" t="s">
        <v>419</v>
      </c>
    </row>
    <row r="90" spans="1:19" ht="26.45" customHeight="1" x14ac:dyDescent="0.45">
      <c r="A90" s="836"/>
      <c r="B90" s="882"/>
      <c r="C90" s="885"/>
      <c r="D90" s="892"/>
      <c r="E90" s="893"/>
      <c r="F90" s="518" t="s">
        <v>79</v>
      </c>
      <c r="G90" s="623">
        <f>$E$88/3</f>
        <v>0.3968253968253968</v>
      </c>
      <c r="H90" s="1371"/>
      <c r="I90" s="1372"/>
      <c r="J90" s="1185">
        <f>I90-H90</f>
        <v>0</v>
      </c>
      <c r="K90" s="1188">
        <f>(I90)*(6/10)</f>
        <v>0</v>
      </c>
      <c r="L90" s="1189">
        <f>I90-K90</f>
        <v>0</v>
      </c>
      <c r="M90" s="964" t="str">
        <f>IF(H90=0,"0%",J90/K90)</f>
        <v>0%</v>
      </c>
      <c r="N90" s="1002"/>
      <c r="O90" s="1234"/>
      <c r="P90" s="967"/>
      <c r="Q90" s="1373" t="s">
        <v>189</v>
      </c>
      <c r="R90" s="355"/>
      <c r="S90" s="132" t="s">
        <v>407</v>
      </c>
    </row>
    <row r="91" spans="1:19" ht="40.799999999999997" customHeight="1" thickBot="1" x14ac:dyDescent="0.5">
      <c r="A91" s="836"/>
      <c r="B91" s="883"/>
      <c r="C91" s="886"/>
      <c r="D91" s="508" t="s">
        <v>161</v>
      </c>
      <c r="E91" s="484">
        <f>$C$87/3</f>
        <v>1.1904761904761905</v>
      </c>
      <c r="F91" s="626" t="s">
        <v>80</v>
      </c>
      <c r="G91" s="627">
        <f>E91/1</f>
        <v>1.1904761904761905</v>
      </c>
      <c r="H91" s="1374">
        <v>100</v>
      </c>
      <c r="I91" s="1375">
        <v>100</v>
      </c>
      <c r="J91" s="1190">
        <f>H91-I91</f>
        <v>0</v>
      </c>
      <c r="K91" s="1173">
        <f>(100-I91)*(6/10)</f>
        <v>0</v>
      </c>
      <c r="L91" s="1191">
        <f>I91+K91</f>
        <v>100</v>
      </c>
      <c r="M91" s="972">
        <f>IF(I91&gt;=60,(1+(H91-60)/60),(H91/L91))</f>
        <v>1.6666666666666665</v>
      </c>
      <c r="N91" s="1004"/>
      <c r="O91" s="1238"/>
      <c r="P91" s="942"/>
      <c r="Q91" s="1376" t="s">
        <v>95</v>
      </c>
      <c r="R91" s="357"/>
      <c r="S91" s="358" t="s">
        <v>327</v>
      </c>
    </row>
    <row r="92" spans="1:19" ht="14.65" thickBot="1" x14ac:dyDescent="0.5">
      <c r="B92" s="684" t="s">
        <v>81</v>
      </c>
      <c r="C92" s="685"/>
      <c r="D92" s="685"/>
      <c r="E92" s="685"/>
      <c r="F92" s="686"/>
      <c r="G92" s="11"/>
      <c r="H92" s="1346"/>
      <c r="I92" s="1347"/>
      <c r="J92" s="1152"/>
      <c r="K92" s="1153"/>
      <c r="L92" s="1153"/>
      <c r="M92" s="1192"/>
      <c r="N92" s="918">
        <f>(N93+N97)/2</f>
        <v>0.49027040314650927</v>
      </c>
      <c r="O92" s="919">
        <f>(O93+O97)</f>
        <v>5.743888672212389</v>
      </c>
      <c r="P92" s="920">
        <f>O92/14.285712</f>
        <v>0.40207227138643065</v>
      </c>
      <c r="Q92" s="1303"/>
      <c r="R92" s="326"/>
      <c r="S92" s="326"/>
    </row>
    <row r="93" spans="1:19" ht="20.45" customHeight="1" thickBot="1" x14ac:dyDescent="0.5">
      <c r="B93" s="820" t="s">
        <v>82</v>
      </c>
      <c r="C93" s="821"/>
      <c r="D93" s="821"/>
      <c r="E93" s="821"/>
      <c r="F93" s="822"/>
      <c r="G93" s="511"/>
      <c r="H93" s="1313"/>
      <c r="I93" s="1314"/>
      <c r="J93" s="997"/>
      <c r="K93" s="997"/>
      <c r="L93" s="997"/>
      <c r="M93" s="1099"/>
      <c r="N93" s="918">
        <f>N94</f>
        <v>0.66666666666666663</v>
      </c>
      <c r="O93" s="919">
        <f>O94</f>
        <v>2.3809519999999997</v>
      </c>
      <c r="P93" s="920">
        <f>O93/3.571428</f>
        <v>0.66666666666666663</v>
      </c>
      <c r="Q93" s="1294"/>
      <c r="R93" s="324"/>
      <c r="S93" s="330"/>
    </row>
    <row r="94" spans="1:19" ht="34.799999999999997" customHeight="1" thickBot="1" x14ac:dyDescent="0.5">
      <c r="A94" s="811">
        <v>25</v>
      </c>
      <c r="B94" s="823" t="s">
        <v>83</v>
      </c>
      <c r="C94" s="894">
        <f>M5</f>
        <v>3.5714285714285716</v>
      </c>
      <c r="D94" s="850" t="s">
        <v>214</v>
      </c>
      <c r="E94" s="552">
        <f>$C$94/3</f>
        <v>1.1904761904761905</v>
      </c>
      <c r="F94" s="513" t="s">
        <v>269</v>
      </c>
      <c r="G94" s="629">
        <f>E94/1</f>
        <v>1.1904761904761905</v>
      </c>
      <c r="H94" s="1377">
        <v>100</v>
      </c>
      <c r="I94" s="1378">
        <v>100</v>
      </c>
      <c r="J94" s="1193">
        <f>H94-I94</f>
        <v>0</v>
      </c>
      <c r="K94" s="1194">
        <f>(100-I94)*(6/10)</f>
        <v>0</v>
      </c>
      <c r="L94" s="1195">
        <f>I94+K94</f>
        <v>100</v>
      </c>
      <c r="M94" s="930" t="str">
        <f>IF(K94&lt;&gt;0,J94/K94,"100%")</f>
        <v>100%</v>
      </c>
      <c r="N94" s="1119">
        <f>(((G94/C94)*M94)+((G95/C94)*M95)+((G96/C94)*M96))</f>
        <v>0.66666666666666663</v>
      </c>
      <c r="O94" s="958">
        <f>IF((((G94/C94)*M94)+((G95/C94)*M95)+((G96/C94)*M96))&gt;=1,3.571428,IF((((G94/C94)*M94)+((G95/C94)*M95)+((G96/C94)*M96))&lt;=0,0,(((G94/C94)*M94)+((G95/C94)*M95)+((G96/C94)*M96))*3.571428))</f>
        <v>2.3809519999999997</v>
      </c>
      <c r="P94" s="933">
        <f>O94/3.571428</f>
        <v>0.66666666666666663</v>
      </c>
      <c r="Q94" s="1379" t="s">
        <v>190</v>
      </c>
      <c r="R94" s="138"/>
      <c r="S94" s="652"/>
    </row>
    <row r="95" spans="1:19" ht="39.6" customHeight="1" x14ac:dyDescent="0.45">
      <c r="A95" s="811"/>
      <c r="B95" s="824"/>
      <c r="C95" s="895"/>
      <c r="D95" s="844"/>
      <c r="E95" s="631">
        <f t="shared" ref="E95:E96" si="32">$C$94/3</f>
        <v>1.1904761904761905</v>
      </c>
      <c r="F95" s="573" t="s">
        <v>270</v>
      </c>
      <c r="G95" s="623">
        <f>E95/1</f>
        <v>1.1904761904761905</v>
      </c>
      <c r="H95" s="1380"/>
      <c r="I95" s="1381"/>
      <c r="J95" s="1185">
        <f>IF(AND(I95&gt;1,(H95-I95=0)),(H95-1),(H95-I95))</f>
        <v>0</v>
      </c>
      <c r="K95" s="1040">
        <f>IF(AND(I95&gt;=1,H95&gt;=1),"0",((1-I95)*(6/10)))</f>
        <v>0.6</v>
      </c>
      <c r="L95" s="1196">
        <f t="shared" ref="L95:L96" si="33">I95+K95</f>
        <v>0.6</v>
      </c>
      <c r="M95" s="964">
        <f>IF(I95&gt;=1,(1+(H95-1)/1),(J95/K95))</f>
        <v>0</v>
      </c>
      <c r="N95" s="1122"/>
      <c r="O95" s="1234"/>
      <c r="P95" s="967"/>
      <c r="Q95" s="1382" t="s">
        <v>191</v>
      </c>
      <c r="R95" s="185"/>
      <c r="S95" s="132" t="s">
        <v>407</v>
      </c>
    </row>
    <row r="96" spans="1:19" ht="41.45" customHeight="1" thickBot="1" x14ac:dyDescent="0.5">
      <c r="A96" s="811"/>
      <c r="B96" s="861"/>
      <c r="C96" s="896"/>
      <c r="D96" s="851"/>
      <c r="E96" s="553">
        <f t="shared" si="32"/>
        <v>1.1904761904761905</v>
      </c>
      <c r="F96" s="526" t="s">
        <v>84</v>
      </c>
      <c r="G96" s="627">
        <f>E96/1</f>
        <v>1.1904761904761905</v>
      </c>
      <c r="H96" s="1356">
        <v>100</v>
      </c>
      <c r="I96" s="1383">
        <v>100</v>
      </c>
      <c r="J96" s="1190">
        <f>H96-I96</f>
        <v>0</v>
      </c>
      <c r="K96" s="1173">
        <f>(100-I96)*(6/10)</f>
        <v>0</v>
      </c>
      <c r="L96" s="1191">
        <f t="shared" si="33"/>
        <v>100</v>
      </c>
      <c r="M96" s="972" t="str">
        <f>IF(K96&lt;&gt;0,J96/K96,"100%")</f>
        <v>100%</v>
      </c>
      <c r="N96" s="1130"/>
      <c r="O96" s="1238"/>
      <c r="P96" s="942"/>
      <c r="Q96" s="1384" t="s">
        <v>95</v>
      </c>
      <c r="R96" s="184"/>
      <c r="S96" s="184"/>
    </row>
    <row r="97" spans="1:19" ht="18" customHeight="1" thickBot="1" x14ac:dyDescent="0.5">
      <c r="B97" s="897" t="s">
        <v>85</v>
      </c>
      <c r="C97" s="898"/>
      <c r="D97" s="898"/>
      <c r="E97" s="898"/>
      <c r="F97" s="899"/>
      <c r="G97" s="634"/>
      <c r="H97" s="1385"/>
      <c r="I97" s="1386"/>
      <c r="J97" s="1199"/>
      <c r="K97" s="1200"/>
      <c r="L97" s="1200"/>
      <c r="M97" s="1201"/>
      <c r="N97" s="1202">
        <f>(N98+N99+N100)/3</f>
        <v>0.31387413962635197</v>
      </c>
      <c r="O97" s="1203">
        <f>(O98+O99+O100)</f>
        <v>3.3629366722123897</v>
      </c>
      <c r="P97" s="920">
        <f>O97/10.714284</f>
        <v>0.31387413962635208</v>
      </c>
      <c r="Q97" s="1387"/>
      <c r="R97" s="336"/>
      <c r="S97" s="336"/>
    </row>
    <row r="98" spans="1:19" ht="29.45" customHeight="1" thickBot="1" x14ac:dyDescent="0.5">
      <c r="A98" s="16">
        <v>26</v>
      </c>
      <c r="B98" s="529" t="s">
        <v>86</v>
      </c>
      <c r="C98" s="530">
        <f>$M$5</f>
        <v>3.5714285714285716</v>
      </c>
      <c r="D98" s="529" t="s">
        <v>215</v>
      </c>
      <c r="E98" s="530">
        <f>C98/1</f>
        <v>3.5714285714285716</v>
      </c>
      <c r="F98" s="591" t="s">
        <v>291</v>
      </c>
      <c r="G98" s="530">
        <f>E98/1</f>
        <v>3.5714285714285716</v>
      </c>
      <c r="H98" s="1388"/>
      <c r="I98" s="1389"/>
      <c r="J98" s="1204">
        <f>IF(I98=H98,(H98-10),H98-I98)</f>
        <v>-10</v>
      </c>
      <c r="K98" s="1027">
        <f>IF(I98&gt;=10,0,((10-I98)*(6/10)))</f>
        <v>6</v>
      </c>
      <c r="L98" s="1134">
        <f>I98+K98</f>
        <v>6</v>
      </c>
      <c r="M98" s="964" t="str">
        <f>IF(H98=0,"0%",J98/K98)</f>
        <v>0%</v>
      </c>
      <c r="N98" s="1135">
        <f>((G98/C98)*M98)</f>
        <v>0</v>
      </c>
      <c r="O98" s="1018">
        <f>IF(((G98/C98)*M98)&gt;=1,3.571428,IF(((G98/C98)*M98)&lt;=0,0,((G98/C98)*M98)*3.571428))</f>
        <v>0</v>
      </c>
      <c r="P98" s="920">
        <f>O98/3.571428</f>
        <v>0</v>
      </c>
      <c r="Q98" s="1390" t="s">
        <v>95</v>
      </c>
      <c r="R98" s="97"/>
      <c r="S98" s="132" t="s">
        <v>407</v>
      </c>
    </row>
    <row r="99" spans="1:19" ht="35.25" thickBot="1" x14ac:dyDescent="0.5">
      <c r="A99" s="16">
        <v>27</v>
      </c>
      <c r="B99" s="529" t="s">
        <v>87</v>
      </c>
      <c r="C99" s="530">
        <f>$M$5</f>
        <v>3.5714285714285716</v>
      </c>
      <c r="D99" s="529" t="s">
        <v>216</v>
      </c>
      <c r="E99" s="530">
        <f>C99/1</f>
        <v>3.5714285714285716</v>
      </c>
      <c r="F99" s="591" t="s">
        <v>271</v>
      </c>
      <c r="G99" s="530">
        <f>E99/1</f>
        <v>3.5714285714285716</v>
      </c>
      <c r="H99" s="1391">
        <v>31.2</v>
      </c>
      <c r="I99" s="1392">
        <v>29.8</v>
      </c>
      <c r="J99" s="1204">
        <f>IF(I99=H99,(H99-75),H99-I99)</f>
        <v>1.3999999999999986</v>
      </c>
      <c r="K99" s="1027">
        <f>IF(I99&gt;=75,0,((75-I99)*(6/10)))</f>
        <v>27.12</v>
      </c>
      <c r="L99" s="1148">
        <f>I99+K99</f>
        <v>56.92</v>
      </c>
      <c r="M99" s="1393">
        <f>IF(I99&gt;=75,(1+(H99-75)/75),(J99/K99))</f>
        <v>5.1622418879055991E-2</v>
      </c>
      <c r="N99" s="1135">
        <f>((G99/C99)*M99)</f>
        <v>5.1622418879055991E-2</v>
      </c>
      <c r="O99" s="1018">
        <f>IF(((G99/C99)*M99)&gt;=1,3.571428,IF(((G99/C99)*M99)&lt;=0,0,((G99/C99)*M99)*3.571428))</f>
        <v>0.18436575221238918</v>
      </c>
      <c r="P99" s="920">
        <f>O99/3.571428</f>
        <v>5.1622418879055991E-2</v>
      </c>
      <c r="Q99" s="1390" t="s">
        <v>192</v>
      </c>
      <c r="R99" s="359" t="s">
        <v>420</v>
      </c>
      <c r="S99" s="360" t="s">
        <v>421</v>
      </c>
    </row>
    <row r="100" spans="1:19" ht="30.4" x14ac:dyDescent="0.45">
      <c r="A100" s="811">
        <v>28</v>
      </c>
      <c r="B100" s="900" t="s">
        <v>88</v>
      </c>
      <c r="C100" s="902">
        <f>M5</f>
        <v>3.5714285714285716</v>
      </c>
      <c r="D100" s="900" t="s">
        <v>217</v>
      </c>
      <c r="E100" s="902">
        <f>C100/1</f>
        <v>3.5714285714285716</v>
      </c>
      <c r="F100" s="569" t="s">
        <v>89</v>
      </c>
      <c r="G100" s="475">
        <f>$E$100/2</f>
        <v>1.7857142857142858</v>
      </c>
      <c r="H100" s="1353">
        <v>5.5</v>
      </c>
      <c r="I100" s="1354">
        <v>4.2</v>
      </c>
      <c r="J100" s="1206">
        <f>IF(I100=H100,(25-H100),I100-H100)</f>
        <v>-1.2999999999999998</v>
      </c>
      <c r="K100" s="1081">
        <f>IF(I100&lt;=25,0,((0.25*I100)*(6/10)))</f>
        <v>0</v>
      </c>
      <c r="L100" s="1207">
        <f>I100-K100</f>
        <v>4.2</v>
      </c>
      <c r="M100" s="930">
        <f>IF(I100&lt;=25,(1+(25-H100)/25),(J100/K100))</f>
        <v>1.78</v>
      </c>
      <c r="N100" s="1208">
        <f>((G100/$C$100)*M100)+((G101/$C$100)*M101)</f>
        <v>0.89</v>
      </c>
      <c r="O100" s="983">
        <f>IF((((G100/C100)*M100)+((G101/C100)*M101))&gt;=1,3.57148,IF((((G100/C100)*M100)+((G101/C100)*M101))&lt;=0,0, (((G100/C100)*M100)+((G101/C100)*M101))*3.571428))</f>
        <v>3.1785709200000003</v>
      </c>
      <c r="P100" s="933">
        <f>O100/3.571428</f>
        <v>0.89000000000000012</v>
      </c>
      <c r="Q100" s="1394" t="s">
        <v>193</v>
      </c>
      <c r="R100" s="361"/>
      <c r="S100" s="341" t="s">
        <v>422</v>
      </c>
    </row>
    <row r="101" spans="1:19" ht="38.450000000000003" customHeight="1" thickBot="1" x14ac:dyDescent="0.5">
      <c r="A101" s="811"/>
      <c r="B101" s="901"/>
      <c r="C101" s="903"/>
      <c r="D101" s="901"/>
      <c r="E101" s="904"/>
      <c r="F101" s="526" t="s">
        <v>90</v>
      </c>
      <c r="G101" s="484">
        <f>$E$100/2</f>
        <v>1.7857142857142858</v>
      </c>
      <c r="H101" s="1395"/>
      <c r="I101" s="1396"/>
      <c r="J101" s="1209">
        <f>IF(I101=H101,(H101-25),H101-I101)</f>
        <v>-25</v>
      </c>
      <c r="K101" s="971">
        <f>IF(I101&gt;=25,0,((25-I101)*(6/10)))</f>
        <v>15</v>
      </c>
      <c r="L101" s="1210">
        <f t="shared" ref="L101" si="34">K101+I101</f>
        <v>15</v>
      </c>
      <c r="M101" s="964" t="str">
        <f>IF(H101=0,"0%",J101/K101)</f>
        <v>0%</v>
      </c>
      <c r="N101" s="1211"/>
      <c r="O101" s="1224"/>
      <c r="P101" s="942"/>
      <c r="Q101" s="1397" t="s">
        <v>95</v>
      </c>
      <c r="R101" s="362"/>
      <c r="S101" s="132" t="s">
        <v>407</v>
      </c>
    </row>
    <row r="102" spans="1:19" ht="34.25" customHeight="1" thickBot="1" x14ac:dyDescent="0.5">
      <c r="B102" s="639" t="s">
        <v>194</v>
      </c>
      <c r="C102" s="640">
        <f>C11+C13+C15+C19+C24+C33+C34+C35+C36+C38+C41+C44+C48+C51+C53+C61+C68+C71+C73+C75+C78+C81+C83+C87+C94+C98+C99+C100</f>
        <v>99.999999999999972</v>
      </c>
      <c r="D102" s="641"/>
      <c r="E102" s="640">
        <f>E11+E12+E13+E14+E15+E19+E20+E21+E22+E24+E25+E28+E31+E33+E34+E35+E36+E38+E39+E41+E42+E44+E45+E48+E49++E51+E53+E54+E55+E56+E57+E61+E62+E63+E64+E68+E71+E73+E75+E78+E81++E82+E83+E84+E85+E87+E88+E91+E94+E95+E96+E98+E99+E100</f>
        <v>100.00714285714285</v>
      </c>
      <c r="F102" s="642"/>
      <c r="G102" s="640">
        <f>G11+G12+G13+G14+G15+G16+G17+G19+G20+G21+G22+G24+G25+G26+G27+G28+G29+G30+G31+G33+G34+G35+G36+G38+G39+G41+G42+G44+G45+G48+G49+G51+G53+G54+G55+G56+G57+G58+G61+G62+G63+G64+G65+G66+G68+G71+G73+G75+G78+G81+G82+G83+G84+G85+G87+G88+G89+G90+G91+G94+G95+G96+G98+G99+G100+G101</f>
        <v>100.00714285714285</v>
      </c>
      <c r="H102" s="1212"/>
      <c r="I102" s="1213"/>
      <c r="J102" s="1212"/>
      <c r="K102" s="1214"/>
      <c r="L102" s="1215"/>
      <c r="M102" s="1216"/>
      <c r="N102" s="1217"/>
      <c r="O102" s="1218"/>
      <c r="P102" s="1218"/>
      <c r="Q102" s="1398"/>
      <c r="R102" s="363"/>
      <c r="S102" s="364"/>
    </row>
    <row r="104" spans="1:19" ht="15.75" x14ac:dyDescent="0.5">
      <c r="B104" s="19"/>
    </row>
    <row r="107" spans="1:19" ht="15.75" x14ac:dyDescent="0.5">
      <c r="B107" s="19"/>
    </row>
    <row r="108" spans="1:19" x14ac:dyDescent="0.45">
      <c r="B108" s="20"/>
    </row>
    <row r="109" spans="1:19" x14ac:dyDescent="0.45">
      <c r="B109" s="20"/>
    </row>
    <row r="111" spans="1:19" x14ac:dyDescent="0.45">
      <c r="E111"/>
      <c r="F111" s="644" t="s">
        <v>196</v>
      </c>
    </row>
    <row r="112" spans="1:19" x14ac:dyDescent="0.45">
      <c r="E112" s="645">
        <v>1</v>
      </c>
      <c r="F112" s="645" t="s">
        <v>197</v>
      </c>
    </row>
    <row r="113" spans="5:6" x14ac:dyDescent="0.45">
      <c r="E113" s="645">
        <v>2</v>
      </c>
      <c r="F113" s="645" t="s">
        <v>227</v>
      </c>
    </row>
    <row r="114" spans="5:6" x14ac:dyDescent="0.45">
      <c r="E114" s="645">
        <v>3</v>
      </c>
      <c r="F114" s="645" t="s">
        <v>228</v>
      </c>
    </row>
    <row r="115" spans="5:6" x14ac:dyDescent="0.45">
      <c r="E115" s="645">
        <v>4</v>
      </c>
      <c r="F115" s="645" t="s">
        <v>229</v>
      </c>
    </row>
    <row r="116" spans="5:6" x14ac:dyDescent="0.45">
      <c r="E116" s="645">
        <v>5</v>
      </c>
      <c r="F116" s="645" t="s">
        <v>198</v>
      </c>
    </row>
    <row r="117" spans="5:6" x14ac:dyDescent="0.45">
      <c r="E117" s="645">
        <v>6</v>
      </c>
      <c r="F117" s="645" t="s">
        <v>230</v>
      </c>
    </row>
    <row r="118" spans="5:6" x14ac:dyDescent="0.45">
      <c r="E118" s="645">
        <v>7</v>
      </c>
      <c r="F118" s="645" t="s">
        <v>231</v>
      </c>
    </row>
    <row r="119" spans="5:6" x14ac:dyDescent="0.45">
      <c r="E119" s="645">
        <v>8</v>
      </c>
      <c r="F119" s="645" t="s">
        <v>199</v>
      </c>
    </row>
    <row r="120" spans="5:6" x14ac:dyDescent="0.45">
      <c r="E120" s="645">
        <v>9</v>
      </c>
      <c r="F120" s="645" t="s">
        <v>200</v>
      </c>
    </row>
    <row r="121" spans="5:6" x14ac:dyDescent="0.45">
      <c r="E121" s="645">
        <v>10</v>
      </c>
      <c r="F121" s="645" t="s">
        <v>201</v>
      </c>
    </row>
    <row r="122" spans="5:6" x14ac:dyDescent="0.45">
      <c r="E122" s="645">
        <v>11</v>
      </c>
      <c r="F122" s="645" t="s">
        <v>232</v>
      </c>
    </row>
    <row r="123" spans="5:6" x14ac:dyDescent="0.45">
      <c r="E123" s="645">
        <v>12</v>
      </c>
      <c r="F123" s="645" t="s">
        <v>202</v>
      </c>
    </row>
    <row r="124" spans="5:6" x14ac:dyDescent="0.45">
      <c r="E124" s="645">
        <f t="shared" ref="E124:E145" si="35">E123+1</f>
        <v>13</v>
      </c>
      <c r="F124" s="645" t="s">
        <v>203</v>
      </c>
    </row>
    <row r="125" spans="5:6" x14ac:dyDescent="0.45">
      <c r="E125" s="645">
        <v>14</v>
      </c>
      <c r="F125" s="645" t="s">
        <v>233</v>
      </c>
    </row>
    <row r="126" spans="5:6" x14ac:dyDescent="0.45">
      <c r="E126" s="645">
        <v>15</v>
      </c>
      <c r="F126" s="645" t="s">
        <v>234</v>
      </c>
    </row>
    <row r="127" spans="5:6" x14ac:dyDescent="0.45">
      <c r="E127" s="645">
        <v>16</v>
      </c>
      <c r="F127" s="645" t="s">
        <v>213</v>
      </c>
    </row>
    <row r="128" spans="5:6" x14ac:dyDescent="0.45">
      <c r="E128" s="645">
        <v>17</v>
      </c>
      <c r="F128" s="645" t="s">
        <v>235</v>
      </c>
    </row>
    <row r="129" spans="5:6" x14ac:dyDescent="0.45">
      <c r="E129" s="645">
        <v>18</v>
      </c>
      <c r="F129" s="645" t="s">
        <v>263</v>
      </c>
    </row>
    <row r="130" spans="5:6" x14ac:dyDescent="0.45">
      <c r="E130" s="645">
        <v>19</v>
      </c>
      <c r="F130" s="645" t="s">
        <v>204</v>
      </c>
    </row>
    <row r="131" spans="5:6" x14ac:dyDescent="0.45">
      <c r="E131" s="645">
        <v>20</v>
      </c>
      <c r="F131" s="645" t="s">
        <v>236</v>
      </c>
    </row>
    <row r="132" spans="5:6" x14ac:dyDescent="0.45">
      <c r="E132" s="645">
        <v>21</v>
      </c>
      <c r="F132" s="645" t="s">
        <v>237</v>
      </c>
    </row>
    <row r="133" spans="5:6" x14ac:dyDescent="0.45">
      <c r="E133" s="645">
        <v>22</v>
      </c>
      <c r="F133" s="645" t="s">
        <v>238</v>
      </c>
    </row>
    <row r="134" spans="5:6" x14ac:dyDescent="0.45">
      <c r="E134" s="645">
        <v>23</v>
      </c>
      <c r="F134" s="645" t="s">
        <v>205</v>
      </c>
    </row>
    <row r="135" spans="5:6" x14ac:dyDescent="0.45">
      <c r="E135" s="645">
        <v>24</v>
      </c>
      <c r="F135" s="645" t="s">
        <v>239</v>
      </c>
    </row>
    <row r="136" spans="5:6" x14ac:dyDescent="0.45">
      <c r="E136" s="645">
        <v>25</v>
      </c>
      <c r="F136" s="645" t="s">
        <v>240</v>
      </c>
    </row>
    <row r="137" spans="5:6" x14ac:dyDescent="0.45">
      <c r="E137" s="645">
        <v>26</v>
      </c>
      <c r="F137" s="645" t="s">
        <v>241</v>
      </c>
    </row>
    <row r="138" spans="5:6" x14ac:dyDescent="0.45">
      <c r="E138" s="645">
        <v>27</v>
      </c>
      <c r="F138" s="645" t="s">
        <v>206</v>
      </c>
    </row>
    <row r="139" spans="5:6" x14ac:dyDescent="0.45">
      <c r="E139" s="645">
        <v>28</v>
      </c>
      <c r="F139" s="645" t="s">
        <v>242</v>
      </c>
    </row>
    <row r="140" spans="5:6" x14ac:dyDescent="0.45">
      <c r="E140" s="645">
        <v>29</v>
      </c>
      <c r="F140" s="645" t="s">
        <v>243</v>
      </c>
    </row>
    <row r="141" spans="5:6" x14ac:dyDescent="0.45">
      <c r="E141" s="645">
        <v>30</v>
      </c>
      <c r="F141" s="645" t="s">
        <v>244</v>
      </c>
    </row>
    <row r="142" spans="5:6" x14ac:dyDescent="0.45">
      <c r="E142" s="645">
        <v>31</v>
      </c>
      <c r="F142" s="645" t="s">
        <v>245</v>
      </c>
    </row>
    <row r="143" spans="5:6" x14ac:dyDescent="0.45">
      <c r="E143" s="645">
        <v>32</v>
      </c>
      <c r="F143" s="645" t="s">
        <v>246</v>
      </c>
    </row>
    <row r="144" spans="5:6" x14ac:dyDescent="0.45">
      <c r="E144" s="645">
        <v>33</v>
      </c>
      <c r="F144" s="645" t="s">
        <v>207</v>
      </c>
    </row>
    <row r="145" spans="5:6" x14ac:dyDescent="0.45">
      <c r="E145" s="645">
        <f t="shared" si="35"/>
        <v>34</v>
      </c>
      <c r="F145" s="645" t="s">
        <v>208</v>
      </c>
    </row>
    <row r="146" spans="5:6" x14ac:dyDescent="0.45">
      <c r="E146" s="645">
        <v>35</v>
      </c>
      <c r="F146" s="645" t="s">
        <v>247</v>
      </c>
    </row>
    <row r="147" spans="5:6" x14ac:dyDescent="0.45">
      <c r="E147" s="645">
        <v>36</v>
      </c>
      <c r="F147" s="645" t="s">
        <v>248</v>
      </c>
    </row>
    <row r="148" spans="5:6" x14ac:dyDescent="0.45">
      <c r="E148" s="645">
        <v>36</v>
      </c>
      <c r="F148" s="645" t="s">
        <v>249</v>
      </c>
    </row>
    <row r="149" spans="5:6" x14ac:dyDescent="0.45">
      <c r="E149" s="645">
        <v>38</v>
      </c>
      <c r="F149" s="645" t="s">
        <v>250</v>
      </c>
    </row>
    <row r="150" spans="5:6" x14ac:dyDescent="0.45">
      <c r="E150" s="645">
        <v>39</v>
      </c>
      <c r="F150" s="645" t="s">
        <v>251</v>
      </c>
    </row>
    <row r="151" spans="5:6" x14ac:dyDescent="0.45">
      <c r="E151" s="645">
        <v>40</v>
      </c>
      <c r="F151" s="645" t="s">
        <v>209</v>
      </c>
    </row>
    <row r="152" spans="5:6" x14ac:dyDescent="0.45">
      <c r="E152" s="645">
        <v>41</v>
      </c>
      <c r="F152" s="645" t="s">
        <v>264</v>
      </c>
    </row>
    <row r="153" spans="5:6" x14ac:dyDescent="0.45">
      <c r="E153" s="645">
        <v>42</v>
      </c>
      <c r="F153" s="645" t="s">
        <v>252</v>
      </c>
    </row>
    <row r="154" spans="5:6" x14ac:dyDescent="0.45">
      <c r="E154" s="645">
        <v>43</v>
      </c>
      <c r="F154" s="645" t="s">
        <v>253</v>
      </c>
    </row>
    <row r="155" spans="5:6" x14ac:dyDescent="0.45">
      <c r="E155" s="645">
        <v>44</v>
      </c>
      <c r="F155" s="645" t="s">
        <v>254</v>
      </c>
    </row>
    <row r="156" spans="5:6" x14ac:dyDescent="0.45">
      <c r="E156" s="645">
        <v>45</v>
      </c>
      <c r="F156" s="645" t="s">
        <v>210</v>
      </c>
    </row>
    <row r="157" spans="5:6" x14ac:dyDescent="0.45">
      <c r="E157" s="645">
        <v>46</v>
      </c>
      <c r="F157" s="645" t="s">
        <v>255</v>
      </c>
    </row>
    <row r="158" spans="5:6" x14ac:dyDescent="0.45">
      <c r="E158" s="645">
        <v>47</v>
      </c>
      <c r="F158" s="645" t="s">
        <v>211</v>
      </c>
    </row>
    <row r="159" spans="5:6" x14ac:dyDescent="0.45">
      <c r="E159" s="645">
        <v>48</v>
      </c>
      <c r="F159" s="645" t="s">
        <v>256</v>
      </c>
    </row>
    <row r="160" spans="5:6" x14ac:dyDescent="0.45">
      <c r="E160" s="645">
        <v>49</v>
      </c>
      <c r="F160" s="645" t="s">
        <v>257</v>
      </c>
    </row>
    <row r="161" spans="5:6" x14ac:dyDescent="0.45">
      <c r="E161" s="645">
        <v>50</v>
      </c>
      <c r="F161" s="645" t="s">
        <v>260</v>
      </c>
    </row>
    <row r="162" spans="5:6" x14ac:dyDescent="0.45">
      <c r="E162" s="645">
        <v>51</v>
      </c>
      <c r="F162" s="645" t="s">
        <v>258</v>
      </c>
    </row>
    <row r="163" spans="5:6" x14ac:dyDescent="0.45">
      <c r="E163" s="645">
        <v>52</v>
      </c>
      <c r="F163" s="645" t="s">
        <v>212</v>
      </c>
    </row>
    <row r="164" spans="5:6" x14ac:dyDescent="0.45">
      <c r="E164" s="645">
        <v>53</v>
      </c>
      <c r="F164" s="645" t="s">
        <v>259</v>
      </c>
    </row>
    <row r="165" spans="5:6" x14ac:dyDescent="0.45">
      <c r="E165" s="645">
        <v>54</v>
      </c>
      <c r="F165" s="645" t="s">
        <v>261</v>
      </c>
    </row>
    <row r="166" spans="5:6" x14ac:dyDescent="0.45">
      <c r="E166" s="645">
        <v>55</v>
      </c>
      <c r="F166" s="645" t="s">
        <v>262</v>
      </c>
    </row>
    <row r="167" spans="5:6" x14ac:dyDescent="0.45">
      <c r="E167"/>
      <c r="F167"/>
    </row>
    <row r="168" spans="5:6" x14ac:dyDescent="0.45">
      <c r="E168"/>
      <c r="F168"/>
    </row>
  </sheetData>
  <sheetProtection algorithmName="SHA-512" hashValue="gXrT4m4V/9jsvZMldE7A6QxicMBajI8/cFCvTGThKUdJhSYbA+PLnGDb+qIqdkyoktMMWfsln5IpIvIuC2qPGg==" saltValue="Qo0mEoxvh3ZNVWN1Kamn6Q=="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984F8A87-CD51-4E76-8FA9-72EB1E983581}">
      <formula1>$F$112:$F$166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79247-3D92-4E7B-900C-C8BEE066900C}">
  <dimension ref="A1:AA168"/>
  <sheetViews>
    <sheetView tabSelected="1" topLeftCell="B1" zoomScale="50" zoomScaleNormal="50" workbookViewId="0">
      <selection activeCell="O4" sqref="O4"/>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4" width="15.33203125" style="5" customWidth="1"/>
    <col min="15" max="16" width="15.3320312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424"/>
      <c r="P1" s="424"/>
      <c r="Q1" s="424"/>
      <c r="R1" s="3"/>
      <c r="S1" s="4"/>
      <c r="U1" s="425"/>
      <c r="V1" s="425"/>
      <c r="W1" s="425"/>
      <c r="X1" s="425"/>
      <c r="Y1" s="425"/>
      <c r="Z1" s="425"/>
      <c r="AA1" s="425"/>
    </row>
    <row r="2" spans="1:27" ht="30" x14ac:dyDescent="1.1000000000000001">
      <c r="B2" s="426"/>
      <c r="C2" s="427"/>
      <c r="D2" s="428" t="s">
        <v>286</v>
      </c>
      <c r="E2" s="427"/>
      <c r="F2" s="429"/>
      <c r="G2" s="429"/>
      <c r="H2" s="429"/>
      <c r="I2" s="429"/>
      <c r="J2" s="429"/>
      <c r="K2" s="429"/>
      <c r="L2" s="429"/>
      <c r="M2" s="429"/>
      <c r="N2" s="429"/>
      <c r="O2" s="427"/>
      <c r="P2" s="427"/>
      <c r="Q2" s="427"/>
      <c r="R2" s="429"/>
      <c r="S2" s="6"/>
    </row>
    <row r="3" spans="1:27" ht="14.65" thickBot="1" x14ac:dyDescent="0.5">
      <c r="B3" s="430"/>
      <c r="C3" s="431"/>
      <c r="D3" s="431"/>
      <c r="E3" s="431"/>
      <c r="F3" s="432"/>
      <c r="G3" s="432"/>
      <c r="H3" s="432"/>
      <c r="I3" s="432"/>
      <c r="J3" s="432"/>
      <c r="K3" s="432"/>
      <c r="L3" s="432"/>
      <c r="M3" s="432"/>
      <c r="N3" s="432"/>
      <c r="O3" s="431"/>
      <c r="P3" s="431"/>
      <c r="Q3" s="431"/>
      <c r="R3" s="432"/>
      <c r="S3" s="7"/>
    </row>
    <row r="4" spans="1:27" ht="26.45" customHeight="1" thickBot="1" x14ac:dyDescent="0.5">
      <c r="B4" s="430"/>
      <c r="C4" s="431"/>
      <c r="D4" s="433" t="s">
        <v>195</v>
      </c>
      <c r="E4" s="431"/>
      <c r="F4" s="8" t="s">
        <v>197</v>
      </c>
      <c r="G4" s="432"/>
      <c r="H4" s="432"/>
      <c r="I4" s="432"/>
      <c r="J4" s="432"/>
      <c r="K4" s="794" t="s">
        <v>423</v>
      </c>
      <c r="L4" s="795"/>
      <c r="M4" s="796"/>
      <c r="N4" s="905">
        <f>(N9+N46+N59+N69+N76+N79+N92)/7</f>
        <v>1.196998720743029</v>
      </c>
      <c r="O4" s="906">
        <f>(O9+O46+O59+O69+O76+O79+O92)</f>
        <v>57.935221529903025</v>
      </c>
      <c r="P4" s="905">
        <f>O4/100</f>
        <v>0.57935221529903025</v>
      </c>
      <c r="Q4" s="431"/>
      <c r="R4" s="432"/>
      <c r="S4" s="7"/>
    </row>
    <row r="5" spans="1:27" ht="18.399999999999999" thickBot="1" x14ac:dyDescent="0.6">
      <c r="B5" s="797"/>
      <c r="C5" s="798"/>
      <c r="D5" s="798"/>
      <c r="E5" s="798"/>
      <c r="F5" s="798"/>
      <c r="G5" s="798"/>
      <c r="H5" s="798"/>
      <c r="I5" s="798"/>
      <c r="J5" s="798"/>
      <c r="K5" s="798"/>
      <c r="L5" s="59"/>
      <c r="M5" s="434">
        <f>100/28</f>
        <v>3.5714285714285716</v>
      </c>
      <c r="N5" s="9"/>
      <c r="O5" s="653"/>
      <c r="P5" s="653"/>
      <c r="Q5" s="435"/>
      <c r="R5" s="9"/>
      <c r="S5" s="10"/>
    </row>
    <row r="6" spans="1:27" ht="33.6" customHeight="1" thickBot="1" x14ac:dyDescent="0.5">
      <c r="B6" s="799"/>
      <c r="C6" s="800"/>
      <c r="D6" s="800"/>
      <c r="E6" s="800"/>
      <c r="F6" s="801"/>
      <c r="G6" s="436"/>
      <c r="H6" s="436"/>
      <c r="I6" s="436"/>
      <c r="J6" s="436"/>
      <c r="K6" s="436"/>
      <c r="L6" s="436"/>
      <c r="M6" s="436"/>
      <c r="N6" s="437"/>
      <c r="O6" s="438"/>
      <c r="P6" s="438"/>
      <c r="Q6" s="437"/>
      <c r="R6" s="12"/>
      <c r="S6" s="13"/>
    </row>
    <row r="7" spans="1:27" ht="55.8" customHeight="1" thickBot="1" x14ac:dyDescent="0.5">
      <c r="B7" s="802"/>
      <c r="C7" s="803"/>
      <c r="D7" s="803"/>
      <c r="E7" s="803"/>
      <c r="F7" s="804"/>
      <c r="G7" s="439"/>
      <c r="H7" s="440" t="s">
        <v>218</v>
      </c>
      <c r="I7" s="441" t="s">
        <v>219</v>
      </c>
      <c r="J7" s="442" t="s">
        <v>91</v>
      </c>
      <c r="K7" s="443" t="s">
        <v>107</v>
      </c>
      <c r="L7" s="443" t="s">
        <v>104</v>
      </c>
      <c r="M7" s="443" t="s">
        <v>105</v>
      </c>
      <c r="N7" s="441" t="s">
        <v>106</v>
      </c>
      <c r="O7" s="441" t="s">
        <v>382</v>
      </c>
      <c r="P7" s="444" t="s">
        <v>383</v>
      </c>
      <c r="Q7" s="445" t="s">
        <v>93</v>
      </c>
      <c r="R7" s="446" t="s">
        <v>110</v>
      </c>
      <c r="S7" s="447" t="s">
        <v>103</v>
      </c>
    </row>
    <row r="8" spans="1:27" ht="25.25" customHeight="1" thickBot="1" x14ac:dyDescent="0.5">
      <c r="B8" s="448" t="s">
        <v>2</v>
      </c>
      <c r="C8" s="448" t="s">
        <v>92</v>
      </c>
      <c r="D8" s="448" t="s">
        <v>3</v>
      </c>
      <c r="E8" s="448" t="s">
        <v>94</v>
      </c>
      <c r="F8" s="448" t="s">
        <v>102</v>
      </c>
      <c r="G8" s="448" t="s">
        <v>96</v>
      </c>
      <c r="H8" s="449"/>
      <c r="I8" s="450"/>
      <c r="J8" s="449"/>
      <c r="K8" s="451"/>
      <c r="L8" s="451"/>
      <c r="M8" s="448"/>
      <c r="N8" s="452"/>
      <c r="O8" s="453"/>
      <c r="P8" s="454"/>
      <c r="Q8" s="450"/>
      <c r="R8" s="452"/>
      <c r="S8" s="452"/>
      <c r="V8" s="455" t="s">
        <v>151</v>
      </c>
      <c r="W8" s="456"/>
      <c r="X8" s="456"/>
      <c r="Y8" s="456"/>
      <c r="Z8" s="457"/>
    </row>
    <row r="9" spans="1:27" s="122" customFormat="1" ht="25.25" customHeight="1" thickBot="1" x14ac:dyDescent="0.5">
      <c r="B9" s="805" t="s">
        <v>0</v>
      </c>
      <c r="C9" s="806"/>
      <c r="D9" s="806"/>
      <c r="E9" s="806"/>
      <c r="F9" s="807"/>
      <c r="G9" s="458"/>
      <c r="H9" s="914"/>
      <c r="I9" s="915"/>
      <c r="J9" s="916"/>
      <c r="K9" s="916"/>
      <c r="L9" s="916"/>
      <c r="M9" s="917"/>
      <c r="N9" s="918">
        <f>(N10+N18+N23+N32+N37+N40+N43)/7</f>
        <v>1.028186340783263</v>
      </c>
      <c r="O9" s="919">
        <f>(O10+O18+O23+O32+O37+O40+O43)</f>
        <v>25.318789754962737</v>
      </c>
      <c r="P9" s="920">
        <f>O9/42.857136</f>
        <v>0.59077185547262745</v>
      </c>
      <c r="Q9" s="916"/>
      <c r="R9" s="460"/>
      <c r="S9" s="460"/>
      <c r="U9" s="461"/>
      <c r="V9" s="462"/>
      <c r="W9" s="463"/>
      <c r="X9" s="463"/>
      <c r="Y9" s="463"/>
      <c r="Z9" s="464"/>
      <c r="AA9" s="461"/>
    </row>
    <row r="10" spans="1:27" s="85" customFormat="1" ht="25.25" customHeight="1" thickBot="1" x14ac:dyDescent="0.5">
      <c r="B10" s="808" t="s">
        <v>1</v>
      </c>
      <c r="C10" s="809"/>
      <c r="D10" s="809"/>
      <c r="E10" s="809"/>
      <c r="F10" s="810"/>
      <c r="G10" s="465"/>
      <c r="H10" s="921"/>
      <c r="I10" s="922"/>
      <c r="J10" s="923"/>
      <c r="K10" s="923"/>
      <c r="L10" s="923"/>
      <c r="M10" s="924"/>
      <c r="N10" s="918">
        <f>(N11+N13+N15)/3</f>
        <v>1.6402306576371519</v>
      </c>
      <c r="O10" s="919">
        <f>(O11+O13+O15)</f>
        <v>7.1429080000000003</v>
      </c>
      <c r="P10" s="920">
        <f>O10/10.714284</f>
        <v>0.66667152000077656</v>
      </c>
      <c r="Q10" s="923"/>
      <c r="R10" s="467"/>
      <c r="S10" s="467"/>
      <c r="U10" s="468"/>
      <c r="V10" s="469"/>
      <c r="W10" s="470"/>
      <c r="X10" s="470"/>
      <c r="Y10" s="470"/>
      <c r="Z10" s="471"/>
      <c r="AA10" s="468"/>
    </row>
    <row r="11" spans="1:27" ht="27.6" customHeight="1" thickBot="1" x14ac:dyDescent="0.5">
      <c r="A11" s="811">
        <v>1</v>
      </c>
      <c r="B11" s="816" t="s">
        <v>4</v>
      </c>
      <c r="C11" s="818">
        <f>M5</f>
        <v>3.5714285714285716</v>
      </c>
      <c r="D11" s="472" t="s">
        <v>111</v>
      </c>
      <c r="E11" s="473">
        <f>$C$11/2</f>
        <v>1.7857142857142858</v>
      </c>
      <c r="F11" s="474" t="s">
        <v>5</v>
      </c>
      <c r="G11" s="475">
        <f>E11/1</f>
        <v>1.7857142857142858</v>
      </c>
      <c r="H11" s="1399">
        <v>464452</v>
      </c>
      <c r="I11" s="1400">
        <v>426920</v>
      </c>
      <c r="J11" s="927">
        <f>(H11-I11)</f>
        <v>37532</v>
      </c>
      <c r="K11" s="928">
        <f>(0.3*I11)*6/10</f>
        <v>76845.600000000006</v>
      </c>
      <c r="L11" s="929">
        <f>I11+K11</f>
        <v>503765.6</v>
      </c>
      <c r="M11" s="930">
        <f>IF(K11&lt;&gt;0,J11/K11,"0%")</f>
        <v>0.4884079244615176</v>
      </c>
      <c r="N11" s="931">
        <f>(((G11/C11)*M11)+((G12/C11)*M12))</f>
        <v>-0.30001372484407107</v>
      </c>
      <c r="O11" s="932">
        <f>IF((((G11/C11)*M11)+((G12/C11)*M12))&gt;=1,3.57148,IF((((G11/C11)*M11)+((G12/C11)*M12))&lt;=0,0, (((G11/C11)*M11)+((G12/C11)*M12))*3.571428))</f>
        <v>0</v>
      </c>
      <c r="P11" s="933">
        <f>O11/3.571428</f>
        <v>0</v>
      </c>
      <c r="Q11" s="1221" t="s">
        <v>97</v>
      </c>
      <c r="R11" s="380" t="s">
        <v>436</v>
      </c>
      <c r="S11" s="139" t="s">
        <v>437</v>
      </c>
      <c r="V11" s="477" t="s">
        <v>109</v>
      </c>
      <c r="W11" s="478" t="e">
        <f>#REF!</f>
        <v>#REF!</v>
      </c>
      <c r="X11" s="479"/>
      <c r="Y11" s="479"/>
      <c r="Z11" s="480"/>
    </row>
    <row r="12" spans="1:27" ht="27" customHeight="1" thickBot="1" x14ac:dyDescent="0.5">
      <c r="A12" s="811"/>
      <c r="B12" s="817"/>
      <c r="C12" s="819"/>
      <c r="D12" s="481" t="s">
        <v>112</v>
      </c>
      <c r="E12" s="482">
        <f>$C$11/2</f>
        <v>1.7857142857142858</v>
      </c>
      <c r="F12" s="483" t="s">
        <v>281</v>
      </c>
      <c r="G12" s="484">
        <f>E12/1</f>
        <v>1.7857142857142858</v>
      </c>
      <c r="H12" s="1401">
        <v>11.4</v>
      </c>
      <c r="I12" s="1402">
        <v>9.8000000000000007</v>
      </c>
      <c r="J12" s="936">
        <f>I12-H12</f>
        <v>-1.5999999999999996</v>
      </c>
      <c r="K12" s="937">
        <f>(0.25*I12)*(6/10)</f>
        <v>1.47</v>
      </c>
      <c r="L12" s="938">
        <f>I12-K12</f>
        <v>8.33</v>
      </c>
      <c r="M12" s="972">
        <f>IF(K12&lt;&gt;0,J12/K12,"0%")</f>
        <v>-1.0884353741496597</v>
      </c>
      <c r="N12" s="940"/>
      <c r="O12" s="941"/>
      <c r="P12" s="942"/>
      <c r="Q12" s="1225" t="s">
        <v>98</v>
      </c>
      <c r="R12" s="381" t="s">
        <v>438</v>
      </c>
      <c r="S12" s="380" t="s">
        <v>439</v>
      </c>
      <c r="V12" s="486">
        <v>0.02</v>
      </c>
      <c r="W12" s="487" t="e">
        <f>(W11-(W11*V12))</f>
        <v>#REF!</v>
      </c>
      <c r="X12" s="487" t="e">
        <f>W11-(V12*W11)</f>
        <v>#REF!</v>
      </c>
      <c r="Y12" s="479"/>
      <c r="Z12" s="480"/>
    </row>
    <row r="13" spans="1:27" ht="32.450000000000003" customHeight="1" thickBot="1" x14ac:dyDescent="0.5">
      <c r="A13" s="811">
        <v>2</v>
      </c>
      <c r="B13" s="812" t="s">
        <v>6</v>
      </c>
      <c r="C13" s="814">
        <f>M5</f>
        <v>3.5714285714285716</v>
      </c>
      <c r="D13" s="488" t="s">
        <v>273</v>
      </c>
      <c r="E13" s="489">
        <f>$C$13/2</f>
        <v>1.7857142857142858</v>
      </c>
      <c r="F13" s="490" t="s">
        <v>7</v>
      </c>
      <c r="G13" s="491">
        <f>E13/1</f>
        <v>1.7857142857142858</v>
      </c>
      <c r="H13" s="1403">
        <v>3.9</v>
      </c>
      <c r="I13" s="1404">
        <v>4.9000000000000004</v>
      </c>
      <c r="J13" s="945">
        <f>IF(I13=H13,(5-H13),I13-H13)</f>
        <v>1.0000000000000004</v>
      </c>
      <c r="K13" s="946">
        <f>IF(I13&lt;=5,0,((I13-5)*(6/10)))</f>
        <v>0</v>
      </c>
      <c r="L13" s="947">
        <f>I13-K13</f>
        <v>4.9000000000000004</v>
      </c>
      <c r="M13" s="1083">
        <f>IF(I13&lt;=5,(1+(5-H13)/5),(J13/K13))</f>
        <v>1.22</v>
      </c>
      <c r="N13" s="931">
        <f>(((G13/C13)*M13)+((G14/C13)*M14))</f>
        <v>1.194795321637427</v>
      </c>
      <c r="O13" s="932">
        <f>IF((((G13/C13)*M13)+((G14/C13)*M14))&gt;=1,3.57148,IF((((G13/C13)*M13)+((G14/C13)*M14))&lt;=0,0, (((G13/C13)*M13)+((G14/C13)*M14))*3.571428))</f>
        <v>3.5714800000000002</v>
      </c>
      <c r="P13" s="933">
        <f>O13/3.571428</f>
        <v>1.0000145600023296</v>
      </c>
      <c r="Q13" s="1227" t="s">
        <v>99</v>
      </c>
      <c r="R13" s="382"/>
      <c r="S13" s="383"/>
      <c r="V13" s="486">
        <v>0.02</v>
      </c>
      <c r="W13" s="487" t="e">
        <f>(#REF!-(#REF!*V13))</f>
        <v>#REF!</v>
      </c>
      <c r="X13" s="487" t="e">
        <f>(W11-(V12*W11))-((W11-(V12*W11))*0.02)-(((W11-(V12*W11))-((W11-(V12*W11))*0.02))*0.02)-(((W11-(V12*W11))-((W11-(V12*W11))*0.02)-(((W11-(V12*W11))-((W11-(V12*W11))*0.02))*0.02))*0.02)</f>
        <v>#REF!</v>
      </c>
      <c r="Y13" s="493" t="e">
        <f>(W11-W14)/W11</f>
        <v>#REF!</v>
      </c>
      <c r="Z13" s="480"/>
    </row>
    <row r="14" spans="1:27" ht="50.65" customHeight="1" thickBot="1" x14ac:dyDescent="0.5">
      <c r="A14" s="811"/>
      <c r="B14" s="813"/>
      <c r="C14" s="815"/>
      <c r="D14" s="481" t="s">
        <v>274</v>
      </c>
      <c r="E14" s="494">
        <f>$C$13/2</f>
        <v>1.7857142857142858</v>
      </c>
      <c r="F14" s="495" t="s">
        <v>8</v>
      </c>
      <c r="G14" s="496">
        <f>E14/1</f>
        <v>1.7857142857142858</v>
      </c>
      <c r="H14" s="1405">
        <v>98</v>
      </c>
      <c r="I14" s="1406">
        <v>94</v>
      </c>
      <c r="J14" s="950">
        <f>H14-I14</f>
        <v>4</v>
      </c>
      <c r="K14" s="951">
        <f>(0.95*(100-I14))*6/10</f>
        <v>3.4199999999999995</v>
      </c>
      <c r="L14" s="952">
        <f>K14+I14</f>
        <v>97.42</v>
      </c>
      <c r="M14" s="939">
        <f>IF(K14&lt;&gt;0,J14/K14,"1%")</f>
        <v>1.169590643274854</v>
      </c>
      <c r="N14" s="940"/>
      <c r="O14" s="941"/>
      <c r="P14" s="942"/>
      <c r="Q14" s="1230" t="s">
        <v>100</v>
      </c>
      <c r="R14" s="384" t="s">
        <v>440</v>
      </c>
      <c r="S14" s="380" t="s">
        <v>441</v>
      </c>
      <c r="V14" s="498">
        <v>0.02</v>
      </c>
      <c r="W14" s="499" t="e">
        <f>(#REF!-(#REF!*V14))</f>
        <v>#REF!</v>
      </c>
      <c r="X14" s="499"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500" t="e">
        <f>W11-X14</f>
        <v>#REF!</v>
      </c>
      <c r="Z14" s="501"/>
    </row>
    <row r="15" spans="1:27" ht="39" customHeight="1" thickBot="1" x14ac:dyDescent="0.5">
      <c r="A15" s="836">
        <v>3</v>
      </c>
      <c r="B15" s="837" t="s">
        <v>9</v>
      </c>
      <c r="C15" s="839">
        <f>M5</f>
        <v>3.5714285714285716</v>
      </c>
      <c r="D15" s="837" t="s">
        <v>113</v>
      </c>
      <c r="E15" s="839">
        <f>$C$15/1</f>
        <v>3.5714285714285716</v>
      </c>
      <c r="F15" s="502" t="s">
        <v>221</v>
      </c>
      <c r="G15" s="503">
        <f>$E$15/3</f>
        <v>1.1904761904761905</v>
      </c>
      <c r="H15" s="1232">
        <v>99</v>
      </c>
      <c r="I15" s="1233">
        <v>97</v>
      </c>
      <c r="J15" s="955">
        <f>H15-I15</f>
        <v>2</v>
      </c>
      <c r="K15" s="956">
        <f>(0.5*I15)*6/10</f>
        <v>29.1</v>
      </c>
      <c r="L15" s="929">
        <f>I15+K15</f>
        <v>126.1</v>
      </c>
      <c r="M15" s="930">
        <f>IF(K15&lt;&gt;0,J15/K15,"0%")</f>
        <v>6.8728522336769751E-2</v>
      </c>
      <c r="N15" s="957">
        <f>(((G15/C15)*M15)+((G16/C15)*M16)+((G17/C15)*M17))</f>
        <v>4.0259103761180999</v>
      </c>
      <c r="O15" s="958">
        <f>IF((((G15/C15)*M15)+((G16/C15)*M16)+((G17/C15)*M17))&gt;=1,3.571428,IF((((G15/C15)*M15)+((G16/C15)*M16)+((G17/C15)*M17))&lt;=0,0,(((G15/C15)*M15)+((G16/C15)*M16)+((G17/C15)*M17))*3.571428))</f>
        <v>3.571428</v>
      </c>
      <c r="P15" s="933">
        <f>O15/3.571428</f>
        <v>1</v>
      </c>
      <c r="Q15" s="1231" t="s">
        <v>101</v>
      </c>
      <c r="R15" s="385" t="s">
        <v>442</v>
      </c>
      <c r="S15" s="380" t="s">
        <v>443</v>
      </c>
    </row>
    <row r="16" spans="1:27" ht="58.15" x14ac:dyDescent="0.45">
      <c r="A16" s="836"/>
      <c r="B16" s="837"/>
      <c r="C16" s="839"/>
      <c r="D16" s="837"/>
      <c r="E16" s="839"/>
      <c r="F16" s="505" t="s">
        <v>220</v>
      </c>
      <c r="G16" s="506">
        <f t="shared" ref="G16:G17" si="0">$E$15/3</f>
        <v>1.1904761904761905</v>
      </c>
      <c r="H16" s="1407">
        <v>10</v>
      </c>
      <c r="I16" s="1408">
        <v>7</v>
      </c>
      <c r="J16" s="961">
        <f>H16-I16</f>
        <v>3</v>
      </c>
      <c r="K16" s="962">
        <f>(0.5*I16)*6/10</f>
        <v>2.1</v>
      </c>
      <c r="L16" s="963">
        <f t="shared" ref="L16:L17" si="1">I16+K16</f>
        <v>9.1</v>
      </c>
      <c r="M16" s="964">
        <f>IF(K16&lt;&gt;0,J16/K16,"0%")</f>
        <v>1.4285714285714286</v>
      </c>
      <c r="N16" s="965"/>
      <c r="O16" s="966"/>
      <c r="P16" s="967"/>
      <c r="Q16" s="1235" t="s">
        <v>95</v>
      </c>
      <c r="R16" s="385" t="s">
        <v>442</v>
      </c>
      <c r="S16" s="380" t="s">
        <v>444</v>
      </c>
    </row>
    <row r="17" spans="1:19" ht="25.25" customHeight="1" thickBot="1" x14ac:dyDescent="0.5">
      <c r="A17" s="836"/>
      <c r="B17" s="838"/>
      <c r="C17" s="840"/>
      <c r="D17" s="838"/>
      <c r="E17" s="840"/>
      <c r="F17" s="508" t="s">
        <v>10</v>
      </c>
      <c r="G17" s="509">
        <f t="shared" si="0"/>
        <v>1.1904761904761905</v>
      </c>
      <c r="H17" s="1409">
        <v>83.9</v>
      </c>
      <c r="I17" s="1410">
        <v>20.100000000000001</v>
      </c>
      <c r="J17" s="970">
        <f>H17-I17</f>
        <v>63.800000000000004</v>
      </c>
      <c r="K17" s="971">
        <f>(0.5*I17)*6/10</f>
        <v>6.03</v>
      </c>
      <c r="L17" s="938">
        <f t="shared" si="1"/>
        <v>26.130000000000003</v>
      </c>
      <c r="M17" s="972">
        <f>IF(K17&lt;&gt;0,J17/K17,"0%")</f>
        <v>10.580431177446103</v>
      </c>
      <c r="N17" s="973"/>
      <c r="O17" s="974"/>
      <c r="P17" s="967"/>
      <c r="Q17" s="1239" t="s">
        <v>162</v>
      </c>
      <c r="R17" s="381" t="s">
        <v>445</v>
      </c>
      <c r="S17" s="381" t="s">
        <v>446</v>
      </c>
    </row>
    <row r="18" spans="1:19" ht="21.4" thickBot="1" x14ac:dyDescent="0.7">
      <c r="A18" s="14"/>
      <c r="B18" s="831" t="s">
        <v>11</v>
      </c>
      <c r="C18" s="832"/>
      <c r="D18" s="832"/>
      <c r="E18" s="832"/>
      <c r="F18" s="833"/>
      <c r="G18" s="511"/>
      <c r="H18" s="1240"/>
      <c r="I18" s="1241"/>
      <c r="J18" s="977"/>
      <c r="K18" s="977"/>
      <c r="L18" s="977"/>
      <c r="M18" s="978"/>
      <c r="N18" s="918">
        <f>N19</f>
        <v>0.6656545484021934</v>
      </c>
      <c r="O18" s="919">
        <f>O19</f>
        <v>2.3773372924909486</v>
      </c>
      <c r="P18" s="920">
        <f>O18/3.571428</f>
        <v>0.66565454840219329</v>
      </c>
      <c r="Q18" s="977"/>
      <c r="R18" s="328"/>
      <c r="S18" s="329"/>
    </row>
    <row r="19" spans="1:19" ht="34.25" customHeight="1" x14ac:dyDescent="0.45">
      <c r="A19" s="811">
        <v>4</v>
      </c>
      <c r="B19" s="823" t="s">
        <v>12</v>
      </c>
      <c r="C19" s="827">
        <f>M5</f>
        <v>3.5714285714285716</v>
      </c>
      <c r="D19" s="513" t="s">
        <v>114</v>
      </c>
      <c r="E19" s="475">
        <f>$C$19/4</f>
        <v>0.8928571428571429</v>
      </c>
      <c r="F19" s="514" t="s">
        <v>222</v>
      </c>
      <c r="G19" s="503">
        <f>E19/1</f>
        <v>0.8928571428571429</v>
      </c>
      <c r="H19" s="1411">
        <v>65.56</v>
      </c>
      <c r="I19" s="1392">
        <v>67.760000000000005</v>
      </c>
      <c r="J19" s="980">
        <f>H19-I19</f>
        <v>-2.2000000000000028</v>
      </c>
      <c r="K19" s="956">
        <f>(2*I19)*6/10</f>
        <v>81.312000000000012</v>
      </c>
      <c r="L19" s="981">
        <f t="shared" ref="L19:L22" si="2">K19+I19</f>
        <v>149.072</v>
      </c>
      <c r="M19" s="930">
        <f>IF(K19&lt;&gt;0,J19/K19,"0%")</f>
        <v>-2.7056277056277087E-2</v>
      </c>
      <c r="N19" s="982">
        <f>(((G19/C19)*M19)+((G20/C19)*M20)+((G21/C19)*M21)+((G22/C19)*M22))</f>
        <v>0.6656545484021934</v>
      </c>
      <c r="O19" s="983">
        <f>IF((((G19/C19)*M19)+((G20/C19)*M20)+((G21/C19)*M21)+((G22/C19)*M22))&gt;=1,3.571428,IF((((G19/C19)*M19)+((G20/C19)*M20)+((G21/C19)*M21)+((G22/C19)*M22))&lt;=0,0,((((G19/C19)*M19)+((G20/C19)*M20)+((G21/C19)*M21)+((G22/C19)*M22))*3.571428)))</f>
        <v>2.3773372924909486</v>
      </c>
      <c r="P19" s="933">
        <f>O19/3.571428</f>
        <v>0.66565454840219329</v>
      </c>
      <c r="Q19" s="1242" t="s">
        <v>163</v>
      </c>
      <c r="R19" s="386" t="s">
        <v>447</v>
      </c>
      <c r="S19" s="139"/>
    </row>
    <row r="20" spans="1:19" ht="39" customHeight="1" thickBot="1" x14ac:dyDescent="0.5">
      <c r="A20" s="811"/>
      <c r="B20" s="824"/>
      <c r="C20" s="828"/>
      <c r="D20" s="516" t="s">
        <v>152</v>
      </c>
      <c r="E20" s="517">
        <f>($C$19/4)</f>
        <v>0.8928571428571429</v>
      </c>
      <c r="F20" s="518" t="s">
        <v>265</v>
      </c>
      <c r="G20" s="506">
        <f>E20/1</f>
        <v>0.8928571428571429</v>
      </c>
      <c r="H20" s="1321">
        <v>99.31</v>
      </c>
      <c r="I20" s="1322">
        <v>97.87</v>
      </c>
      <c r="J20" s="986">
        <f t="shared" ref="J20:J24" si="3">H20-I20</f>
        <v>1.4399999999999977</v>
      </c>
      <c r="K20" s="962">
        <f>(100-I20)*(6/10)</f>
        <v>1.2779999999999971</v>
      </c>
      <c r="L20" s="987">
        <f t="shared" si="2"/>
        <v>99.147999999999996</v>
      </c>
      <c r="M20" s="964">
        <f>IF(K20&lt;&gt;0,J20/K20,"0%")</f>
        <v>1.1267605633802824</v>
      </c>
      <c r="N20" s="988"/>
      <c r="O20" s="966"/>
      <c r="P20" s="967"/>
      <c r="Q20" s="1245" t="s">
        <v>164</v>
      </c>
      <c r="R20" s="387" t="s">
        <v>447</v>
      </c>
      <c r="S20" s="146"/>
    </row>
    <row r="21" spans="1:19" ht="56.45" customHeight="1" x14ac:dyDescent="0.45">
      <c r="A21" s="811"/>
      <c r="B21" s="824"/>
      <c r="C21" s="828"/>
      <c r="D21" s="516" t="s">
        <v>153</v>
      </c>
      <c r="E21" s="517">
        <f t="shared" ref="E21:E22" si="4">($C$19/4)</f>
        <v>0.8928571428571429</v>
      </c>
      <c r="F21" s="518" t="s">
        <v>155</v>
      </c>
      <c r="G21" s="506">
        <f>E21/1</f>
        <v>0.8928571428571429</v>
      </c>
      <c r="H21" s="1412">
        <v>100</v>
      </c>
      <c r="I21" s="1413">
        <v>100</v>
      </c>
      <c r="J21" s="986">
        <f t="shared" si="3"/>
        <v>0</v>
      </c>
      <c r="K21" s="962">
        <f>IF(H21=100,0%,((0.3*I21)*(6/10)))</f>
        <v>0</v>
      </c>
      <c r="L21" s="987">
        <f t="shared" si="2"/>
        <v>100</v>
      </c>
      <c r="M21" s="964">
        <f>IF(H21=100,100%,J21/K21)</f>
        <v>1</v>
      </c>
      <c r="N21" s="988"/>
      <c r="O21" s="966"/>
      <c r="P21" s="967"/>
      <c r="Q21" s="1245" t="s">
        <v>165</v>
      </c>
      <c r="R21" s="89" t="s">
        <v>484</v>
      </c>
      <c r="S21" s="654" t="s">
        <v>485</v>
      </c>
    </row>
    <row r="22" spans="1:19" ht="36.6" customHeight="1" thickBot="1" x14ac:dyDescent="0.5">
      <c r="A22" s="811"/>
      <c r="B22" s="834"/>
      <c r="C22" s="835"/>
      <c r="D22" s="495" t="s">
        <v>154</v>
      </c>
      <c r="E22" s="520">
        <f t="shared" si="4"/>
        <v>0.8928571428571429</v>
      </c>
      <c r="F22" s="521" t="s">
        <v>156</v>
      </c>
      <c r="G22" s="522">
        <f>E22/1</f>
        <v>0.8928571428571429</v>
      </c>
      <c r="H22" s="1414">
        <v>84</v>
      </c>
      <c r="I22" s="1415">
        <v>75.84</v>
      </c>
      <c r="J22" s="993">
        <f t="shared" si="3"/>
        <v>8.1599999999999966</v>
      </c>
      <c r="K22" s="971">
        <f>(100-I22)*(6/10)</f>
        <v>14.495999999999997</v>
      </c>
      <c r="L22" s="994">
        <f t="shared" si="2"/>
        <v>90.335999999999999</v>
      </c>
      <c r="M22" s="972">
        <f>IF(K22&lt;&gt;0,J22/K22,"100%")</f>
        <v>0.56291390728476809</v>
      </c>
      <c r="N22" s="995"/>
      <c r="O22" s="974"/>
      <c r="P22" s="942"/>
      <c r="Q22" s="1250" t="s">
        <v>95</v>
      </c>
      <c r="R22" s="388" t="s">
        <v>447</v>
      </c>
      <c r="S22" s="146"/>
    </row>
    <row r="23" spans="1:19" ht="20.45" customHeight="1" thickBot="1" x14ac:dyDescent="0.5">
      <c r="B23" s="820" t="s">
        <v>13</v>
      </c>
      <c r="C23" s="821"/>
      <c r="D23" s="821"/>
      <c r="E23" s="821"/>
      <c r="F23" s="822"/>
      <c r="G23" s="511"/>
      <c r="H23" s="1240"/>
      <c r="I23" s="1241"/>
      <c r="J23" s="996"/>
      <c r="K23" s="997"/>
      <c r="L23" s="997"/>
      <c r="M23" s="978"/>
      <c r="N23" s="918">
        <f>N24</f>
        <v>0.59778171550545145</v>
      </c>
      <c r="O23" s="919">
        <f>O24</f>
        <v>2.1349343566442034</v>
      </c>
      <c r="P23" s="920">
        <f>O23/3.571428</f>
        <v>0.59778171550545145</v>
      </c>
      <c r="Q23" s="977"/>
      <c r="R23" s="324"/>
      <c r="S23" s="324"/>
    </row>
    <row r="24" spans="1:19" ht="36" customHeight="1" x14ac:dyDescent="0.45">
      <c r="A24" s="811">
        <v>5</v>
      </c>
      <c r="B24" s="823" t="s">
        <v>14</v>
      </c>
      <c r="C24" s="827">
        <f>M5</f>
        <v>3.5714285714285716</v>
      </c>
      <c r="D24" s="513" t="s">
        <v>115</v>
      </c>
      <c r="E24" s="475">
        <f>$C$24/4</f>
        <v>0.8928571428571429</v>
      </c>
      <c r="F24" s="513" t="s">
        <v>280</v>
      </c>
      <c r="G24" s="475">
        <f>E24/1</f>
        <v>0.8928571428571429</v>
      </c>
      <c r="H24" s="1232">
        <v>97</v>
      </c>
      <c r="I24" s="1392">
        <v>99</v>
      </c>
      <c r="J24" s="998">
        <f t="shared" si="3"/>
        <v>-2</v>
      </c>
      <c r="K24" s="956">
        <f>(0.3*I24)*6/10</f>
        <v>17.82</v>
      </c>
      <c r="L24" s="981">
        <f>K24+I24</f>
        <v>116.82</v>
      </c>
      <c r="M24" s="930">
        <f t="shared" ref="M24:M31" si="5">IF(K24&lt;&gt;0,J24/K24,"0%")</f>
        <v>-0.1122334455667789</v>
      </c>
      <c r="N24" s="982">
        <f>(((G24/C24)*M24)+((G25/C24)*M25)+ ((G26/C24)*M26)+((G27/C24)*M27)+((G28/C24)*M28)+((G29/C24)*M29)+((G30/C24)*M30)+((G31/C24)*M31))</f>
        <v>0.59778171550545145</v>
      </c>
      <c r="O24" s="983">
        <f>IF((((G24/C24)*M24)+((G25/C24)*M25)+ ((G26/C24)*M26)+((G27/C24)*M27)+((G28/C24)*M28)+((G29/C24)*M29)+((G30/C24)*M30)+((G31/C24)*M31))&gt;=1,3.571428,IF((((G24/C24)*M24)+((G25/C24)*M25)+ ((G26/C24)*M26)+((G27/C24)*M27)+((G28/C24)*M28)+((G29/C24)*M29)+((G30/C24)*M30)+((G31/C24)*M31))&lt;=0,0,((((G24/C24)*M24)+((G25/C24)*M25)+ ((G26/C24)*M26)+((G27/C24)*M27)+((G28/C24)*M28)+((G29/C24)*M29)+((G30/C24)*M30)+((G31/C24)*M31))*3.571428)))</f>
        <v>2.1349343566442034</v>
      </c>
      <c r="P24" s="933">
        <f>O24/3.571428</f>
        <v>0.59778171550545145</v>
      </c>
      <c r="Q24" s="1253" t="s">
        <v>166</v>
      </c>
      <c r="R24" s="389"/>
      <c r="S24" s="655"/>
    </row>
    <row r="25" spans="1:19" ht="19.8" customHeight="1" x14ac:dyDescent="0.45">
      <c r="A25" s="811"/>
      <c r="B25" s="824"/>
      <c r="C25" s="828"/>
      <c r="D25" s="844" t="s">
        <v>158</v>
      </c>
      <c r="E25" s="846">
        <v>0.9</v>
      </c>
      <c r="F25" s="516" t="s">
        <v>15</v>
      </c>
      <c r="G25" s="517">
        <f>$E$25/3</f>
        <v>0.3</v>
      </c>
      <c r="H25" s="1321">
        <v>57.7</v>
      </c>
      <c r="I25" s="1322">
        <v>66.900000000000006</v>
      </c>
      <c r="J25" s="1001">
        <f t="shared" ref="J25:J30" si="6">I25-H25</f>
        <v>9.2000000000000028</v>
      </c>
      <c r="K25" s="962">
        <f>(0.5*I25)*6/10</f>
        <v>20.07</v>
      </c>
      <c r="L25" s="987">
        <f t="shared" ref="L25:L30" si="7">I25-K25</f>
        <v>46.830000000000005</v>
      </c>
      <c r="M25" s="964">
        <f t="shared" si="5"/>
        <v>0.45839561534628814</v>
      </c>
      <c r="N25" s="988"/>
      <c r="O25" s="966"/>
      <c r="P25" s="967"/>
      <c r="Q25" s="1256" t="s">
        <v>167</v>
      </c>
      <c r="R25" s="390"/>
      <c r="S25" s="656"/>
    </row>
    <row r="26" spans="1:19" ht="19.8" customHeight="1" x14ac:dyDescent="0.45">
      <c r="A26" s="811"/>
      <c r="B26" s="824"/>
      <c r="C26" s="828"/>
      <c r="D26" s="845"/>
      <c r="E26" s="829"/>
      <c r="F26" s="516" t="s">
        <v>16</v>
      </c>
      <c r="G26" s="517">
        <f t="shared" ref="G26:G27" si="8">$E$25/3</f>
        <v>0.3</v>
      </c>
      <c r="H26" s="1321">
        <v>17.100000000000001</v>
      </c>
      <c r="I26" s="1322">
        <v>16.399999999999999</v>
      </c>
      <c r="J26" s="1001">
        <f t="shared" si="6"/>
        <v>-0.70000000000000284</v>
      </c>
      <c r="K26" s="962">
        <f>(0.8*I26)*6/10</f>
        <v>7.8719999999999999</v>
      </c>
      <c r="L26" s="987">
        <f t="shared" si="7"/>
        <v>8.5279999999999987</v>
      </c>
      <c r="M26" s="964">
        <f t="shared" si="5"/>
        <v>-8.8922764227642642E-2</v>
      </c>
      <c r="N26" s="988"/>
      <c r="O26" s="966"/>
      <c r="P26" s="967"/>
      <c r="Q26" s="1256" t="s">
        <v>168</v>
      </c>
      <c r="R26" s="156" t="s">
        <v>448</v>
      </c>
      <c r="S26" s="656"/>
    </row>
    <row r="27" spans="1:19" ht="19.8" customHeight="1" thickBot="1" x14ac:dyDescent="0.5">
      <c r="A27" s="811"/>
      <c r="B27" s="824"/>
      <c r="C27" s="828"/>
      <c r="D27" s="845"/>
      <c r="E27" s="829"/>
      <c r="F27" s="516" t="s">
        <v>17</v>
      </c>
      <c r="G27" s="517">
        <f t="shared" si="8"/>
        <v>0.3</v>
      </c>
      <c r="H27" s="1321">
        <v>24.2</v>
      </c>
      <c r="I27" s="1322">
        <v>26.1</v>
      </c>
      <c r="J27" s="1001">
        <f t="shared" si="6"/>
        <v>1.9000000000000021</v>
      </c>
      <c r="K27" s="962">
        <f>(0.5*I27)*(6/10)</f>
        <v>7.83</v>
      </c>
      <c r="L27" s="987">
        <f t="shared" si="7"/>
        <v>18.270000000000003</v>
      </c>
      <c r="M27" s="964">
        <f t="shared" si="5"/>
        <v>0.24265644955300156</v>
      </c>
      <c r="N27" s="988"/>
      <c r="O27" s="966"/>
      <c r="P27" s="967"/>
      <c r="Q27" s="1256" t="s">
        <v>169</v>
      </c>
      <c r="R27" s="156" t="s">
        <v>448</v>
      </c>
      <c r="S27" s="656"/>
    </row>
    <row r="28" spans="1:19" ht="38.65" customHeight="1" thickBot="1" x14ac:dyDescent="0.5">
      <c r="A28" s="16"/>
      <c r="B28" s="824"/>
      <c r="C28" s="828"/>
      <c r="D28" s="844" t="s">
        <v>116</v>
      </c>
      <c r="E28" s="846">
        <f t="shared" ref="E28:E31" si="9">$C$24/4</f>
        <v>0.8928571428571429</v>
      </c>
      <c r="F28" s="516" t="s">
        <v>148</v>
      </c>
      <c r="G28" s="517">
        <f>$E$28/3</f>
        <v>0.29761904761904762</v>
      </c>
      <c r="H28" s="1321">
        <v>1.9599999999999999E-3</v>
      </c>
      <c r="I28" s="1322">
        <v>2.5000000000000001E-3</v>
      </c>
      <c r="J28" s="1001">
        <f t="shared" si="6"/>
        <v>5.4000000000000012E-4</v>
      </c>
      <c r="K28" s="962">
        <f>(0.5*I28)*(6/10)</f>
        <v>7.5000000000000002E-4</v>
      </c>
      <c r="L28" s="987">
        <f t="shared" si="7"/>
        <v>1.75E-3</v>
      </c>
      <c r="M28" s="964">
        <f t="shared" si="5"/>
        <v>0.72000000000000008</v>
      </c>
      <c r="N28" s="1002"/>
      <c r="O28" s="966"/>
      <c r="P28" s="967"/>
      <c r="Q28" s="1256" t="s">
        <v>170</v>
      </c>
      <c r="R28" s="390" t="s">
        <v>449</v>
      </c>
      <c r="S28" s="391" t="s">
        <v>450</v>
      </c>
    </row>
    <row r="29" spans="1:19" ht="49.5" customHeight="1" thickBot="1" x14ac:dyDescent="0.5">
      <c r="A29" s="16"/>
      <c r="B29" s="824"/>
      <c r="C29" s="828"/>
      <c r="D29" s="845"/>
      <c r="E29" s="829"/>
      <c r="F29" s="516" t="s">
        <v>149</v>
      </c>
      <c r="G29" s="517">
        <f t="shared" ref="G29:G30" si="10">$E$28/3</f>
        <v>0.29761904761904762</v>
      </c>
      <c r="H29" s="1321">
        <v>0.53600000000000003</v>
      </c>
      <c r="I29" s="1322">
        <v>0.57399999999999995</v>
      </c>
      <c r="J29" s="1001">
        <f t="shared" si="6"/>
        <v>3.7999999999999923E-2</v>
      </c>
      <c r="K29" s="962">
        <f>(0.5*I29)*(6/10)</f>
        <v>0.17219999999999999</v>
      </c>
      <c r="L29" s="987">
        <f t="shared" si="7"/>
        <v>0.40179999999999993</v>
      </c>
      <c r="M29" s="964">
        <f t="shared" si="5"/>
        <v>0.22067363530778122</v>
      </c>
      <c r="N29" s="1002"/>
      <c r="O29" s="966"/>
      <c r="P29" s="967"/>
      <c r="Q29" s="1256" t="s">
        <v>171</v>
      </c>
      <c r="R29" s="390" t="s">
        <v>449</v>
      </c>
      <c r="S29" s="391" t="s">
        <v>451</v>
      </c>
    </row>
    <row r="30" spans="1:19" ht="34.15" customHeight="1" x14ac:dyDescent="0.45">
      <c r="A30" s="16"/>
      <c r="B30" s="825"/>
      <c r="C30" s="829"/>
      <c r="D30" s="845"/>
      <c r="E30" s="829"/>
      <c r="F30" s="516" t="s">
        <v>150</v>
      </c>
      <c r="G30" s="517">
        <f t="shared" si="10"/>
        <v>0.29761904761904762</v>
      </c>
      <c r="H30" s="1321">
        <v>1E-3</v>
      </c>
      <c r="I30" s="1322">
        <v>1.4E-3</v>
      </c>
      <c r="J30" s="1001">
        <f t="shared" si="6"/>
        <v>3.9999999999999996E-4</v>
      </c>
      <c r="K30" s="962">
        <f>(0.5*I30)*(6/10)</f>
        <v>4.1999999999999996E-4</v>
      </c>
      <c r="L30" s="987">
        <f t="shared" si="7"/>
        <v>9.7999999999999997E-4</v>
      </c>
      <c r="M30" s="964">
        <f t="shared" si="5"/>
        <v>0.95238095238095233</v>
      </c>
      <c r="N30" s="1002"/>
      <c r="O30" s="966"/>
      <c r="P30" s="967"/>
      <c r="Q30" s="1256" t="s">
        <v>172</v>
      </c>
      <c r="R30" s="390" t="s">
        <v>449</v>
      </c>
      <c r="S30" s="391" t="s">
        <v>452</v>
      </c>
    </row>
    <row r="31" spans="1:19" ht="34.9" customHeight="1" thickBot="1" x14ac:dyDescent="0.5">
      <c r="A31" s="16"/>
      <c r="B31" s="826"/>
      <c r="C31" s="830"/>
      <c r="D31" s="526" t="s">
        <v>117</v>
      </c>
      <c r="E31" s="484">
        <f t="shared" si="9"/>
        <v>0.8928571428571429</v>
      </c>
      <c r="F31" s="527" t="s">
        <v>223</v>
      </c>
      <c r="G31" s="484">
        <f>E31/1</f>
        <v>0.8928571428571429</v>
      </c>
      <c r="H31" s="1416">
        <v>100</v>
      </c>
      <c r="I31" s="1415">
        <v>85</v>
      </c>
      <c r="J31" s="1003">
        <f t="shared" ref="J31" si="11">H31-I31</f>
        <v>15</v>
      </c>
      <c r="K31" s="971">
        <f>(100-I31)*(6/10)</f>
        <v>9</v>
      </c>
      <c r="L31" s="994">
        <f>K31+I31</f>
        <v>94</v>
      </c>
      <c r="M31" s="939">
        <f t="shared" si="5"/>
        <v>1.6666666666666667</v>
      </c>
      <c r="N31" s="1004"/>
      <c r="O31" s="974"/>
      <c r="P31" s="942"/>
      <c r="Q31" s="1261" t="s">
        <v>95</v>
      </c>
      <c r="R31" s="392"/>
      <c r="S31" s="657"/>
    </row>
    <row r="32" spans="1:19" ht="20.45" customHeight="1" thickBot="1" x14ac:dyDescent="0.5">
      <c r="B32" s="847" t="s">
        <v>18</v>
      </c>
      <c r="C32" s="848"/>
      <c r="D32" s="848"/>
      <c r="E32" s="848"/>
      <c r="F32" s="849"/>
      <c r="G32" s="511"/>
      <c r="H32" s="1262"/>
      <c r="I32" s="1263"/>
      <c r="J32" s="1007"/>
      <c r="K32" s="1008"/>
      <c r="L32" s="1009"/>
      <c r="M32" s="1010"/>
      <c r="N32" s="918">
        <f>(N33+N34+N35+N36)/4</f>
        <v>0.24421653796653786</v>
      </c>
      <c r="O32" s="919">
        <f>(O33+O34+O35+O36)</f>
        <v>6.3459495270270256</v>
      </c>
      <c r="P32" s="920">
        <f>O32/14.285712</f>
        <v>0.44421653796653787</v>
      </c>
      <c r="Q32" s="977"/>
      <c r="R32" s="329"/>
      <c r="S32" s="329"/>
    </row>
    <row r="33" spans="1:19" ht="33.6" customHeight="1" thickBot="1" x14ac:dyDescent="0.5">
      <c r="A33" s="16">
        <v>6</v>
      </c>
      <c r="B33" s="529" t="s">
        <v>19</v>
      </c>
      <c r="C33" s="530">
        <f>$M$5</f>
        <v>3.5714285714285716</v>
      </c>
      <c r="D33" s="531" t="s">
        <v>287</v>
      </c>
      <c r="E33" s="532">
        <f>C33/1</f>
        <v>3.5714285714285716</v>
      </c>
      <c r="F33" s="529" t="s">
        <v>288</v>
      </c>
      <c r="G33" s="530">
        <f>E33/1</f>
        <v>3.5714285714285716</v>
      </c>
      <c r="H33" s="1011">
        <v>1.4</v>
      </c>
      <c r="I33" s="1012">
        <v>2.8</v>
      </c>
      <c r="J33" s="1417">
        <f>IF(H33&lt;7,(H33-7),(H33-I33))</f>
        <v>-5.6</v>
      </c>
      <c r="K33" s="1014">
        <f>IF((7-H33&gt;=0),(7-H33),0)</f>
        <v>5.6</v>
      </c>
      <c r="L33" s="1015">
        <f>IF((I33&lt;7),7,I33)</f>
        <v>7</v>
      </c>
      <c r="M33" s="1016">
        <f>IF(K33&lt;&gt;0,J33/7,(1+((H33-I33)/I33)))</f>
        <v>-0.79999999999999993</v>
      </c>
      <c r="N33" s="1017">
        <f>((G33/C33)*M33)</f>
        <v>-0.79999999999999993</v>
      </c>
      <c r="O33" s="1018">
        <f>IF(((G33/C33)*M33)&gt;=1,3.571428,IF(((G33/C33)*M33)&lt;=0,0,((G33/C33)*M33)*3.571428))</f>
        <v>0</v>
      </c>
      <c r="P33" s="920">
        <f>O33/3.571428</f>
        <v>0</v>
      </c>
      <c r="Q33" s="1266" t="s">
        <v>97</v>
      </c>
      <c r="R33" s="87" t="s">
        <v>453</v>
      </c>
      <c r="S33" s="658"/>
    </row>
    <row r="34" spans="1:19" ht="51" customHeight="1" thickBot="1" x14ac:dyDescent="0.5">
      <c r="A34" s="16">
        <v>7</v>
      </c>
      <c r="B34" s="529" t="s">
        <v>20</v>
      </c>
      <c r="C34" s="530">
        <f t="shared" ref="C34:C36" si="12">$M$5</f>
        <v>3.5714285714285716</v>
      </c>
      <c r="D34" s="529" t="s">
        <v>118</v>
      </c>
      <c r="E34" s="532">
        <f t="shared" ref="E34:E36" si="13">C34/1</f>
        <v>3.5714285714285716</v>
      </c>
      <c r="F34" s="529" t="s">
        <v>21</v>
      </c>
      <c r="G34" s="530">
        <f>E34/1</f>
        <v>3.5714285714285716</v>
      </c>
      <c r="H34" s="1019">
        <v>4.8</v>
      </c>
      <c r="I34" s="1020">
        <v>4.2</v>
      </c>
      <c r="J34" s="1269">
        <f>H34-I34</f>
        <v>0.59999999999999964</v>
      </c>
      <c r="K34" s="1022">
        <f>(0.5*I34)*(6/10)</f>
        <v>1.26</v>
      </c>
      <c r="L34" s="1023">
        <f>K34+I34</f>
        <v>5.46</v>
      </c>
      <c r="M34" s="1016">
        <f>IF(K34&lt;&gt;0,J34/K34,"0%")</f>
        <v>0.47619047619047589</v>
      </c>
      <c r="N34" s="1017">
        <f>((G34/C34)*M34)</f>
        <v>0.47619047619047589</v>
      </c>
      <c r="O34" s="1018">
        <f>IF(((G34/C34)*M34)&gt;=1,3.571428,IF(((G34/C34)*M34)&lt;=0,0,((G34/C34)*M34)*3.571428))</f>
        <v>1.7006799999999989</v>
      </c>
      <c r="P34" s="920">
        <f t="shared" ref="P34:P36" si="14">O34/3.571428</f>
        <v>0.47619047619047589</v>
      </c>
      <c r="Q34" s="1266" t="s">
        <v>173</v>
      </c>
      <c r="R34" s="87" t="s">
        <v>453</v>
      </c>
      <c r="S34" s="659"/>
    </row>
    <row r="35" spans="1:19" ht="40.799999999999997" customHeight="1" thickBot="1" x14ac:dyDescent="0.5">
      <c r="A35" s="16">
        <v>8</v>
      </c>
      <c r="B35" s="529" t="s">
        <v>22</v>
      </c>
      <c r="C35" s="530">
        <f t="shared" si="12"/>
        <v>3.5714285714285716</v>
      </c>
      <c r="D35" s="529" t="s">
        <v>119</v>
      </c>
      <c r="E35" s="532">
        <f t="shared" si="13"/>
        <v>3.5714285714285716</v>
      </c>
      <c r="F35" s="529" t="s">
        <v>23</v>
      </c>
      <c r="G35" s="530">
        <f>E35/1</f>
        <v>3.5714285714285716</v>
      </c>
      <c r="H35" s="1270">
        <v>0.5</v>
      </c>
      <c r="I35" s="1311">
        <v>0.2</v>
      </c>
      <c r="J35" s="1418">
        <f>H35-I35</f>
        <v>0.3</v>
      </c>
      <c r="K35" s="1025">
        <f>IF((I35&gt;=1),0,((1-I35)*0.6))</f>
        <v>0.48</v>
      </c>
      <c r="L35" s="1015">
        <f>I35+K35</f>
        <v>0.67999999999999994</v>
      </c>
      <c r="M35" s="1016">
        <f>IF(K35&lt;&gt;0,J35/K35,"0%")</f>
        <v>0.625</v>
      </c>
      <c r="N35" s="1017">
        <f>((G35/C35)*M35)</f>
        <v>0.625</v>
      </c>
      <c r="O35" s="1018">
        <f>IF(((G35/C35)*M35)&gt;=1,3.571428,IF(((G35/C35)*M35)&lt;=0,0,((G35/C35)*M35)*3.571428))</f>
        <v>2.2321425000000001</v>
      </c>
      <c r="P35" s="920">
        <f t="shared" si="14"/>
        <v>0.625</v>
      </c>
      <c r="Q35" s="1266" t="s">
        <v>174</v>
      </c>
      <c r="R35" s="91"/>
      <c r="S35" s="659"/>
    </row>
    <row r="36" spans="1:19" ht="32.450000000000003" customHeight="1" thickBot="1" x14ac:dyDescent="0.5">
      <c r="A36" s="16">
        <v>9</v>
      </c>
      <c r="B36" s="529" t="s">
        <v>24</v>
      </c>
      <c r="C36" s="530">
        <f t="shared" si="12"/>
        <v>3.5714285714285716</v>
      </c>
      <c r="D36" s="529" t="s">
        <v>275</v>
      </c>
      <c r="E36" s="532">
        <f t="shared" si="13"/>
        <v>3.5714285714285716</v>
      </c>
      <c r="F36" s="534" t="s">
        <v>25</v>
      </c>
      <c r="G36" s="530">
        <f>E36/1</f>
        <v>3.5714285714285716</v>
      </c>
      <c r="H36" s="1270">
        <v>1.56</v>
      </c>
      <c r="I36" s="1311">
        <v>1.1100000000000001</v>
      </c>
      <c r="J36" s="1419">
        <f>H36-I36</f>
        <v>0.44999999999999996</v>
      </c>
      <c r="K36" s="1027">
        <f>(1*I36)*(6/10)</f>
        <v>0.66600000000000004</v>
      </c>
      <c r="L36" s="1028">
        <f>I36+K36</f>
        <v>1.7760000000000002</v>
      </c>
      <c r="M36" s="1016">
        <f>IF(K36&lt;&gt;0,J36/K36,"0%")</f>
        <v>0.67567567567567555</v>
      </c>
      <c r="N36" s="1017">
        <f>((G36/C36)*M36)</f>
        <v>0.67567567567567555</v>
      </c>
      <c r="O36" s="1018">
        <f>IF(((G36/C36)*M36)&gt;=1,3.571428,IF(((G36/C36)*M36)&lt;=0,0,((G36/C36)*M36)*3.571428))</f>
        <v>2.4131270270270266</v>
      </c>
      <c r="P36" s="920">
        <f t="shared" si="14"/>
        <v>0.67567567567567555</v>
      </c>
      <c r="Q36" s="1274" t="s">
        <v>175</v>
      </c>
      <c r="R36" s="87" t="s">
        <v>454</v>
      </c>
      <c r="S36" s="87" t="s">
        <v>455</v>
      </c>
    </row>
    <row r="37" spans="1:19" ht="30.6" customHeight="1" thickBot="1" x14ac:dyDescent="0.5">
      <c r="B37" s="841" t="s">
        <v>26</v>
      </c>
      <c r="C37" s="842"/>
      <c r="D37" s="842"/>
      <c r="E37" s="842"/>
      <c r="F37" s="843"/>
      <c r="G37" s="536"/>
      <c r="H37" s="1240"/>
      <c r="I37" s="1241"/>
      <c r="J37" s="1031"/>
      <c r="K37" s="1032"/>
      <c r="L37" s="1032"/>
      <c r="M37" s="1033"/>
      <c r="N37" s="918">
        <f>N38</f>
        <v>0.21559739655973967</v>
      </c>
      <c r="O37" s="919">
        <f>O38</f>
        <v>0.76999057880055788</v>
      </c>
      <c r="P37" s="920">
        <f>O37/3.571428</f>
        <v>0.21559739655973964</v>
      </c>
      <c r="Q37" s="1275"/>
      <c r="R37" s="328"/>
      <c r="S37" s="329"/>
    </row>
    <row r="38" spans="1:19" ht="55.9" customHeight="1" thickBot="1" x14ac:dyDescent="0.5">
      <c r="A38" s="811">
        <v>10</v>
      </c>
      <c r="B38" s="823" t="s">
        <v>27</v>
      </c>
      <c r="C38" s="827">
        <f>M5</f>
        <v>3.5714285714285716</v>
      </c>
      <c r="D38" s="502" t="s">
        <v>120</v>
      </c>
      <c r="E38" s="475">
        <f>$C$38/2</f>
        <v>1.7857142857142858</v>
      </c>
      <c r="F38" s="538" t="s">
        <v>224</v>
      </c>
      <c r="G38" s="503">
        <f>E38/1</f>
        <v>1.7857142857142858</v>
      </c>
      <c r="H38" s="1420">
        <v>1.8049999999999999</v>
      </c>
      <c r="I38" s="1421">
        <v>1.4339999999999999</v>
      </c>
      <c r="J38" s="1278">
        <f>H38-I38</f>
        <v>0.371</v>
      </c>
      <c r="K38" s="1037">
        <f>(1*I38)*(6/10)</f>
        <v>0.86039999999999994</v>
      </c>
      <c r="L38" s="1038">
        <f>I38+K38</f>
        <v>2.2944</v>
      </c>
      <c r="M38" s="930">
        <f>IF(K38&lt;&gt;0,J38/K38,"0%")</f>
        <v>0.43119479311947934</v>
      </c>
      <c r="N38" s="957">
        <f>(((G38/C38)*M38)+((G39/C38)*M39))</f>
        <v>0.21559739655973967</v>
      </c>
      <c r="O38" s="932">
        <f>IF((((G38/C38)*M38)+((G39/C38)*M39))&gt;=1,3.57148,IF((((G38/C38)*M38)+((G39/C38)*M39))&lt;=0,0, (((G38/C38)*M38)+((G39/C38)*M39))*3.571428))</f>
        <v>0.76999057880055788</v>
      </c>
      <c r="P38" s="933">
        <f>O38/3.571428</f>
        <v>0.21559739655973964</v>
      </c>
      <c r="Q38" s="1279" t="s">
        <v>176</v>
      </c>
      <c r="R38" s="393" t="s">
        <v>456</v>
      </c>
      <c r="S38" s="138" t="s">
        <v>457</v>
      </c>
    </row>
    <row r="39" spans="1:19" ht="29.65" customHeight="1" thickBot="1" x14ac:dyDescent="0.5">
      <c r="A39" s="811"/>
      <c r="B39" s="824"/>
      <c r="C39" s="828"/>
      <c r="D39" s="505" t="s">
        <v>157</v>
      </c>
      <c r="E39" s="484">
        <f>$C$38/2</f>
        <v>1.7857142857142858</v>
      </c>
      <c r="F39" s="540" t="s">
        <v>225</v>
      </c>
      <c r="G39" s="506">
        <f>E39/1</f>
        <v>1.7857142857142858</v>
      </c>
      <c r="H39" s="1395"/>
      <c r="I39" s="1396"/>
      <c r="J39" s="1282">
        <f>H39-I39</f>
        <v>0</v>
      </c>
      <c r="K39" s="1040">
        <f>IF(AND(I39&gt;=10,H39&gt;=I39),0,((10-H39)*(6/10)))</f>
        <v>6</v>
      </c>
      <c r="L39" s="1041">
        <f>I39+K39</f>
        <v>6</v>
      </c>
      <c r="M39" s="972">
        <f>IF(K39&lt;&gt;0,J39/K39,"0%")</f>
        <v>0</v>
      </c>
      <c r="N39" s="965"/>
      <c r="O39" s="941"/>
      <c r="P39" s="942"/>
      <c r="Q39" s="1283" t="s">
        <v>95</v>
      </c>
      <c r="R39" s="134"/>
      <c r="S39" s="394" t="s">
        <v>458</v>
      </c>
    </row>
    <row r="40" spans="1:19" ht="20.45" customHeight="1" thickBot="1" x14ac:dyDescent="0.5">
      <c r="B40" s="853" t="s">
        <v>28</v>
      </c>
      <c r="C40" s="854"/>
      <c r="D40" s="854"/>
      <c r="E40" s="855"/>
      <c r="F40" s="856"/>
      <c r="G40" s="536"/>
      <c r="H40" s="1284"/>
      <c r="I40" s="1285"/>
      <c r="J40" s="1044"/>
      <c r="K40" s="1045"/>
      <c r="L40" s="1045"/>
      <c r="M40" s="1046"/>
      <c r="N40" s="918">
        <f>N41</f>
        <v>0.83333333333333348</v>
      </c>
      <c r="O40" s="919">
        <f>O41</f>
        <v>2.9761900000000008</v>
      </c>
      <c r="P40" s="920">
        <f>O40/3.571428</f>
        <v>0.83333333333333359</v>
      </c>
      <c r="Q40" s="1286"/>
      <c r="R40" s="323"/>
      <c r="S40" s="324"/>
    </row>
    <row r="41" spans="1:19" ht="35.25" thickBot="1" x14ac:dyDescent="0.5">
      <c r="A41" s="811">
        <v>11</v>
      </c>
      <c r="B41" s="857" t="s">
        <v>29</v>
      </c>
      <c r="C41" s="859">
        <f>M5</f>
        <v>3.5714285714285716</v>
      </c>
      <c r="D41" s="543" t="s">
        <v>121</v>
      </c>
      <c r="E41" s="544">
        <f>$C$41/2</f>
        <v>1.7857142857142858</v>
      </c>
      <c r="F41" s="490" t="s">
        <v>30</v>
      </c>
      <c r="G41" s="545">
        <f>E41/1</f>
        <v>1.7857142857142858</v>
      </c>
      <c r="H41" s="1422">
        <v>0.45</v>
      </c>
      <c r="I41" s="1423">
        <v>0.3</v>
      </c>
      <c r="J41" s="1049">
        <f>H41-I41</f>
        <v>0.15000000000000002</v>
      </c>
      <c r="K41" s="1050">
        <f>(0.5*I41)*(6/10)</f>
        <v>0.09</v>
      </c>
      <c r="L41" s="1051">
        <f>I41+K41</f>
        <v>0.39</v>
      </c>
      <c r="M41" s="930">
        <f>IF(K41&lt;&gt;0,J41/K41,"0%")</f>
        <v>1.666666666666667</v>
      </c>
      <c r="N41" s="1052">
        <f>(((G41/C41)*M41)+(G42/C41)*M42)</f>
        <v>0.83333333333333348</v>
      </c>
      <c r="O41" s="932">
        <f>IF((((G41/C41)*M41)+((G42/C41)*M42))&gt;=1,3.57148,IF((((G41/C41)*M41)+((G42/C41)*M42))&lt;=0,0, (((G41/C41)*M41)+((G42/C41)*M42))*3.571428))</f>
        <v>2.9761900000000008</v>
      </c>
      <c r="P41" s="933">
        <f>O41/3.571428</f>
        <v>0.83333333333333359</v>
      </c>
      <c r="Q41" s="1289" t="s">
        <v>177</v>
      </c>
      <c r="R41" s="87" t="s">
        <v>453</v>
      </c>
      <c r="S41" s="51"/>
    </row>
    <row r="42" spans="1:19" ht="23.65" thickBot="1" x14ac:dyDescent="0.5">
      <c r="A42" s="811"/>
      <c r="B42" s="858"/>
      <c r="C42" s="860"/>
      <c r="D42" s="547" t="s">
        <v>122</v>
      </c>
      <c r="E42" s="520">
        <f>$C$41/2</f>
        <v>1.7857142857142858</v>
      </c>
      <c r="F42" s="495" t="s">
        <v>31</v>
      </c>
      <c r="G42" s="548">
        <f>E42/1</f>
        <v>1.7857142857142858</v>
      </c>
      <c r="H42" s="1424"/>
      <c r="I42" s="1425"/>
      <c r="J42" s="1053">
        <f>H42-I42</f>
        <v>0</v>
      </c>
      <c r="K42" s="951">
        <f>(0.5*I42)*(6/10)</f>
        <v>0</v>
      </c>
      <c r="L42" s="1054">
        <f>I42+K42</f>
        <v>0</v>
      </c>
      <c r="M42" s="972" t="str">
        <f>IF(K42&lt;&gt;0,J42/K42,"0%")</f>
        <v>0%</v>
      </c>
      <c r="N42" s="1052"/>
      <c r="O42" s="941"/>
      <c r="P42" s="942"/>
      <c r="Q42" s="1289" t="s">
        <v>95</v>
      </c>
      <c r="R42" s="395"/>
      <c r="S42" s="394" t="s">
        <v>458</v>
      </c>
    </row>
    <row r="43" spans="1:19" ht="30.6" customHeight="1" thickBot="1" x14ac:dyDescent="0.5">
      <c r="B43" s="831" t="s">
        <v>32</v>
      </c>
      <c r="C43" s="832"/>
      <c r="D43" s="832"/>
      <c r="E43" s="832"/>
      <c r="F43" s="833"/>
      <c r="G43" s="511"/>
      <c r="H43" s="1313"/>
      <c r="I43" s="1314"/>
      <c r="J43" s="1057"/>
      <c r="K43" s="1058"/>
      <c r="L43" s="1058"/>
      <c r="M43" s="1099"/>
      <c r="N43" s="918">
        <f>N44</f>
        <v>3.0004901960784318</v>
      </c>
      <c r="O43" s="919">
        <f>O44</f>
        <v>3.5714800000000002</v>
      </c>
      <c r="P43" s="920">
        <f>O43/3.571428</f>
        <v>1.0000145600023296</v>
      </c>
      <c r="Q43" s="1294"/>
      <c r="R43" s="324"/>
      <c r="S43" s="324"/>
    </row>
    <row r="44" spans="1:19" ht="37.799999999999997" customHeight="1" thickBot="1" x14ac:dyDescent="0.5">
      <c r="A44" s="811">
        <v>12</v>
      </c>
      <c r="B44" s="850" t="s">
        <v>33</v>
      </c>
      <c r="C44" s="827">
        <f>M5</f>
        <v>3.5714285714285716</v>
      </c>
      <c r="D44" s="513" t="s">
        <v>123</v>
      </c>
      <c r="E44" s="552">
        <f>C44/2</f>
        <v>1.7857142857142858</v>
      </c>
      <c r="F44" s="513" t="s">
        <v>34</v>
      </c>
      <c r="G44" s="503">
        <f>$E$44/1</f>
        <v>1.7857142857142858</v>
      </c>
      <c r="H44" s="1426">
        <v>100</v>
      </c>
      <c r="I44" s="1427">
        <v>100</v>
      </c>
      <c r="J44" s="1062">
        <f>IF(I44=H44,(H44-30),H44-I44)</f>
        <v>70</v>
      </c>
      <c r="K44" s="956">
        <f>IF(I44&gt;=30,0,((30-I44)*(6/10)))</f>
        <v>0</v>
      </c>
      <c r="L44" s="1063">
        <f>I44+K44</f>
        <v>100</v>
      </c>
      <c r="M44" s="930">
        <f>IF(I44&gt;=30,(1+(H44-30)/30),(J44/K44))</f>
        <v>3.3333333333333335</v>
      </c>
      <c r="N44" s="957">
        <f>(((G44/C44)*M44)+((G45/C44)*M45))</f>
        <v>3.0004901960784318</v>
      </c>
      <c r="O44" s="932">
        <f>IF((((G44/C44)*M44)+((G45/C44)*M45))&gt;=1,3.57148,IF((((G44/C44)*M44)+((G45/C44)*M45))&lt;=0,0, (((G44/C44)*M44)+((G45/C44)*M45))*3.571428))</f>
        <v>3.5714800000000002</v>
      </c>
      <c r="P44" s="933">
        <f>O44/3.571428</f>
        <v>1.0000145600023296</v>
      </c>
      <c r="Q44" s="1231" t="s">
        <v>178</v>
      </c>
      <c r="R44" s="396" t="s">
        <v>459</v>
      </c>
      <c r="S44" s="394" t="s">
        <v>486</v>
      </c>
    </row>
    <row r="45" spans="1:19" ht="35.25" thickBot="1" x14ac:dyDescent="0.5">
      <c r="A45" s="811"/>
      <c r="B45" s="851"/>
      <c r="C45" s="852"/>
      <c r="D45" s="526" t="s">
        <v>124</v>
      </c>
      <c r="E45" s="553">
        <f>(C44/2)</f>
        <v>1.7857142857142858</v>
      </c>
      <c r="F45" s="526" t="s">
        <v>35</v>
      </c>
      <c r="G45" s="509">
        <f>$E$45/1</f>
        <v>1.7857142857142858</v>
      </c>
      <c r="H45" s="1428">
        <v>45.35</v>
      </c>
      <c r="I45" s="1429">
        <v>37</v>
      </c>
      <c r="J45" s="1066">
        <f>IF(I45=H45,(H45-17),H45-I45)</f>
        <v>8.3500000000000014</v>
      </c>
      <c r="K45" s="1067">
        <f>IF(I45&gt;=17,0,((17-I45)*(6/10)))</f>
        <v>0</v>
      </c>
      <c r="L45" s="1068">
        <f>I45+K45</f>
        <v>37</v>
      </c>
      <c r="M45" s="972">
        <f>IF(I45&gt;=17,(1+(H45-17)/17),(H45/17))</f>
        <v>2.6676470588235297</v>
      </c>
      <c r="N45" s="973"/>
      <c r="O45" s="941"/>
      <c r="P45" s="942"/>
      <c r="Q45" s="1239" t="s">
        <v>179</v>
      </c>
      <c r="R45" s="397"/>
      <c r="S45" s="394" t="s">
        <v>487</v>
      </c>
    </row>
    <row r="46" spans="1:19" ht="30.6" customHeight="1" thickBot="1" x14ac:dyDescent="0.5">
      <c r="B46" s="862" t="s">
        <v>36</v>
      </c>
      <c r="C46" s="863"/>
      <c r="D46" s="863"/>
      <c r="E46" s="863"/>
      <c r="F46" s="864"/>
      <c r="G46" s="554"/>
      <c r="H46" s="1301"/>
      <c r="I46" s="1302"/>
      <c r="J46" s="1072"/>
      <c r="K46" s="1073"/>
      <c r="L46" s="1073"/>
      <c r="M46" s="1074"/>
      <c r="N46" s="918">
        <f>(N47+N50+N52)/3</f>
        <v>0.56221218978564613</v>
      </c>
      <c r="O46" s="919">
        <f>(O47+O50+O52)</f>
        <v>6.0237010696253126</v>
      </c>
      <c r="P46" s="920">
        <f>O46/10.714284</f>
        <v>0.56221218978564624</v>
      </c>
      <c r="Q46" s="1303"/>
      <c r="R46" s="326"/>
      <c r="S46" s="326"/>
    </row>
    <row r="47" spans="1:19" ht="20.45" customHeight="1" thickBot="1" x14ac:dyDescent="0.5">
      <c r="B47" s="820" t="s">
        <v>37</v>
      </c>
      <c r="C47" s="821"/>
      <c r="D47" s="821"/>
      <c r="E47" s="821"/>
      <c r="F47" s="822"/>
      <c r="G47" s="556"/>
      <c r="H47" s="1292"/>
      <c r="I47" s="1293"/>
      <c r="J47" s="1077"/>
      <c r="K47" s="1078"/>
      <c r="L47" s="1078"/>
      <c r="M47" s="1059"/>
      <c r="N47" s="918">
        <f>N48</f>
        <v>9.3954248366013113E-2</v>
      </c>
      <c r="O47" s="919">
        <f>O48</f>
        <v>0.33555083333333346</v>
      </c>
      <c r="P47" s="920">
        <f>O47/3.571428</f>
        <v>9.3954248366013113E-2</v>
      </c>
      <c r="Q47" s="1294"/>
      <c r="R47" s="324"/>
      <c r="S47" s="324"/>
    </row>
    <row r="48" spans="1:19" ht="37.799999999999997" customHeight="1" thickBot="1" x14ac:dyDescent="0.5">
      <c r="A48" s="811">
        <v>13</v>
      </c>
      <c r="B48" s="850" t="s">
        <v>38</v>
      </c>
      <c r="C48" s="827">
        <f>M5</f>
        <v>3.5714285714285716</v>
      </c>
      <c r="D48" s="513" t="s">
        <v>125</v>
      </c>
      <c r="E48" s="475">
        <f>$C$48/2</f>
        <v>1.7857142857142858</v>
      </c>
      <c r="F48" s="557" t="s">
        <v>289</v>
      </c>
      <c r="G48" s="475">
        <f>E48/1</f>
        <v>1.7857142857142858</v>
      </c>
      <c r="H48" s="1430"/>
      <c r="I48" s="1431"/>
      <c r="J48" s="1080">
        <f>H48-I48</f>
        <v>0</v>
      </c>
      <c r="K48" s="1081">
        <f>(0.5*I48)* (6/10)</f>
        <v>0</v>
      </c>
      <c r="L48" s="1082">
        <f>I48-K48</f>
        <v>0</v>
      </c>
      <c r="M48" s="1083" t="str">
        <f>IF(K48&lt;&gt;0,J48/K48,"0%")</f>
        <v>0%</v>
      </c>
      <c r="N48" s="1084">
        <f>(((G48/C48)*M48)+((G49/C48)*M49))</f>
        <v>9.3954248366013113E-2</v>
      </c>
      <c r="O48" s="932">
        <f>IF((((G48/C48)*M48)+((G49/C48)*M49))&gt;=1,3.57148,IF((((G48/C48)*M48)+((G49/C48)*M49))&lt;=0,0, (((G48/C48)*M48)+((G49/C48)*M49))*3.571428))</f>
        <v>0.33555083333333346</v>
      </c>
      <c r="P48" s="933">
        <f>O48/3.571428</f>
        <v>9.3954248366013113E-2</v>
      </c>
      <c r="Q48" s="1253" t="s">
        <v>95</v>
      </c>
      <c r="R48" s="60"/>
      <c r="S48" s="394" t="s">
        <v>458</v>
      </c>
    </row>
    <row r="49" spans="1:19" ht="30.6" customHeight="1" thickBot="1" x14ac:dyDescent="0.5">
      <c r="A49" s="811"/>
      <c r="B49" s="851"/>
      <c r="C49" s="852"/>
      <c r="D49" s="526" t="s">
        <v>126</v>
      </c>
      <c r="E49" s="484">
        <f>$C$48/2</f>
        <v>1.7857142857142858</v>
      </c>
      <c r="F49" s="526" t="s">
        <v>290</v>
      </c>
      <c r="G49" s="484">
        <f>E49/1</f>
        <v>1.7857142857142858</v>
      </c>
      <c r="H49" s="1432">
        <v>6.25</v>
      </c>
      <c r="I49" s="1433">
        <v>5.0999999999999996</v>
      </c>
      <c r="J49" s="1003">
        <f>H49-I49</f>
        <v>1.1500000000000004</v>
      </c>
      <c r="K49" s="1087">
        <f>(2*I49)*(6/10)</f>
        <v>6.1199999999999992</v>
      </c>
      <c r="L49" s="1088">
        <f>I49+K49</f>
        <v>11.219999999999999</v>
      </c>
      <c r="M49" s="972">
        <f>IF(K49&lt;&gt;0,J49/K49,"0%")</f>
        <v>0.18790849673202623</v>
      </c>
      <c r="N49" s="1089"/>
      <c r="O49" s="941"/>
      <c r="P49" s="942"/>
      <c r="Q49" s="1261" t="s">
        <v>95</v>
      </c>
      <c r="R49" s="395" t="s">
        <v>460</v>
      </c>
      <c r="S49" s="87" t="s">
        <v>461</v>
      </c>
    </row>
    <row r="50" spans="1:19" ht="15" customHeight="1" thickBot="1" x14ac:dyDescent="0.5">
      <c r="B50" s="831" t="s">
        <v>39</v>
      </c>
      <c r="C50" s="832"/>
      <c r="D50" s="832"/>
      <c r="E50" s="832"/>
      <c r="F50" s="833"/>
      <c r="G50" s="558"/>
      <c r="H50" s="1308"/>
      <c r="I50" s="1309"/>
      <c r="J50" s="1092"/>
      <c r="K50" s="1092"/>
      <c r="L50" s="1092"/>
      <c r="M50" s="1093"/>
      <c r="N50" s="918">
        <f>N51</f>
        <v>0.83333333333333337</v>
      </c>
      <c r="O50" s="919">
        <f>O51</f>
        <v>2.9761900000000003</v>
      </c>
      <c r="P50" s="920">
        <f>O50/3.571428</f>
        <v>0.83333333333333337</v>
      </c>
      <c r="Q50" s="1310"/>
      <c r="R50" s="330"/>
      <c r="S50" s="330"/>
    </row>
    <row r="51" spans="1:19" ht="30.6" customHeight="1" thickBot="1" x14ac:dyDescent="0.5">
      <c r="A51" s="15">
        <v>14</v>
      </c>
      <c r="B51" s="560" t="s">
        <v>226</v>
      </c>
      <c r="C51" s="561">
        <f>M5</f>
        <v>3.5714285714285716</v>
      </c>
      <c r="D51" s="562" t="s">
        <v>272</v>
      </c>
      <c r="E51" s="563">
        <f>C51</f>
        <v>3.5714285714285716</v>
      </c>
      <c r="F51" s="564" t="s">
        <v>266</v>
      </c>
      <c r="G51" s="565">
        <f>E51/1</f>
        <v>3.5714285714285716</v>
      </c>
      <c r="H51" s="1270">
        <v>50</v>
      </c>
      <c r="I51" s="1311">
        <v>0</v>
      </c>
      <c r="J51" s="1096">
        <f>H51-I51</f>
        <v>50</v>
      </c>
      <c r="K51" s="1097">
        <f>(100-I51)*(6/10)</f>
        <v>60</v>
      </c>
      <c r="L51" s="1098">
        <f>I51+K51</f>
        <v>60</v>
      </c>
      <c r="M51" s="939">
        <f>IF(K51&lt;&gt;0,J51/K51,"100%")</f>
        <v>0.83333333333333337</v>
      </c>
      <c r="N51" s="1017">
        <f>((G51/C51)*M51)</f>
        <v>0.83333333333333337</v>
      </c>
      <c r="O51" s="1018">
        <f>IF(((G51/C51)*M51)&gt;=1,3.571428,IF(((G51/C51)*M51)&lt;=0,0,((G51/C51)*M51)*3.571428))</f>
        <v>2.9761900000000003</v>
      </c>
      <c r="P51" s="920">
        <f>O51/3.571428</f>
        <v>0.83333333333333337</v>
      </c>
      <c r="Q51" s="1312" t="s">
        <v>95</v>
      </c>
      <c r="R51" s="247"/>
      <c r="S51" s="652" t="s">
        <v>462</v>
      </c>
    </row>
    <row r="52" spans="1:19" ht="20.45" customHeight="1" thickBot="1" x14ac:dyDescent="0.5">
      <c r="B52" s="831" t="s">
        <v>40</v>
      </c>
      <c r="C52" s="832"/>
      <c r="D52" s="832"/>
      <c r="E52" s="832"/>
      <c r="F52" s="833"/>
      <c r="G52" s="556"/>
      <c r="H52" s="1313"/>
      <c r="I52" s="1314"/>
      <c r="J52" s="1077"/>
      <c r="K52" s="1078"/>
      <c r="L52" s="1078"/>
      <c r="M52" s="1099"/>
      <c r="N52" s="918">
        <f>N53</f>
        <v>0.75934898765759196</v>
      </c>
      <c r="O52" s="919">
        <f>O53</f>
        <v>2.7119602362919784</v>
      </c>
      <c r="P52" s="920">
        <f>O52/3.571428</f>
        <v>0.75934898765759196</v>
      </c>
      <c r="Q52" s="1315"/>
      <c r="R52" s="324"/>
      <c r="S52" s="324"/>
    </row>
    <row r="53" spans="1:19" ht="43.8" customHeight="1" x14ac:dyDescent="0.45">
      <c r="A53" s="811">
        <v>15</v>
      </c>
      <c r="B53" s="823" t="s">
        <v>108</v>
      </c>
      <c r="C53" s="827">
        <f>M5</f>
        <v>3.5714285714285716</v>
      </c>
      <c r="D53" s="569" t="s">
        <v>127</v>
      </c>
      <c r="E53" s="570">
        <f>$C$53/5</f>
        <v>0.7142857142857143</v>
      </c>
      <c r="F53" s="571" t="s">
        <v>41</v>
      </c>
      <c r="G53" s="503">
        <f>E53/1</f>
        <v>0.7142857142857143</v>
      </c>
      <c r="H53" s="1434">
        <v>95</v>
      </c>
      <c r="I53" s="1435">
        <v>88</v>
      </c>
      <c r="J53" s="980">
        <f>H53-I53</f>
        <v>7</v>
      </c>
      <c r="K53" s="1081">
        <f>(100-I53)*(6/10)</f>
        <v>7.1999999999999993</v>
      </c>
      <c r="L53" s="1038">
        <f t="shared" ref="L53:L58" si="15">I53+K53</f>
        <v>95.2</v>
      </c>
      <c r="M53" s="930" t="str">
        <f>IF(K53&lt;&gt;100,"100%",J53/K53)</f>
        <v>100%</v>
      </c>
      <c r="N53" s="1102">
        <f>(((G53/C53)*M53)+((G54/C53)*M54)+((G55/C53)*M55)+((G56/C53)*M56)+((G57/C53)*M57)+((G58/C53)*M58))</f>
        <v>0.75934898765759196</v>
      </c>
      <c r="O53" s="1103">
        <f>IF((((G53/C53)*M53)+((G54/C53)*M54)+((G55/C53)*M55)+((G56/C53)*M56)+((G57/C53)*M57)+((G58/C53)*M58))&gt;=1,3.571428,IF((((G53/C53)*M53)+((G54/C53)*M54)+((G55/C53)*M55)+((G56/C53)*M56)+((G57/C53)*M57)+((G58/C53)*M58))&lt;=0,0,((((G53/C53)*M53)+((G54/C53)*M54)+((G55/C53)*M55)+((G56/C53)*M56)+((G57/C53)*M57)+((G58/C53)*M58))*3.571428)))</f>
        <v>2.7119602362919784</v>
      </c>
      <c r="P53" s="933">
        <f>O53/3.571428</f>
        <v>0.75934898765759196</v>
      </c>
      <c r="Q53" s="1318" t="s">
        <v>95</v>
      </c>
      <c r="R53" s="398"/>
      <c r="S53" s="399"/>
    </row>
    <row r="54" spans="1:19" ht="35.450000000000003" customHeight="1" x14ac:dyDescent="0.45">
      <c r="A54" s="811"/>
      <c r="B54" s="824"/>
      <c r="C54" s="828"/>
      <c r="D54" s="573" t="s">
        <v>128</v>
      </c>
      <c r="E54" s="574">
        <f t="shared" ref="E54:E57" si="16">$C$53/5</f>
        <v>0.7142857142857143</v>
      </c>
      <c r="F54" s="575" t="s">
        <v>42</v>
      </c>
      <c r="G54" s="506">
        <f>E54/1</f>
        <v>0.7142857142857143</v>
      </c>
      <c r="H54" s="1436"/>
      <c r="I54" s="1437"/>
      <c r="J54" s="986">
        <f>H54-I54</f>
        <v>0</v>
      </c>
      <c r="K54" s="1040">
        <f>(100-I54)*(6/6)</f>
        <v>100</v>
      </c>
      <c r="L54" s="1041">
        <f>I54+K54</f>
        <v>100</v>
      </c>
      <c r="M54" s="964">
        <f t="shared" ref="M54:M55" si="17">IF(K54&lt;&gt;0,J54/K54,"0%")</f>
        <v>0</v>
      </c>
      <c r="N54" s="1106"/>
      <c r="O54" s="966"/>
      <c r="P54" s="967"/>
      <c r="Q54" s="1320" t="s">
        <v>95</v>
      </c>
      <c r="R54" s="95"/>
      <c r="S54" s="400" t="s">
        <v>458</v>
      </c>
    </row>
    <row r="55" spans="1:19" ht="52.15" customHeight="1" x14ac:dyDescent="0.45">
      <c r="A55" s="811"/>
      <c r="B55" s="824"/>
      <c r="C55" s="828"/>
      <c r="D55" s="573" t="s">
        <v>129</v>
      </c>
      <c r="E55" s="574">
        <f t="shared" si="16"/>
        <v>0.7142857142857143</v>
      </c>
      <c r="F55" s="575" t="s">
        <v>43</v>
      </c>
      <c r="G55" s="506">
        <f>E55/1</f>
        <v>0.7142857142857143</v>
      </c>
      <c r="H55" s="1321">
        <v>1</v>
      </c>
      <c r="I55" s="1322">
        <v>0</v>
      </c>
      <c r="J55" s="986">
        <f>H55-I55</f>
        <v>1</v>
      </c>
      <c r="K55" s="1040">
        <f>(1-I55)*(6/10)</f>
        <v>0.6</v>
      </c>
      <c r="L55" s="1041">
        <f t="shared" si="15"/>
        <v>0.6</v>
      </c>
      <c r="M55" s="964">
        <f t="shared" si="17"/>
        <v>1.6666666666666667</v>
      </c>
      <c r="N55" s="1106"/>
      <c r="O55" s="966"/>
      <c r="P55" s="967"/>
      <c r="Q55" s="1320" t="s">
        <v>95</v>
      </c>
      <c r="R55" s="95"/>
      <c r="S55" s="660" t="s">
        <v>463</v>
      </c>
    </row>
    <row r="56" spans="1:19" ht="73.900000000000006" customHeight="1" x14ac:dyDescent="0.45">
      <c r="A56" s="811"/>
      <c r="B56" s="824"/>
      <c r="C56" s="828"/>
      <c r="D56" s="573" t="s">
        <v>130</v>
      </c>
      <c r="E56" s="574">
        <f t="shared" si="16"/>
        <v>0.7142857142857143</v>
      </c>
      <c r="F56" s="575" t="s">
        <v>44</v>
      </c>
      <c r="G56" s="506">
        <f>E56/1</f>
        <v>0.7142857142857143</v>
      </c>
      <c r="H56" s="1321">
        <v>21600</v>
      </c>
      <c r="I56" s="1322">
        <v>15097</v>
      </c>
      <c r="J56" s="986">
        <f>H56-I56</f>
        <v>6503</v>
      </c>
      <c r="K56" s="1109">
        <f>(0.5*I56)*(6/7)</f>
        <v>6470.1428571428569</v>
      </c>
      <c r="L56" s="1041">
        <f t="shared" si="15"/>
        <v>21567.142857142855</v>
      </c>
      <c r="M56" s="964">
        <f>IF(K56&lt;&gt;0,J56/K56,"0%")</f>
        <v>1.0050782716212934</v>
      </c>
      <c r="N56" s="1106"/>
      <c r="O56" s="966"/>
      <c r="P56" s="967"/>
      <c r="Q56" s="1320" t="s">
        <v>101</v>
      </c>
      <c r="R56" s="401" t="s">
        <v>464</v>
      </c>
      <c r="S56" s="402" t="s">
        <v>465</v>
      </c>
    </row>
    <row r="57" spans="1:19" ht="22.8" customHeight="1" x14ac:dyDescent="0.45">
      <c r="A57" s="811"/>
      <c r="B57" s="824"/>
      <c r="C57" s="828"/>
      <c r="D57" s="866" t="s">
        <v>131</v>
      </c>
      <c r="E57" s="868">
        <f t="shared" si="16"/>
        <v>0.7142857142857143</v>
      </c>
      <c r="F57" s="575" t="s">
        <v>45</v>
      </c>
      <c r="G57" s="506">
        <f>$E$57/2</f>
        <v>0.35714285714285715</v>
      </c>
      <c r="H57" s="1438">
        <v>92</v>
      </c>
      <c r="I57" s="1322">
        <v>80</v>
      </c>
      <c r="J57" s="986">
        <f t="shared" ref="J57:J58" si="18">H57-I57</f>
        <v>12</v>
      </c>
      <c r="K57" s="1112">
        <f>(1*I57)*(6/10)</f>
        <v>48</v>
      </c>
      <c r="L57" s="1041">
        <f t="shared" si="15"/>
        <v>128</v>
      </c>
      <c r="M57" s="964">
        <f>IF(K57&lt;&gt;0,J57/K57,"0%")</f>
        <v>0.25</v>
      </c>
      <c r="N57" s="1106"/>
      <c r="O57" s="966"/>
      <c r="P57" s="967"/>
      <c r="Q57" s="1320" t="s">
        <v>180</v>
      </c>
      <c r="R57" s="401" t="s">
        <v>466</v>
      </c>
      <c r="S57" s="403"/>
    </row>
    <row r="58" spans="1:19" ht="26.25" customHeight="1" thickBot="1" x14ac:dyDescent="0.5">
      <c r="A58" s="811"/>
      <c r="B58" s="861"/>
      <c r="C58" s="852"/>
      <c r="D58" s="867"/>
      <c r="E58" s="869"/>
      <c r="F58" s="483" t="s">
        <v>46</v>
      </c>
      <c r="G58" s="509">
        <f>$E$57/2</f>
        <v>0.35714285714285715</v>
      </c>
      <c r="H58" s="1439"/>
      <c r="I58" s="1396"/>
      <c r="J58" s="993">
        <f t="shared" si="18"/>
        <v>0</v>
      </c>
      <c r="K58" s="1087">
        <f>(1*I58)*(6/10)</f>
        <v>0</v>
      </c>
      <c r="L58" s="1113">
        <f t="shared" si="15"/>
        <v>0</v>
      </c>
      <c r="M58" s="972" t="str">
        <f>IF(K58&lt;&gt;0,J58/K58,"0%")</f>
        <v>0%</v>
      </c>
      <c r="N58" s="1114"/>
      <c r="O58" s="974"/>
      <c r="P58" s="942"/>
      <c r="Q58" s="1324" t="s">
        <v>95</v>
      </c>
      <c r="R58" s="94"/>
      <c r="S58" s="400" t="s">
        <v>458</v>
      </c>
    </row>
    <row r="59" spans="1:19" ht="23.45" customHeight="1" thickBot="1" x14ac:dyDescent="0.5">
      <c r="B59" s="862" t="s">
        <v>47</v>
      </c>
      <c r="C59" s="863"/>
      <c r="D59" s="863"/>
      <c r="E59" s="863"/>
      <c r="F59" s="864"/>
      <c r="G59" s="578"/>
      <c r="H59" s="1301"/>
      <c r="I59" s="1302"/>
      <c r="J59" s="1117"/>
      <c r="K59" s="1117"/>
      <c r="L59" s="1117"/>
      <c r="M59" s="1074"/>
      <c r="N59" s="918">
        <f>(N60+N67)/2</f>
        <v>0.20833333333333334</v>
      </c>
      <c r="O59" s="919">
        <f>(O60+O67)</f>
        <v>1.4880950000000002</v>
      </c>
      <c r="P59" s="920">
        <f>O59/7.142856</f>
        <v>0.20833333333333334</v>
      </c>
      <c r="Q59" s="1325"/>
      <c r="R59" s="332"/>
      <c r="S59" s="333"/>
    </row>
    <row r="60" spans="1:19" ht="22.25" customHeight="1" thickBot="1" x14ac:dyDescent="0.5">
      <c r="B60" s="831" t="s">
        <v>48</v>
      </c>
      <c r="C60" s="832"/>
      <c r="D60" s="832"/>
      <c r="E60" s="832"/>
      <c r="F60" s="833"/>
      <c r="G60" s="511"/>
      <c r="H60" s="1313"/>
      <c r="I60" s="1314"/>
      <c r="J60" s="996"/>
      <c r="K60" s="997"/>
      <c r="L60" s="997"/>
      <c r="M60" s="1099"/>
      <c r="N60" s="918">
        <f>N61</f>
        <v>0.41666666666666669</v>
      </c>
      <c r="O60" s="919">
        <f>O61</f>
        <v>1.4880950000000002</v>
      </c>
      <c r="P60" s="920">
        <f>O60/3.571428</f>
        <v>0.41666666666666669</v>
      </c>
      <c r="Q60" s="977"/>
      <c r="R60" s="324"/>
      <c r="S60" s="324"/>
    </row>
    <row r="61" spans="1:19" ht="39" customHeight="1" thickBot="1" x14ac:dyDescent="0.5">
      <c r="A61" s="811">
        <v>16</v>
      </c>
      <c r="B61" s="823" t="s">
        <v>49</v>
      </c>
      <c r="C61" s="827">
        <f>M5</f>
        <v>3.5714285714285716</v>
      </c>
      <c r="D61" s="513" t="s">
        <v>133</v>
      </c>
      <c r="E61" s="475">
        <f>$C$61/4</f>
        <v>0.8928571428571429</v>
      </c>
      <c r="F61" s="513" t="s">
        <v>50</v>
      </c>
      <c r="G61" s="503">
        <f>E61/1</f>
        <v>0.8928571428571429</v>
      </c>
      <c r="H61" s="1034"/>
      <c r="I61" s="1035"/>
      <c r="J61" s="1062">
        <f>IF(I61=H61,(H61-70),H61-I61)</f>
        <v>-70</v>
      </c>
      <c r="K61" s="956">
        <f>IF(I61&gt;=70,0,((70-I61)*(6/10)))</f>
        <v>42</v>
      </c>
      <c r="L61" s="1118">
        <f t="shared" ref="L61:L66" si="19">I61+K61</f>
        <v>42</v>
      </c>
      <c r="M61" s="972">
        <f>IF(H61=0,0%,J61/K61)</f>
        <v>0</v>
      </c>
      <c r="N61" s="1119">
        <f>(((G61/C61)*M61)+((G62/C61)*M62)+((G63/C61)*M63)+((G64/C61)*M64)+((G65/C61)*M65)+((G66/C61)*M66))</f>
        <v>0.41666666666666669</v>
      </c>
      <c r="O61" s="1103">
        <f>IF((((G61/C61)*M61)+((G62/C61)*M62)+((G63/C61)*M63)+((G64/C61)*M64)+((G65/C61)*M65)+((G66/C61)*M66))&gt;=1,3.571428,IF((((G61/C61)*M61)+((G62/C61)*M62)+((G63/C61)*M63)+((G64/C61)*M64)+((G65/C61)*M65)+((G66/C61)*M66))&lt;=0,0,((((G61/C61)*M61)+((G62/C61)*M62)+((G63/C61)*M63)+((G64/C61)*M64)+((G65/C61)*M65)+((G66/C61)*M66))*3.571428)))</f>
        <v>1.4880950000000002</v>
      </c>
      <c r="P61" s="933">
        <f>O61/3.571428</f>
        <v>0.41666666666666669</v>
      </c>
      <c r="Q61" s="1440" t="s">
        <v>181</v>
      </c>
      <c r="R61" s="138"/>
      <c r="S61" s="133" t="s">
        <v>467</v>
      </c>
    </row>
    <row r="62" spans="1:19" ht="58.25" customHeight="1" x14ac:dyDescent="0.45">
      <c r="A62" s="811"/>
      <c r="B62" s="824"/>
      <c r="C62" s="828"/>
      <c r="D62" s="516" t="s">
        <v>134</v>
      </c>
      <c r="E62" s="517">
        <f t="shared" ref="E62:E63" si="20">$C$61/4</f>
        <v>0.8928571428571429</v>
      </c>
      <c r="F62" s="573" t="s">
        <v>276</v>
      </c>
      <c r="G62" s="506">
        <f>$E$62/1</f>
        <v>0.8928571428571429</v>
      </c>
      <c r="H62" s="1436"/>
      <c r="I62" s="1437"/>
      <c r="J62" s="1120">
        <f>IF(I62=H62,(H62-70),H62-I62)</f>
        <v>-70</v>
      </c>
      <c r="K62" s="962">
        <f t="shared" ref="K62:K63" si="21">IF(I62&gt;=70,0,((70-I62)*(6/10)))</f>
        <v>42</v>
      </c>
      <c r="L62" s="1121">
        <f t="shared" si="19"/>
        <v>42</v>
      </c>
      <c r="M62" s="964" t="str">
        <f>IF(H62=0,"0%",J62/K62)</f>
        <v>0%</v>
      </c>
      <c r="N62" s="1122"/>
      <c r="O62" s="966"/>
      <c r="P62" s="967"/>
      <c r="Q62" s="1441" t="s">
        <v>182</v>
      </c>
      <c r="R62" s="185"/>
      <c r="S62" s="404" t="s">
        <v>458</v>
      </c>
    </row>
    <row r="63" spans="1:19" ht="26.45" customHeight="1" x14ac:dyDescent="0.45">
      <c r="A63" s="811"/>
      <c r="B63" s="824"/>
      <c r="C63" s="828"/>
      <c r="D63" s="516" t="s">
        <v>135</v>
      </c>
      <c r="E63" s="517">
        <f t="shared" si="20"/>
        <v>0.8928571428571429</v>
      </c>
      <c r="F63" s="516" t="s">
        <v>51</v>
      </c>
      <c r="G63" s="506">
        <f>E63/1</f>
        <v>0.8928571428571429</v>
      </c>
      <c r="H63" s="1107"/>
      <c r="I63" s="1108"/>
      <c r="J63" s="1120">
        <f>IF(I63=H63,(H63-70),H63-I63)</f>
        <v>-70</v>
      </c>
      <c r="K63" s="962">
        <f t="shared" si="21"/>
        <v>42</v>
      </c>
      <c r="L63" s="1121">
        <f t="shared" si="19"/>
        <v>42</v>
      </c>
      <c r="M63" s="964" t="str">
        <f>IF(H63=0,"0%",J63/K63)</f>
        <v>0%</v>
      </c>
      <c r="N63" s="1122"/>
      <c r="O63" s="966"/>
      <c r="P63" s="967"/>
      <c r="Q63" s="1441" t="s">
        <v>95</v>
      </c>
      <c r="R63" s="185"/>
      <c r="S63" s="404" t="s">
        <v>458</v>
      </c>
    </row>
    <row r="64" spans="1:19" ht="15" customHeight="1" x14ac:dyDescent="0.45">
      <c r="A64" s="811"/>
      <c r="B64" s="824"/>
      <c r="C64" s="828"/>
      <c r="D64" s="844" t="s">
        <v>136</v>
      </c>
      <c r="E64" s="846">
        <f>$C$61/4</f>
        <v>0.8928571428571429</v>
      </c>
      <c r="F64" s="580" t="s">
        <v>52</v>
      </c>
      <c r="G64" s="581">
        <f>$E$64/3</f>
        <v>0.29761904761904762</v>
      </c>
      <c r="H64" s="1110">
        <v>100</v>
      </c>
      <c r="I64" s="1111">
        <v>0</v>
      </c>
      <c r="J64" s="1125">
        <f t="shared" ref="J64:J66" si="22">H64-I64</f>
        <v>100</v>
      </c>
      <c r="K64" s="1126">
        <f>(100-I64)*(6/10)</f>
        <v>60</v>
      </c>
      <c r="L64" s="1121">
        <f t="shared" si="19"/>
        <v>60</v>
      </c>
      <c r="M64" s="964">
        <f t="shared" ref="M64:M66" si="23">IF(K64&lt;&gt;0,J64/K64,"100%")</f>
        <v>1.6666666666666667</v>
      </c>
      <c r="N64" s="1122"/>
      <c r="O64" s="966"/>
      <c r="P64" s="967"/>
      <c r="Q64" s="1441" t="s">
        <v>95</v>
      </c>
      <c r="R64" s="405"/>
      <c r="S64" s="406"/>
    </row>
    <row r="65" spans="1:19" x14ac:dyDescent="0.45">
      <c r="A65" s="811"/>
      <c r="B65" s="824"/>
      <c r="C65" s="828"/>
      <c r="D65" s="844"/>
      <c r="E65" s="846"/>
      <c r="F65" s="580" t="s">
        <v>53</v>
      </c>
      <c r="G65" s="581">
        <f t="shared" ref="G65:G66" si="24">$E$64/3</f>
        <v>0.29761904761904762</v>
      </c>
      <c r="H65" s="1110">
        <v>100</v>
      </c>
      <c r="I65" s="1111">
        <v>0</v>
      </c>
      <c r="J65" s="1125">
        <f t="shared" si="22"/>
        <v>100</v>
      </c>
      <c r="K65" s="1126">
        <f>(100-I65)*(6/10)</f>
        <v>60</v>
      </c>
      <c r="L65" s="1121">
        <f t="shared" si="19"/>
        <v>60</v>
      </c>
      <c r="M65" s="964">
        <f t="shared" si="23"/>
        <v>1.6666666666666667</v>
      </c>
      <c r="N65" s="1122"/>
      <c r="O65" s="966"/>
      <c r="P65" s="967"/>
      <c r="Q65" s="1441" t="s">
        <v>95</v>
      </c>
      <c r="R65" s="185"/>
      <c r="S65" s="406"/>
    </row>
    <row r="66" spans="1:19" ht="27.6" customHeight="1" thickBot="1" x14ac:dyDescent="0.5">
      <c r="A66" s="811"/>
      <c r="B66" s="861"/>
      <c r="C66" s="852"/>
      <c r="D66" s="851"/>
      <c r="E66" s="865"/>
      <c r="F66" s="582" t="s">
        <v>54</v>
      </c>
      <c r="G66" s="583">
        <f t="shared" si="24"/>
        <v>0.29761904761904762</v>
      </c>
      <c r="H66" s="1442">
        <v>100</v>
      </c>
      <c r="I66" s="1443">
        <v>0</v>
      </c>
      <c r="J66" s="1127">
        <f t="shared" si="22"/>
        <v>100</v>
      </c>
      <c r="K66" s="1128">
        <f>(100-I66)*(6/10)</f>
        <v>60</v>
      </c>
      <c r="L66" s="1129">
        <f t="shared" si="19"/>
        <v>60</v>
      </c>
      <c r="M66" s="972">
        <f t="shared" si="23"/>
        <v>1.6666666666666667</v>
      </c>
      <c r="N66" s="1130"/>
      <c r="O66" s="974"/>
      <c r="P66" s="942"/>
      <c r="Q66" s="1444" t="s">
        <v>95</v>
      </c>
      <c r="R66" s="184"/>
      <c r="S66" s="404" t="s">
        <v>488</v>
      </c>
    </row>
    <row r="67" spans="1:19" ht="27" customHeight="1" thickBot="1" x14ac:dyDescent="0.5">
      <c r="B67" s="820" t="s">
        <v>55</v>
      </c>
      <c r="C67" s="821"/>
      <c r="D67" s="821"/>
      <c r="E67" s="821"/>
      <c r="F67" s="822"/>
      <c r="G67" s="549"/>
      <c r="H67" s="1284"/>
      <c r="I67" s="1285"/>
      <c r="J67" s="1057"/>
      <c r="K67" s="1058"/>
      <c r="L67" s="1058"/>
      <c r="M67" s="1141"/>
      <c r="N67" s="918">
        <f>N68</f>
        <v>0</v>
      </c>
      <c r="O67" s="919">
        <f>O68</f>
        <v>0</v>
      </c>
      <c r="P67" s="920">
        <f>O67/3.571428</f>
        <v>0</v>
      </c>
      <c r="Q67" s="1332"/>
      <c r="R67" s="649"/>
      <c r="S67" s="650"/>
    </row>
    <row r="68" spans="1:19" ht="58.5" thickBot="1" x14ac:dyDescent="0.5">
      <c r="A68" s="16">
        <v>17</v>
      </c>
      <c r="B68" s="586" t="s">
        <v>56</v>
      </c>
      <c r="C68" s="587">
        <f>M5</f>
        <v>3.5714285714285716</v>
      </c>
      <c r="D68" s="586" t="s">
        <v>137</v>
      </c>
      <c r="E68" s="587">
        <f>C68</f>
        <v>3.5714285714285716</v>
      </c>
      <c r="F68" s="586" t="s">
        <v>57</v>
      </c>
      <c r="G68" s="588">
        <f>E68/1</f>
        <v>3.5714285714285716</v>
      </c>
      <c r="H68" s="1388"/>
      <c r="I68" s="1389"/>
      <c r="J68" s="1133">
        <f>IF(I68=H68,(H68-70),I68-H68)</f>
        <v>-70</v>
      </c>
      <c r="K68" s="1027">
        <f t="shared" ref="K68" si="25">IF(I68&gt;=70,0,((70-I68)*(6/10)))</f>
        <v>42</v>
      </c>
      <c r="L68" s="1134">
        <f>I68-K68</f>
        <v>-42</v>
      </c>
      <c r="M68" s="964" t="str">
        <f>IF(H68=0,"0%",J68/K68)</f>
        <v>0%</v>
      </c>
      <c r="N68" s="1135">
        <f>((G68/C68)*M68)</f>
        <v>0</v>
      </c>
      <c r="O68" s="1018">
        <f>IF(((G68/C68)*M68)&gt;=1,3.571428,IF(((G68/C68)*M68)&lt;=0,0,((G68/C68)*M68)*3.571428))</f>
        <v>0</v>
      </c>
      <c r="P68" s="920">
        <f>O68/3.571428</f>
        <v>0</v>
      </c>
      <c r="Q68" s="1335" t="s">
        <v>132</v>
      </c>
      <c r="R68" s="86" t="s">
        <v>322</v>
      </c>
      <c r="S68" s="404" t="s">
        <v>458</v>
      </c>
    </row>
    <row r="69" spans="1:19" ht="22.25" customHeight="1" thickBot="1" x14ac:dyDescent="0.5">
      <c r="B69" s="724" t="s">
        <v>58</v>
      </c>
      <c r="C69" s="725"/>
      <c r="D69" s="725"/>
      <c r="E69" s="725"/>
      <c r="F69" s="726"/>
      <c r="G69" s="126"/>
      <c r="H69" s="1336"/>
      <c r="I69" s="1337"/>
      <c r="J69" s="1138"/>
      <c r="K69" s="1139"/>
      <c r="L69" s="1139"/>
      <c r="M69" s="1140"/>
      <c r="N69" s="918">
        <f>(N70+N72+N74)/3</f>
        <v>1</v>
      </c>
      <c r="O69" s="919">
        <f>(O70+O72+O74)</f>
        <v>10.714283999999999</v>
      </c>
      <c r="P69" s="920">
        <f>O69/10.714284</f>
        <v>1</v>
      </c>
      <c r="Q69" s="1338"/>
      <c r="R69" s="334"/>
      <c r="S69" s="335"/>
    </row>
    <row r="70" spans="1:19" ht="20.45" customHeight="1" thickBot="1" x14ac:dyDescent="0.5">
      <c r="B70" s="831" t="s">
        <v>59</v>
      </c>
      <c r="C70" s="832"/>
      <c r="D70" s="832"/>
      <c r="E70" s="832"/>
      <c r="F70" s="833"/>
      <c r="G70" s="511"/>
      <c r="H70" s="1292"/>
      <c r="I70" s="1293"/>
      <c r="J70" s="977"/>
      <c r="K70" s="977"/>
      <c r="L70" s="977"/>
      <c r="M70" s="1141"/>
      <c r="N70" s="918">
        <f>N71</f>
        <v>1</v>
      </c>
      <c r="O70" s="919">
        <f>O71</f>
        <v>3.571428</v>
      </c>
      <c r="P70" s="920">
        <f t="shared" ref="P70:P78" si="26">O70/3.571428</f>
        <v>1</v>
      </c>
      <c r="Q70" s="1315"/>
      <c r="R70" s="651"/>
      <c r="S70" s="651"/>
    </row>
    <row r="71" spans="1:19" ht="52.25" customHeight="1" thickBot="1" x14ac:dyDescent="0.5">
      <c r="A71" s="16">
        <v>18</v>
      </c>
      <c r="B71" s="591" t="s">
        <v>60</v>
      </c>
      <c r="C71" s="592">
        <f>M5</f>
        <v>3.5714285714285716</v>
      </c>
      <c r="D71" s="593" t="s">
        <v>138</v>
      </c>
      <c r="E71" s="594">
        <f>C71</f>
        <v>3.5714285714285716</v>
      </c>
      <c r="F71" s="595" t="s">
        <v>61</v>
      </c>
      <c r="G71" s="596">
        <f>E71/1</f>
        <v>3.5714285714285716</v>
      </c>
      <c r="H71" s="1339">
        <v>0</v>
      </c>
      <c r="I71" s="1340">
        <v>0</v>
      </c>
      <c r="J71" s="1142">
        <f>I71-H71</f>
        <v>0</v>
      </c>
      <c r="K71" s="1025">
        <f>(0.5*I71)*0.6</f>
        <v>0</v>
      </c>
      <c r="L71" s="1134">
        <f>I71-K71</f>
        <v>0</v>
      </c>
      <c r="M71" s="964" t="str">
        <f t="shared" ref="M71" si="27">IF(K71&lt;&gt;0,J71/K71,"100%")</f>
        <v>100%</v>
      </c>
      <c r="N71" s="1135">
        <f>((G71/C71)*M71)</f>
        <v>1</v>
      </c>
      <c r="O71" s="1018">
        <f>IF(((G71/C71)*M71)&gt;=1,3.571428,IF(((G71/C71)*M71)&lt;=0,0,((G71/C71)*M71)*3.571428))</f>
        <v>3.571428</v>
      </c>
      <c r="P71" s="920">
        <f t="shared" si="26"/>
        <v>1</v>
      </c>
      <c r="Q71" s="1341" t="s">
        <v>183</v>
      </c>
      <c r="R71" s="331"/>
      <c r="S71" s="86"/>
    </row>
    <row r="72" spans="1:19" ht="20.45" customHeight="1" thickBot="1" x14ac:dyDescent="0.5">
      <c r="B72" s="853" t="s">
        <v>277</v>
      </c>
      <c r="C72" s="854"/>
      <c r="D72" s="854"/>
      <c r="E72" s="854"/>
      <c r="F72" s="856"/>
      <c r="G72" s="536"/>
      <c r="H72" s="1292"/>
      <c r="I72" s="1293"/>
      <c r="J72" s="1031"/>
      <c r="K72" s="1032"/>
      <c r="L72" s="1032"/>
      <c r="M72" s="1033"/>
      <c r="N72" s="918">
        <f>N73</f>
        <v>1</v>
      </c>
      <c r="O72" s="919">
        <f>O73</f>
        <v>3.571428</v>
      </c>
      <c r="P72" s="920">
        <f t="shared" si="26"/>
        <v>1</v>
      </c>
      <c r="Q72" s="1342"/>
      <c r="R72" s="651"/>
      <c r="S72" s="651"/>
    </row>
    <row r="73" spans="1:19" ht="45" customHeight="1" thickBot="1" x14ac:dyDescent="0.5">
      <c r="A73" s="16">
        <v>19</v>
      </c>
      <c r="B73" s="599" t="s">
        <v>62</v>
      </c>
      <c r="C73" s="600">
        <f>M5</f>
        <v>3.5714285714285716</v>
      </c>
      <c r="D73" s="601" t="s">
        <v>139</v>
      </c>
      <c r="E73" s="600">
        <f>C73</f>
        <v>3.5714285714285716</v>
      </c>
      <c r="F73" s="602" t="s">
        <v>63</v>
      </c>
      <c r="G73" s="603">
        <f>E73/1</f>
        <v>3.5714285714285716</v>
      </c>
      <c r="H73" s="1270">
        <v>0</v>
      </c>
      <c r="I73" s="1311">
        <v>0</v>
      </c>
      <c r="J73" s="1143">
        <f>I73-H73</f>
        <v>0</v>
      </c>
      <c r="K73" s="1144">
        <f>IF(H73&gt;0,(H73),I73)</f>
        <v>0</v>
      </c>
      <c r="L73" s="1145">
        <f>I73-K73</f>
        <v>0</v>
      </c>
      <c r="M73" s="964" t="str">
        <f t="shared" ref="M73" si="28">IF(K73&lt;&gt;0,J73/K73,"100%")</f>
        <v>100%</v>
      </c>
      <c r="N73" s="1135">
        <f>((G73/C73)*M73)</f>
        <v>1</v>
      </c>
      <c r="O73" s="1018">
        <f>IF(((G73/C73)*M73)&gt;=1,3.571428,IF(((G73/C73)*M73)&lt;=0,0,((G73/C73)*M73)*3.571428))</f>
        <v>3.571428</v>
      </c>
      <c r="P73" s="920">
        <f t="shared" si="26"/>
        <v>1</v>
      </c>
      <c r="Q73" s="1343" t="s">
        <v>95</v>
      </c>
      <c r="R73" s="86"/>
      <c r="S73" s="272"/>
    </row>
    <row r="74" spans="1:19" ht="30.6" customHeight="1" thickBot="1" x14ac:dyDescent="0.5">
      <c r="B74" s="831" t="s">
        <v>64</v>
      </c>
      <c r="C74" s="832"/>
      <c r="D74" s="832"/>
      <c r="E74" s="832"/>
      <c r="F74" s="833"/>
      <c r="G74" s="512"/>
      <c r="H74" s="1292"/>
      <c r="I74" s="1293"/>
      <c r="J74" s="977"/>
      <c r="K74" s="977"/>
      <c r="L74" s="977"/>
      <c r="M74" s="1059"/>
      <c r="N74" s="918">
        <f>N75</f>
        <v>1</v>
      </c>
      <c r="O74" s="919">
        <f>O75</f>
        <v>3.571428</v>
      </c>
      <c r="P74" s="920">
        <f t="shared" si="26"/>
        <v>1</v>
      </c>
      <c r="Q74" s="1315"/>
      <c r="R74" s="330"/>
      <c r="S74" s="330"/>
    </row>
    <row r="75" spans="1:19" ht="29.45" customHeight="1" thickBot="1" x14ac:dyDescent="0.5">
      <c r="A75" s="16">
        <v>20</v>
      </c>
      <c r="B75" s="599" t="s">
        <v>65</v>
      </c>
      <c r="C75" s="532">
        <f>M5</f>
        <v>3.5714285714285716</v>
      </c>
      <c r="D75" s="593" t="s">
        <v>140</v>
      </c>
      <c r="E75" s="605">
        <f>C75</f>
        <v>3.5714285714285716</v>
      </c>
      <c r="F75" s="601" t="s">
        <v>66</v>
      </c>
      <c r="G75" s="596">
        <f>E75/1</f>
        <v>3.5714285714285716</v>
      </c>
      <c r="H75" s="1270">
        <v>1</v>
      </c>
      <c r="I75" s="1344">
        <v>0</v>
      </c>
      <c r="J75" s="1096">
        <f>H75-I75</f>
        <v>1</v>
      </c>
      <c r="K75" s="1097">
        <f>IF(AND(H75=0,I75=1)," 1",(H75-I75))</f>
        <v>1</v>
      </c>
      <c r="L75" s="1148">
        <f>I75+K75</f>
        <v>1</v>
      </c>
      <c r="M75" s="1149">
        <f>(IF(I75=1,1,(J75/K75)))</f>
        <v>1</v>
      </c>
      <c r="N75" s="1135">
        <f>((G75/C75)*M75)</f>
        <v>1</v>
      </c>
      <c r="O75" s="1018">
        <f>IF(((G75/C75)*M75)&gt;=1,3.571428,IF(((G75/C75)*M75)&lt;=0,0,((G75/C75)*M75)*3.571428))</f>
        <v>3.571428</v>
      </c>
      <c r="P75" s="920">
        <f t="shared" si="26"/>
        <v>1</v>
      </c>
      <c r="Q75" s="1345" t="s">
        <v>95</v>
      </c>
      <c r="R75" s="187"/>
      <c r="S75" s="86"/>
    </row>
    <row r="76" spans="1:19" ht="20.45" customHeight="1" thickBot="1" x14ac:dyDescent="0.5">
      <c r="B76" s="876" t="s">
        <v>67</v>
      </c>
      <c r="C76" s="877"/>
      <c r="D76" s="877"/>
      <c r="E76" s="877"/>
      <c r="F76" s="878"/>
      <c r="G76" s="607"/>
      <c r="H76" s="1346"/>
      <c r="I76" s="1347"/>
      <c r="J76" s="1152"/>
      <c r="K76" s="1153"/>
      <c r="L76" s="1153"/>
      <c r="M76" s="1154"/>
      <c r="N76" s="918">
        <f t="shared" ref="N76:O77" si="29">N77</f>
        <v>0</v>
      </c>
      <c r="O76" s="919">
        <f t="shared" si="29"/>
        <v>0</v>
      </c>
      <c r="P76" s="920">
        <f t="shared" si="26"/>
        <v>0</v>
      </c>
      <c r="Q76" s="1348"/>
      <c r="R76" s="322"/>
      <c r="S76" s="322"/>
    </row>
    <row r="77" spans="1:19" ht="20.45" customHeight="1" thickBot="1" x14ac:dyDescent="0.5">
      <c r="B77" s="831" t="s">
        <v>68</v>
      </c>
      <c r="C77" s="832"/>
      <c r="D77" s="832"/>
      <c r="E77" s="832"/>
      <c r="F77" s="833"/>
      <c r="G77" s="511"/>
      <c r="H77" s="1292"/>
      <c r="I77" s="1293"/>
      <c r="J77" s="996"/>
      <c r="K77" s="997"/>
      <c r="L77" s="997"/>
      <c r="M77" s="978"/>
      <c r="N77" s="918">
        <f t="shared" si="29"/>
        <v>0</v>
      </c>
      <c r="O77" s="919">
        <f t="shared" si="29"/>
        <v>0</v>
      </c>
      <c r="P77" s="920">
        <f t="shared" si="26"/>
        <v>0</v>
      </c>
      <c r="Q77" s="1315"/>
      <c r="R77" s="330"/>
      <c r="S77" s="330"/>
    </row>
    <row r="78" spans="1:19" ht="35.25" thickBot="1" x14ac:dyDescent="0.5">
      <c r="A78" s="16">
        <v>21</v>
      </c>
      <c r="B78" s="599" t="s">
        <v>69</v>
      </c>
      <c r="C78" s="605">
        <f>M5</f>
        <v>3.5714285714285716</v>
      </c>
      <c r="D78" s="609" t="s">
        <v>141</v>
      </c>
      <c r="E78" s="605">
        <f>C78</f>
        <v>3.5714285714285716</v>
      </c>
      <c r="F78" s="609" t="s">
        <v>70</v>
      </c>
      <c r="G78" s="587">
        <f>E78/1</f>
        <v>3.5714285714285716</v>
      </c>
      <c r="H78" s="1445"/>
      <c r="I78" s="1446"/>
      <c r="J78" s="1133">
        <f>IF(I78=H78,(H78-60),H78-I78)</f>
        <v>-60</v>
      </c>
      <c r="K78" s="1027">
        <f>IF(I78&gt;=60,0,((60-I78)*(6/10)))</f>
        <v>36</v>
      </c>
      <c r="L78" s="1134">
        <f t="shared" ref="L78" si="30">K78+I78</f>
        <v>36</v>
      </c>
      <c r="M78" s="1016">
        <f>IF(I78&gt;=60,(1+(H78-60)/60),(H78/L78))</f>
        <v>0</v>
      </c>
      <c r="N78" s="1135">
        <f>((G78/C78)*M78)</f>
        <v>0</v>
      </c>
      <c r="O78" s="1018">
        <f>IF(((G78/C78)*M78)&gt;=1,3.571428,IF(((G78/C78)*M78)&lt;=0,0,((G78/C78)*M78)*3.571428))</f>
        <v>0</v>
      </c>
      <c r="P78" s="920">
        <f t="shared" si="26"/>
        <v>0</v>
      </c>
      <c r="Q78" s="1351" t="s">
        <v>95</v>
      </c>
      <c r="R78" s="86"/>
      <c r="S78" s="404" t="s">
        <v>458</v>
      </c>
    </row>
    <row r="79" spans="1:19" ht="21.6" customHeight="1" thickBot="1" x14ac:dyDescent="0.5">
      <c r="B79" s="870" t="s">
        <v>71</v>
      </c>
      <c r="C79" s="871"/>
      <c r="D79" s="871"/>
      <c r="E79" s="871"/>
      <c r="F79" s="872"/>
      <c r="G79" s="607"/>
      <c r="H79" s="1346"/>
      <c r="I79" s="1347"/>
      <c r="J79" s="1155"/>
      <c r="K79" s="1156"/>
      <c r="L79" s="1156"/>
      <c r="M79" s="1154"/>
      <c r="N79" s="918">
        <f>(N80+N86)/2</f>
        <v>0.78367538932670178</v>
      </c>
      <c r="O79" s="919">
        <f>(O80+O86)</f>
        <v>8.0370015256630829</v>
      </c>
      <c r="P79" s="920">
        <f>O79/10.714284</f>
        <v>0.75012026241446306</v>
      </c>
      <c r="Q79" s="1348"/>
      <c r="R79" s="322"/>
      <c r="S79" s="322"/>
    </row>
    <row r="80" spans="1:19" ht="20.45" customHeight="1" thickBot="1" x14ac:dyDescent="0.5">
      <c r="B80" s="820" t="s">
        <v>72</v>
      </c>
      <c r="C80" s="821"/>
      <c r="D80" s="821"/>
      <c r="E80" s="821"/>
      <c r="F80" s="822"/>
      <c r="G80" s="567"/>
      <c r="H80" s="1292"/>
      <c r="I80" s="1293"/>
      <c r="J80" s="977"/>
      <c r="K80" s="977"/>
      <c r="L80" s="977"/>
      <c r="M80" s="1099"/>
      <c r="N80" s="918">
        <f>(N81+N83)/2</f>
        <v>0.80422652536785988</v>
      </c>
      <c r="O80" s="919">
        <f>(O81+O83)</f>
        <v>5.3115582000000003</v>
      </c>
      <c r="P80" s="920">
        <f>O80/7.142856</f>
        <v>0.74361826697892275</v>
      </c>
      <c r="Q80" s="1352"/>
      <c r="R80" s="324"/>
      <c r="S80" s="324"/>
    </row>
    <row r="81" spans="1:19" ht="46.5" x14ac:dyDescent="0.45">
      <c r="A81" s="16"/>
      <c r="B81" s="873" t="s">
        <v>73</v>
      </c>
      <c r="C81" s="827">
        <f>M5</f>
        <v>3.5714285714285716</v>
      </c>
      <c r="D81" s="513" t="s">
        <v>267</v>
      </c>
      <c r="E81" s="475">
        <f>$C$81/2</f>
        <v>1.7857142857142858</v>
      </c>
      <c r="F81" s="569" t="s">
        <v>278</v>
      </c>
      <c r="G81" s="503">
        <f>E81/1</f>
        <v>1.7857142857142858</v>
      </c>
      <c r="H81" s="1411">
        <v>7.5</v>
      </c>
      <c r="I81" s="1392">
        <v>7.3</v>
      </c>
      <c r="J81" s="1062">
        <f>IF(I81=H81,(H81-50),H81-I81)</f>
        <v>0.20000000000000018</v>
      </c>
      <c r="K81" s="956">
        <f>IF(I81&gt;=50,0,((50-I81)*(6/10)))</f>
        <v>25.62</v>
      </c>
      <c r="L81" s="1159">
        <f>I81+K81</f>
        <v>32.92</v>
      </c>
      <c r="M81" s="930">
        <f>IF(I81&gt;=50,(1+(H81-50)/50),(J81/K81))</f>
        <v>7.8064012490242068E-3</v>
      </c>
      <c r="N81" s="1119">
        <f>(((G81/C81)*M81)+((G82/C81)*M82))</f>
        <v>0.48723653395784544</v>
      </c>
      <c r="O81" s="932">
        <f>IF((((G81/C81)*M81)+((G82/C81)*M82))&gt;=1,3.57148,IF((((G81/C81)*M81)+((G82/C81)*M82))&lt;=0,0, (((G81/C81)*M81)+((G82/C81)*M82))*3.571428))</f>
        <v>1.7401302000000001</v>
      </c>
      <c r="P81" s="933">
        <f>O81/3.571428</f>
        <v>0.48723653395784544</v>
      </c>
      <c r="Q81" s="1447" t="s">
        <v>279</v>
      </c>
      <c r="R81" s="407" t="s">
        <v>468</v>
      </c>
      <c r="S81" s="408" t="s">
        <v>469</v>
      </c>
    </row>
    <row r="82" spans="1:19" ht="39.6" customHeight="1" thickBot="1" x14ac:dyDescent="0.5">
      <c r="A82" s="16"/>
      <c r="B82" s="874"/>
      <c r="C82" s="875"/>
      <c r="D82" s="526" t="s">
        <v>268</v>
      </c>
      <c r="E82" s="484">
        <f>$C$81/2</f>
        <v>1.7857142857142858</v>
      </c>
      <c r="F82" s="527" t="s">
        <v>74</v>
      </c>
      <c r="G82" s="509">
        <f>E82/1</f>
        <v>1.7857142857142858</v>
      </c>
      <c r="H82" s="1416">
        <v>29</v>
      </c>
      <c r="I82" s="1415">
        <v>31</v>
      </c>
      <c r="J82" s="1162">
        <f>IF(I82=H82,(H82-30),H82-I82)</f>
        <v>-2</v>
      </c>
      <c r="K82" s="971">
        <f>IF(I82&gt;=30,0,((30-I82)*(6/10)))</f>
        <v>0</v>
      </c>
      <c r="L82" s="1163">
        <f t="shared" ref="L82" si="31">K82+I82</f>
        <v>31</v>
      </c>
      <c r="M82" s="972">
        <f>IF(I82&gt;=30,(1+(H82-30)/30),(H82/L82))</f>
        <v>0.96666666666666667</v>
      </c>
      <c r="N82" s="1130"/>
      <c r="O82" s="941"/>
      <c r="P82" s="942"/>
      <c r="Q82" s="1448" t="s">
        <v>282</v>
      </c>
      <c r="R82" s="409"/>
      <c r="S82" s="410"/>
    </row>
    <row r="83" spans="1:19" ht="60" customHeight="1" x14ac:dyDescent="0.45">
      <c r="A83" s="16"/>
      <c r="B83" s="887" t="s">
        <v>142</v>
      </c>
      <c r="C83" s="889">
        <f>M5</f>
        <v>3.5714285714285716</v>
      </c>
      <c r="D83" s="614" t="s">
        <v>145</v>
      </c>
      <c r="E83" s="475">
        <f>$C$81/3</f>
        <v>1.1904761904761905</v>
      </c>
      <c r="F83" s="513" t="s">
        <v>143</v>
      </c>
      <c r="G83" s="475">
        <f>E83/1</f>
        <v>1.1904761904761905</v>
      </c>
      <c r="H83" s="1449">
        <v>1876</v>
      </c>
      <c r="I83" s="1450">
        <v>2298</v>
      </c>
      <c r="J83" s="1164">
        <f>I83-H83</f>
        <v>422</v>
      </c>
      <c r="K83" s="1050">
        <f>(0.2*I83)*(6/10)</f>
        <v>275.76</v>
      </c>
      <c r="L83" s="1165">
        <f>I83-K83</f>
        <v>2022.24</v>
      </c>
      <c r="M83" s="930">
        <f>IF(K83&lt;&gt;0,J83/K83,"0%")</f>
        <v>1.5303162170002902</v>
      </c>
      <c r="N83" s="1166">
        <f>(((G83/C83)*M83)+((G84/C83)*M84)+((G85/C83)*M85))</f>
        <v>1.1212165167778743</v>
      </c>
      <c r="O83" s="958">
        <f>IF((((G83/C83)*M83)+((G84/C83)*M84)+((G85/C83)*M85))&gt;=1,3.571428,IF((((G83/C83)*M83)+((G84/C83)*M84)+((G85/C83)*M85))&lt;=0,0,(((G83/C83)*M83)+((G84/C83)*M84)+((G85/C83)*M85))*3.571428))</f>
        <v>3.571428</v>
      </c>
      <c r="P83" s="933">
        <f>O83/3.571428</f>
        <v>1</v>
      </c>
      <c r="Q83" s="1359" t="s">
        <v>184</v>
      </c>
      <c r="R83" s="411"/>
      <c r="S83" s="404" t="s">
        <v>489</v>
      </c>
    </row>
    <row r="84" spans="1:19" ht="45" customHeight="1" x14ac:dyDescent="0.45">
      <c r="A84" s="16"/>
      <c r="B84" s="887"/>
      <c r="C84" s="890"/>
      <c r="D84" s="616" t="s">
        <v>146</v>
      </c>
      <c r="E84" s="517">
        <f t="shared" ref="E84:E85" si="32">$C$81/3</f>
        <v>1.1904761904761905</v>
      </c>
      <c r="F84" s="573" t="s">
        <v>283</v>
      </c>
      <c r="G84" s="517">
        <f>E84/1</f>
        <v>1.1904761904761905</v>
      </c>
      <c r="H84" s="1412">
        <v>0</v>
      </c>
      <c r="I84" s="1413">
        <v>0</v>
      </c>
      <c r="J84" s="1169">
        <f>I84-H84</f>
        <v>0</v>
      </c>
      <c r="K84" s="1050">
        <f>(0.5*I84)*(6/10)</f>
        <v>0</v>
      </c>
      <c r="L84" s="1170">
        <f>I84-K84</f>
        <v>0</v>
      </c>
      <c r="M84" s="964" t="str">
        <f>IF(H84=0,"100%",J84/K84)</f>
        <v>100%</v>
      </c>
      <c r="N84" s="1171"/>
      <c r="O84" s="966"/>
      <c r="P84" s="967"/>
      <c r="Q84" s="1362" t="s">
        <v>185</v>
      </c>
      <c r="R84" s="412"/>
      <c r="S84" s="404" t="s">
        <v>490</v>
      </c>
    </row>
    <row r="85" spans="1:19" ht="38.450000000000003" customHeight="1" thickBot="1" x14ac:dyDescent="0.5">
      <c r="A85" s="16"/>
      <c r="B85" s="888"/>
      <c r="C85" s="891"/>
      <c r="D85" s="618" t="s">
        <v>147</v>
      </c>
      <c r="E85" s="484">
        <f t="shared" si="32"/>
        <v>1.1904761904761905</v>
      </c>
      <c r="F85" s="527" t="s">
        <v>144</v>
      </c>
      <c r="G85" s="484">
        <f>E85/1</f>
        <v>1.1904761904761905</v>
      </c>
      <c r="H85" s="1428">
        <v>99.8</v>
      </c>
      <c r="I85" s="1429">
        <v>99.6</v>
      </c>
      <c r="J85" s="1172">
        <f>H85-I85</f>
        <v>0.20000000000000284</v>
      </c>
      <c r="K85" s="1173">
        <f>(100-I85)*(6/10)</f>
        <v>0.24000000000000341</v>
      </c>
      <c r="L85" s="1174">
        <f>I85+K85</f>
        <v>99.84</v>
      </c>
      <c r="M85" s="939">
        <f>IF(H85&gt;=100,167%, IF(K85&lt;&gt;0,J85/K85,"0%"))</f>
        <v>0.83333333333333337</v>
      </c>
      <c r="N85" s="1175"/>
      <c r="O85" s="974"/>
      <c r="P85" s="942"/>
      <c r="Q85" s="1364" t="s">
        <v>284</v>
      </c>
      <c r="R85" s="413"/>
      <c r="S85" s="404" t="s">
        <v>490</v>
      </c>
    </row>
    <row r="86" spans="1:19" ht="20.45" customHeight="1" thickBot="1" x14ac:dyDescent="0.5">
      <c r="B86" s="879" t="s">
        <v>75</v>
      </c>
      <c r="C86" s="880"/>
      <c r="D86" s="880"/>
      <c r="E86" s="880"/>
      <c r="F86" s="881"/>
      <c r="G86" s="590"/>
      <c r="H86" s="1284"/>
      <c r="I86" s="1285"/>
      <c r="J86" s="1178"/>
      <c r="K86" s="1179"/>
      <c r="L86" s="1179"/>
      <c r="M86" s="1099"/>
      <c r="N86" s="918">
        <f>N87</f>
        <v>0.76312425328554367</v>
      </c>
      <c r="O86" s="919">
        <f>O87</f>
        <v>2.7254433256630826</v>
      </c>
      <c r="P86" s="920">
        <f>O86/3.571428</f>
        <v>0.76312425328554367</v>
      </c>
      <c r="Q86" s="1058"/>
      <c r="R86" s="324"/>
      <c r="S86" s="324"/>
    </row>
    <row r="87" spans="1:19" ht="67.5" customHeight="1" x14ac:dyDescent="0.45">
      <c r="A87" s="836">
        <v>24</v>
      </c>
      <c r="B87" s="882" t="s">
        <v>76</v>
      </c>
      <c r="C87" s="884">
        <f>M5</f>
        <v>3.5714285714285716</v>
      </c>
      <c r="D87" s="543" t="s">
        <v>159</v>
      </c>
      <c r="E87" s="544">
        <f>($C$87/3)</f>
        <v>1.1904761904761905</v>
      </c>
      <c r="F87" s="620" t="s">
        <v>285</v>
      </c>
      <c r="G87" s="621">
        <f>E87/1</f>
        <v>1.1904761904761905</v>
      </c>
      <c r="H87" s="1047">
        <v>26.9</v>
      </c>
      <c r="I87" s="1048">
        <v>24.8</v>
      </c>
      <c r="J87" s="1182">
        <f>I87-H87</f>
        <v>-2.0999999999999979</v>
      </c>
      <c r="K87" s="1183">
        <f>(0.25*I87)*(6/10)</f>
        <v>3.7199999999999998</v>
      </c>
      <c r="L87" s="1184">
        <f>I87-K87</f>
        <v>21.080000000000002</v>
      </c>
      <c r="M87" s="930">
        <f>IF(K87&lt;&gt;0,J87/K87,"0%")</f>
        <v>-0.56451612903225756</v>
      </c>
      <c r="N87" s="965">
        <f>(((G87/C87)*M87)+((G88/C87)*M88)+((G89/C87)*M89)+((G90/C87)*M90)+((G91/C87)*M91))</f>
        <v>0.76312425328554367</v>
      </c>
      <c r="O87" s="958">
        <f>IF((((G87/C87)*M87)+((G88/C87)*M88)+((G89/C87)*M89)+((G90/C87)*M90)+((G91/C87)*M91))&gt;=1,3.571428,IF((((G87/C87)*M87)+((G88/C87)*M88)+((G89/C87)*M89)+((G90/C87)*M90)+((G91/C87)*M91))&lt;=0,0,((((G87/C87)*M87)+((G88/C87)*M88)+((G89/C87)*M89)+((G90/C87)*M90)+((G91/C87)*M91))*3.571428)))</f>
        <v>2.7254433256630826</v>
      </c>
      <c r="P87" s="933">
        <f>O87/3.571428</f>
        <v>0.76312425328554367</v>
      </c>
      <c r="Q87" s="1367" t="s">
        <v>186</v>
      </c>
      <c r="R87" s="353" t="s">
        <v>470</v>
      </c>
      <c r="S87" s="414" t="s">
        <v>471</v>
      </c>
    </row>
    <row r="88" spans="1:19" ht="36.75" customHeight="1" x14ac:dyDescent="0.45">
      <c r="A88" s="836"/>
      <c r="B88" s="882"/>
      <c r="C88" s="885"/>
      <c r="D88" s="892" t="s">
        <v>160</v>
      </c>
      <c r="E88" s="893">
        <f>C87/3</f>
        <v>1.1904761904761905</v>
      </c>
      <c r="F88" s="518" t="s">
        <v>77</v>
      </c>
      <c r="G88" s="623">
        <f>$E$88/3</f>
        <v>0.3968253968253968</v>
      </c>
      <c r="H88" s="1110">
        <v>3.0000000000000001E-3</v>
      </c>
      <c r="I88" s="1111">
        <v>1</v>
      </c>
      <c r="J88" s="1185">
        <f>I88-H88</f>
        <v>0.997</v>
      </c>
      <c r="K88" s="1186">
        <f>I88*(6/10)</f>
        <v>0.6</v>
      </c>
      <c r="L88" s="1187">
        <f>I88-K88</f>
        <v>0.4</v>
      </c>
      <c r="M88" s="964">
        <f>IF(K88&lt;&gt;0,J88/K88,"0%")</f>
        <v>1.6616666666666666</v>
      </c>
      <c r="N88" s="1002"/>
      <c r="O88" s="966"/>
      <c r="P88" s="967"/>
      <c r="Q88" s="1368" t="s">
        <v>187</v>
      </c>
      <c r="R88" s="415" t="s">
        <v>472</v>
      </c>
      <c r="S88" s="416" t="s">
        <v>473</v>
      </c>
    </row>
    <row r="89" spans="1:19" ht="59.65" customHeight="1" x14ac:dyDescent="0.45">
      <c r="A89" s="836"/>
      <c r="B89" s="882"/>
      <c r="C89" s="885"/>
      <c r="D89" s="892"/>
      <c r="E89" s="893"/>
      <c r="F89" s="518" t="s">
        <v>78</v>
      </c>
      <c r="G89" s="623">
        <f>$E$88/3</f>
        <v>0.3968253968253968</v>
      </c>
      <c r="H89" s="1110">
        <v>0</v>
      </c>
      <c r="I89" s="1111">
        <v>0</v>
      </c>
      <c r="J89" s="1185">
        <f>I89-H89</f>
        <v>0</v>
      </c>
      <c r="K89" s="1186">
        <f>I89*(6/10)</f>
        <v>0</v>
      </c>
      <c r="L89" s="1187">
        <f>I89-K89</f>
        <v>0</v>
      </c>
      <c r="M89" s="964" t="str">
        <f>IF(H89=0,"100%",J89/K89)</f>
        <v>100%</v>
      </c>
      <c r="N89" s="1002"/>
      <c r="O89" s="966"/>
      <c r="P89" s="967"/>
      <c r="Q89" s="1368" t="s">
        <v>188</v>
      </c>
      <c r="R89" s="355"/>
      <c r="S89" s="417"/>
    </row>
    <row r="90" spans="1:19" ht="26.45" customHeight="1" x14ac:dyDescent="0.45">
      <c r="A90" s="836"/>
      <c r="B90" s="882"/>
      <c r="C90" s="885"/>
      <c r="D90" s="892"/>
      <c r="E90" s="893"/>
      <c r="F90" s="518" t="s">
        <v>79</v>
      </c>
      <c r="G90" s="623">
        <f>$E$88/3</f>
        <v>0.3968253968253968</v>
      </c>
      <c r="H90" s="1407">
        <v>0</v>
      </c>
      <c r="I90" s="1408">
        <v>0</v>
      </c>
      <c r="J90" s="1185">
        <f>I90-H90</f>
        <v>0</v>
      </c>
      <c r="K90" s="1188">
        <f>(I90)*(6/10)</f>
        <v>0</v>
      </c>
      <c r="L90" s="1189">
        <f>I90-K90</f>
        <v>0</v>
      </c>
      <c r="M90" s="964" t="str">
        <f>IF(K90&lt;&gt;0,J90/K90,"100%")</f>
        <v>100%</v>
      </c>
      <c r="N90" s="1002"/>
      <c r="O90" s="966"/>
      <c r="P90" s="967"/>
      <c r="Q90" s="1373" t="s">
        <v>189</v>
      </c>
      <c r="R90" s="355"/>
      <c r="S90" s="417"/>
    </row>
    <row r="91" spans="1:19" ht="40.799999999999997" customHeight="1" thickBot="1" x14ac:dyDescent="0.5">
      <c r="A91" s="836"/>
      <c r="B91" s="883"/>
      <c r="C91" s="886"/>
      <c r="D91" s="508" t="s">
        <v>161</v>
      </c>
      <c r="E91" s="484">
        <f>$C$87/3</f>
        <v>1.1904761904761905</v>
      </c>
      <c r="F91" s="626" t="s">
        <v>80</v>
      </c>
      <c r="G91" s="627">
        <f>E91/1</f>
        <v>1.1904761904761905</v>
      </c>
      <c r="H91" s="1374">
        <v>98</v>
      </c>
      <c r="I91" s="1451">
        <v>85</v>
      </c>
      <c r="J91" s="1190">
        <f>H91-I91</f>
        <v>13</v>
      </c>
      <c r="K91" s="1173">
        <f>(100-I91)*(6/10)</f>
        <v>9</v>
      </c>
      <c r="L91" s="1191">
        <f>I91+K91</f>
        <v>94</v>
      </c>
      <c r="M91" s="972">
        <f>IF(I91&gt;=60,(1+(H91-60)/60),(H91/L91))</f>
        <v>1.6333333333333333</v>
      </c>
      <c r="N91" s="1004"/>
      <c r="O91" s="974"/>
      <c r="P91" s="942"/>
      <c r="Q91" s="1376" t="s">
        <v>95</v>
      </c>
      <c r="R91" s="357"/>
      <c r="S91" s="418"/>
    </row>
    <row r="92" spans="1:19" ht="14.65" thickBot="1" x14ac:dyDescent="0.5">
      <c r="B92" s="684" t="s">
        <v>81</v>
      </c>
      <c r="C92" s="685"/>
      <c r="D92" s="685"/>
      <c r="E92" s="685"/>
      <c r="F92" s="686"/>
      <c r="G92" s="11"/>
      <c r="H92" s="1346"/>
      <c r="I92" s="1347"/>
      <c r="J92" s="1152"/>
      <c r="K92" s="1153"/>
      <c r="L92" s="1153"/>
      <c r="M92" s="1192"/>
      <c r="N92" s="918">
        <f>(N93+N97)/2</f>
        <v>4.7965837919722603</v>
      </c>
      <c r="O92" s="919">
        <f>(O93+O97)</f>
        <v>6.3533501796518923</v>
      </c>
      <c r="P92" s="920">
        <f>O92/14.285712</f>
        <v>0.44473458373316588</v>
      </c>
      <c r="Q92" s="1303"/>
      <c r="R92" s="326"/>
      <c r="S92" s="326"/>
    </row>
    <row r="93" spans="1:19" ht="20.45" customHeight="1" thickBot="1" x14ac:dyDescent="0.5">
      <c r="B93" s="820" t="s">
        <v>82</v>
      </c>
      <c r="C93" s="821"/>
      <c r="D93" s="821"/>
      <c r="E93" s="821"/>
      <c r="F93" s="822"/>
      <c r="G93" s="511"/>
      <c r="H93" s="1313"/>
      <c r="I93" s="1314"/>
      <c r="J93" s="997"/>
      <c r="K93" s="997"/>
      <c r="L93" s="997"/>
      <c r="M93" s="1099"/>
      <c r="N93" s="918">
        <f>N94</f>
        <v>0.66694887511711642</v>
      </c>
      <c r="O93" s="919">
        <f>O94</f>
        <v>2.3819598871617731</v>
      </c>
      <c r="P93" s="920">
        <f>O93/3.571428</f>
        <v>0.66694887511711642</v>
      </c>
      <c r="Q93" s="1294"/>
      <c r="R93" s="324"/>
      <c r="S93" s="330"/>
    </row>
    <row r="94" spans="1:19" ht="34.799999999999997" customHeight="1" thickBot="1" x14ac:dyDescent="0.5">
      <c r="A94" s="811">
        <v>25</v>
      </c>
      <c r="B94" s="823" t="s">
        <v>83</v>
      </c>
      <c r="C94" s="894">
        <f>M5</f>
        <v>3.5714285714285716</v>
      </c>
      <c r="D94" s="850" t="s">
        <v>214</v>
      </c>
      <c r="E94" s="552">
        <f>$C$94/3</f>
        <v>1.1904761904761905</v>
      </c>
      <c r="F94" s="513" t="s">
        <v>269</v>
      </c>
      <c r="G94" s="629">
        <f>E94/1</f>
        <v>1.1904761904761905</v>
      </c>
      <c r="H94" s="1232">
        <v>100</v>
      </c>
      <c r="I94" s="1452">
        <v>100</v>
      </c>
      <c r="J94" s="1193">
        <f>H94-I94</f>
        <v>0</v>
      </c>
      <c r="K94" s="1194">
        <f>(100-I94)*(6/10)</f>
        <v>0</v>
      </c>
      <c r="L94" s="1195">
        <f>I94+K94</f>
        <v>100</v>
      </c>
      <c r="M94" s="930" t="str">
        <f>IF(K94&lt;&gt;0,J94/K94,"100%")</f>
        <v>100%</v>
      </c>
      <c r="N94" s="1119">
        <f>(((G94/C94)*M94)+((G95/C94)*M95)+((G96/C94)*M96))</f>
        <v>0.66694887511711642</v>
      </c>
      <c r="O94" s="958">
        <f>IF((((G94/C94)*M94)+((G95/C94)*M95)+((G96/C94)*M96))&gt;=1,3.571428,IF((((G94/C94)*M94)+((G95/C94)*M95)+((G96/C94)*M96))&lt;=0,0,(((G94/C94)*M94)+((G95/C94)*M95)+((G96/C94)*M96))*3.571428))</f>
        <v>2.3819598871617731</v>
      </c>
      <c r="P94" s="933">
        <f>O94/3.571428</f>
        <v>0.66694887511711642</v>
      </c>
      <c r="Q94" s="1379" t="s">
        <v>190</v>
      </c>
      <c r="R94" s="393" t="s">
        <v>474</v>
      </c>
      <c r="S94" s="138" t="s">
        <v>475</v>
      </c>
    </row>
    <row r="95" spans="1:19" ht="39.6" customHeight="1" thickBot="1" x14ac:dyDescent="0.5">
      <c r="A95" s="811"/>
      <c r="B95" s="824"/>
      <c r="C95" s="895"/>
      <c r="D95" s="844"/>
      <c r="E95" s="631">
        <f t="shared" ref="E95:E96" si="33">$C$94/3</f>
        <v>1.1904761904761905</v>
      </c>
      <c r="F95" s="573" t="s">
        <v>270</v>
      </c>
      <c r="G95" s="623">
        <f>E95/1</f>
        <v>1.1904761904761905</v>
      </c>
      <c r="H95" s="1321">
        <v>1.6199999999999999E-2</v>
      </c>
      <c r="I95" s="1453">
        <v>1.5699999999999999E-2</v>
      </c>
      <c r="J95" s="1185">
        <f>IF(AND(I95&gt;1,(H95-I95=0)),(H95-1),(H95-I95))</f>
        <v>5.0000000000000044E-4</v>
      </c>
      <c r="K95" s="1040">
        <f>IF(AND(I95&gt;=1,H95&gt;=1),"0",((1-I95)*(6/10)))</f>
        <v>0.59057999999999999</v>
      </c>
      <c r="L95" s="1196">
        <f t="shared" ref="L95:L96" si="34">I95+K95</f>
        <v>0.60628000000000004</v>
      </c>
      <c r="M95" s="964">
        <f>IF(I95&gt;=1,(1+(H95-1)/1),(J95/K95))</f>
        <v>8.4662535134952157E-4</v>
      </c>
      <c r="N95" s="1122"/>
      <c r="O95" s="966"/>
      <c r="P95" s="967"/>
      <c r="Q95" s="1382" t="s">
        <v>191</v>
      </c>
      <c r="R95" s="185" t="s">
        <v>476</v>
      </c>
      <c r="S95" s="393" t="s">
        <v>477</v>
      </c>
    </row>
    <row r="96" spans="1:19" ht="41.45" customHeight="1" thickBot="1" x14ac:dyDescent="0.5">
      <c r="A96" s="811"/>
      <c r="B96" s="861"/>
      <c r="C96" s="896"/>
      <c r="D96" s="851"/>
      <c r="E96" s="553">
        <f t="shared" si="33"/>
        <v>1.1904761904761905</v>
      </c>
      <c r="F96" s="526" t="s">
        <v>84</v>
      </c>
      <c r="G96" s="627">
        <f>E96/1</f>
        <v>1.1904761904761905</v>
      </c>
      <c r="H96" s="1416">
        <v>100</v>
      </c>
      <c r="I96" s="1454">
        <v>100</v>
      </c>
      <c r="J96" s="1190">
        <f>H96-I96</f>
        <v>0</v>
      </c>
      <c r="K96" s="1173">
        <f>(100-I96)*(6/10)</f>
        <v>0</v>
      </c>
      <c r="L96" s="1191">
        <f t="shared" si="34"/>
        <v>100</v>
      </c>
      <c r="M96" s="972" t="str">
        <f>IF(K96&lt;&gt;0,J96/K96,"100%")</f>
        <v>100%</v>
      </c>
      <c r="N96" s="1130"/>
      <c r="O96" s="974"/>
      <c r="P96" s="942"/>
      <c r="Q96" s="1384" t="s">
        <v>95</v>
      </c>
      <c r="R96" s="184" t="s">
        <v>478</v>
      </c>
      <c r="S96" s="393" t="s">
        <v>479</v>
      </c>
    </row>
    <row r="97" spans="1:19" ht="18" customHeight="1" thickBot="1" x14ac:dyDescent="0.5">
      <c r="B97" s="897" t="s">
        <v>85</v>
      </c>
      <c r="C97" s="898"/>
      <c r="D97" s="898"/>
      <c r="E97" s="898"/>
      <c r="F97" s="899"/>
      <c r="G97" s="634"/>
      <c r="H97" s="1385"/>
      <c r="I97" s="1386"/>
      <c r="J97" s="1199"/>
      <c r="K97" s="1200"/>
      <c r="L97" s="1200"/>
      <c r="M97" s="1201"/>
      <c r="N97" s="1202">
        <f>(N98+N99+N100)/3</f>
        <v>8.9262187088274043</v>
      </c>
      <c r="O97" s="1203">
        <f>(O98+O99+O100)</f>
        <v>3.9713902924901188</v>
      </c>
      <c r="P97" s="920">
        <f>O97/10.714284</f>
        <v>0.37066315327184896</v>
      </c>
      <c r="Q97" s="1387"/>
      <c r="R97" s="336"/>
      <c r="S97" s="336"/>
    </row>
    <row r="98" spans="1:19" ht="29.45" customHeight="1" thickBot="1" x14ac:dyDescent="0.5">
      <c r="A98" s="16">
        <v>26</v>
      </c>
      <c r="B98" s="529" t="s">
        <v>86</v>
      </c>
      <c r="C98" s="530">
        <f>$M$5</f>
        <v>3.5714285714285716</v>
      </c>
      <c r="D98" s="529" t="s">
        <v>215</v>
      </c>
      <c r="E98" s="530">
        <f>C98/1</f>
        <v>3.5714285714285716</v>
      </c>
      <c r="F98" s="591" t="s">
        <v>291</v>
      </c>
      <c r="G98" s="530">
        <f>E98/1</f>
        <v>3.5714285714285716</v>
      </c>
      <c r="H98" s="1333">
        <v>55</v>
      </c>
      <c r="I98" s="1334">
        <v>7</v>
      </c>
      <c r="J98" s="1204">
        <f>IF(I98=H98,(H98-10),H98-I98)</f>
        <v>48</v>
      </c>
      <c r="K98" s="1027">
        <f>IF(I98&gt;=10,0,((10-I98)*(6/10)))</f>
        <v>1.7999999999999998</v>
      </c>
      <c r="L98" s="1134">
        <f>I98+K98</f>
        <v>8.8000000000000007</v>
      </c>
      <c r="M98" s="1069">
        <f>IF(I98&gt;=10,(1+(H98-10)/10),(J98/K98))</f>
        <v>26.666666666666668</v>
      </c>
      <c r="N98" s="1135">
        <f>((G98/C98)*M98)</f>
        <v>26.666666666666668</v>
      </c>
      <c r="O98" s="1018">
        <f>IF(((G98/C98)*M98)&gt;=1,3.571428,IF(((G98/C98)*M98)&lt;=0,0,((G98/C98)*M98)*3.571428))</f>
        <v>3.571428</v>
      </c>
      <c r="P98" s="920">
        <f>O98/3.571428</f>
        <v>1</v>
      </c>
      <c r="Q98" s="1390" t="s">
        <v>95</v>
      </c>
      <c r="R98" s="419"/>
      <c r="S98" s="322"/>
    </row>
    <row r="99" spans="1:19" ht="35.25" thickBot="1" x14ac:dyDescent="0.5">
      <c r="A99" s="16">
        <v>27</v>
      </c>
      <c r="B99" s="529" t="s">
        <v>87</v>
      </c>
      <c r="C99" s="530">
        <f>$M$5</f>
        <v>3.5714285714285716</v>
      </c>
      <c r="D99" s="529" t="s">
        <v>216</v>
      </c>
      <c r="E99" s="530">
        <f>C99/1</f>
        <v>3.5714285714285716</v>
      </c>
      <c r="F99" s="591" t="s">
        <v>271</v>
      </c>
      <c r="G99" s="530">
        <f>E99/1</f>
        <v>3.5714285714285716</v>
      </c>
      <c r="H99" s="1391">
        <v>27.8</v>
      </c>
      <c r="I99" s="1334">
        <v>24.4</v>
      </c>
      <c r="J99" s="1204">
        <f>IF(I99=H99,(H99-75),H99-I99)</f>
        <v>3.4000000000000021</v>
      </c>
      <c r="K99" s="1027">
        <f>IF(I99&gt;=75,0,((75-I99)*(6/10)))</f>
        <v>30.36</v>
      </c>
      <c r="L99" s="1148">
        <f>I99+K99</f>
        <v>54.76</v>
      </c>
      <c r="M99" s="1393">
        <f>IF(I99&gt;=75,(1+(H99-75)/75),(J99/K99))</f>
        <v>0.11198945981554684</v>
      </c>
      <c r="N99" s="1135">
        <f>((G99/C99)*M99)</f>
        <v>0.11198945981554684</v>
      </c>
      <c r="O99" s="1018">
        <f>IF(((G99/C99)*M99)&gt;=1,3.571428,IF(((G99/C99)*M99)&lt;=0,0,((G99/C99)*M99)*3.571428))</f>
        <v>0.39996229249011883</v>
      </c>
      <c r="P99" s="920">
        <f>O99/3.571428</f>
        <v>0.11198945981554684</v>
      </c>
      <c r="Q99" s="1390" t="s">
        <v>192</v>
      </c>
      <c r="R99" s="420" t="s">
        <v>480</v>
      </c>
      <c r="S99" s="322"/>
    </row>
    <row r="100" spans="1:19" ht="30.75" thickBot="1" x14ac:dyDescent="0.5">
      <c r="A100" s="811">
        <v>28</v>
      </c>
      <c r="B100" s="900" t="s">
        <v>88</v>
      </c>
      <c r="C100" s="902">
        <f>M5</f>
        <v>3.5714285714285716</v>
      </c>
      <c r="D100" s="900" t="s">
        <v>217</v>
      </c>
      <c r="E100" s="902">
        <f>C100/1</f>
        <v>3.5714285714285716</v>
      </c>
      <c r="F100" s="569" t="s">
        <v>89</v>
      </c>
      <c r="G100" s="475">
        <f>$E$100/2</f>
        <v>1.7857142857142858</v>
      </c>
      <c r="H100" s="1411">
        <v>0</v>
      </c>
      <c r="I100" s="1455">
        <v>0</v>
      </c>
      <c r="J100" s="1206">
        <f>IF(I100=H100,(25-H100),I100-H100)</f>
        <v>25</v>
      </c>
      <c r="K100" s="1081">
        <f>IF(I100&lt;=25,0,((0.25*I100)*(6/10)))</f>
        <v>0</v>
      </c>
      <c r="L100" s="1207">
        <f>I100-K100</f>
        <v>0</v>
      </c>
      <c r="M100" s="964" t="str">
        <f>IF(H100=0,"0%",J100/K100)</f>
        <v>0%</v>
      </c>
      <c r="N100" s="1208">
        <f>((G100/$C$100)*M100)+((G101/$C$100)*M101)</f>
        <v>0</v>
      </c>
      <c r="O100" s="932">
        <f>IF((((G100/C100)*M100)+((G101/C100)*M101))&gt;=1,3.57148,IF((((G100/C100)*M100)+((G101/C100)*M101))&lt;=0,0, (((G100/C100)*M100)+((G101/C100)*M101))*3.571428))</f>
        <v>0</v>
      </c>
      <c r="P100" s="933">
        <f>O100/3.571428</f>
        <v>0</v>
      </c>
      <c r="Q100" s="1456" t="s">
        <v>193</v>
      </c>
      <c r="R100" s="421"/>
      <c r="S100" s="261"/>
    </row>
    <row r="101" spans="1:19" ht="38.450000000000003" customHeight="1" thickBot="1" x14ac:dyDescent="0.5">
      <c r="A101" s="811"/>
      <c r="B101" s="901"/>
      <c r="C101" s="903"/>
      <c r="D101" s="901"/>
      <c r="E101" s="904"/>
      <c r="F101" s="526" t="s">
        <v>90</v>
      </c>
      <c r="G101" s="484">
        <f>$E$100/2</f>
        <v>1.7857142857142858</v>
      </c>
      <c r="H101" s="1416">
        <v>0</v>
      </c>
      <c r="I101" s="1454">
        <v>0</v>
      </c>
      <c r="J101" s="1209">
        <f>IF(I101=H101,(H101-25),H101-I101)</f>
        <v>-25</v>
      </c>
      <c r="K101" s="971">
        <f>IF(I101&gt;=25,0,((25-I101)*(6/10)))</f>
        <v>15</v>
      </c>
      <c r="L101" s="1210">
        <f t="shared" ref="L101" si="35">K101+I101</f>
        <v>15</v>
      </c>
      <c r="M101" s="964" t="str">
        <f>IF(H101=0,"0%",J101/K101)</f>
        <v>0%</v>
      </c>
      <c r="N101" s="1211"/>
      <c r="O101" s="941"/>
      <c r="P101" s="942"/>
      <c r="Q101" s="1457" t="s">
        <v>95</v>
      </c>
      <c r="R101" s="422"/>
      <c r="S101" s="109" t="s">
        <v>481</v>
      </c>
    </row>
    <row r="102" spans="1:19" ht="34.25" customHeight="1" thickBot="1" x14ac:dyDescent="0.5">
      <c r="B102" s="639" t="s">
        <v>194</v>
      </c>
      <c r="C102" s="640">
        <f>C11+C13+C15+C19+C24+C33+C34+C35+C36+C38+C41+C44+C48+C51+C53+C61+C68+C71+C73+C75+C78+C81+C83+C87+C94+C98+C99+C100</f>
        <v>99.999999999999972</v>
      </c>
      <c r="D102" s="641"/>
      <c r="E102" s="640">
        <f>E11+E12+E13+E14+E15+E19+E20+E21+E22+E24+E25+E28+E31+E33+E34+E35+E36+E38+E39+E41+E42+E44+E45+E48+E49++E51+E53+E54+E55+E56+E57+E61+E62+E63+E64+E68+E71+E73+E75+E78+E81++E82+E83+E84+E85+E87+E88+E91+E94+E95+E96+E98+E99+E100</f>
        <v>100.00714285714285</v>
      </c>
      <c r="F102" s="642"/>
      <c r="G102" s="640">
        <f>G11+G12+G13+G14+G15+G16+G17+G19+G20+G21+G22+G24+G25+G26+G27+G28+G29+G30+G31+G33+G34+G35+G36+G38+G39+G41+G42+G44+G45+G48+G49+G51+G53+G54+G55+G56+G57+G58+G61+G62+G63+G64+G65+G66+G68+G71+G73+G75+G78+G81+G82+G83+G84+G85+G87+G88+G89+G90+G91+G94+G95+G96+G98+G99+G100+G101</f>
        <v>100.00714285714285</v>
      </c>
      <c r="H102" s="1212"/>
      <c r="I102" s="1213"/>
      <c r="J102" s="1212"/>
      <c r="K102" s="1214"/>
      <c r="L102" s="1215"/>
      <c r="M102" s="1216"/>
      <c r="N102" s="1217"/>
      <c r="O102" s="1218"/>
      <c r="P102" s="1218"/>
      <c r="Q102" s="1398"/>
      <c r="R102" s="17"/>
      <c r="S102" s="18"/>
    </row>
    <row r="104" spans="1:19" ht="15.75" x14ac:dyDescent="0.5">
      <c r="B104" s="19"/>
    </row>
    <row r="107" spans="1:19" ht="15.75" x14ac:dyDescent="0.5">
      <c r="B107" s="19"/>
    </row>
    <row r="108" spans="1:19" x14ac:dyDescent="0.45">
      <c r="B108" s="20"/>
    </row>
    <row r="109" spans="1:19" x14ac:dyDescent="0.45">
      <c r="B109" s="20"/>
    </row>
    <row r="111" spans="1:19" x14ac:dyDescent="0.45">
      <c r="E111"/>
      <c r="F111" s="644" t="s">
        <v>196</v>
      </c>
    </row>
    <row r="112" spans="1:19" x14ac:dyDescent="0.45">
      <c r="E112" s="645">
        <v>1</v>
      </c>
      <c r="F112" s="645" t="s">
        <v>197</v>
      </c>
    </row>
    <row r="113" spans="5:6" x14ac:dyDescent="0.45">
      <c r="E113" s="645">
        <v>2</v>
      </c>
      <c r="F113" s="645" t="s">
        <v>227</v>
      </c>
    </row>
    <row r="114" spans="5:6" x14ac:dyDescent="0.45">
      <c r="E114" s="645">
        <v>3</v>
      </c>
      <c r="F114" s="645" t="s">
        <v>228</v>
      </c>
    </row>
    <row r="115" spans="5:6" x14ac:dyDescent="0.45">
      <c r="E115" s="645">
        <v>4</v>
      </c>
      <c r="F115" s="645" t="s">
        <v>229</v>
      </c>
    </row>
    <row r="116" spans="5:6" x14ac:dyDescent="0.45">
      <c r="E116" s="645">
        <v>5</v>
      </c>
      <c r="F116" s="645" t="s">
        <v>198</v>
      </c>
    </row>
    <row r="117" spans="5:6" x14ac:dyDescent="0.45">
      <c r="E117" s="645">
        <v>6</v>
      </c>
      <c r="F117" s="645" t="s">
        <v>230</v>
      </c>
    </row>
    <row r="118" spans="5:6" x14ac:dyDescent="0.45">
      <c r="E118" s="645">
        <v>7</v>
      </c>
      <c r="F118" s="645" t="s">
        <v>231</v>
      </c>
    </row>
    <row r="119" spans="5:6" x14ac:dyDescent="0.45">
      <c r="E119" s="645">
        <v>8</v>
      </c>
      <c r="F119" s="645" t="s">
        <v>199</v>
      </c>
    </row>
    <row r="120" spans="5:6" x14ac:dyDescent="0.45">
      <c r="E120" s="645">
        <v>9</v>
      </c>
      <c r="F120" s="645" t="s">
        <v>200</v>
      </c>
    </row>
    <row r="121" spans="5:6" x14ac:dyDescent="0.45">
      <c r="E121" s="645">
        <v>10</v>
      </c>
      <c r="F121" s="645" t="s">
        <v>201</v>
      </c>
    </row>
    <row r="122" spans="5:6" x14ac:dyDescent="0.45">
      <c r="E122" s="645">
        <v>11</v>
      </c>
      <c r="F122" s="645" t="s">
        <v>232</v>
      </c>
    </row>
    <row r="123" spans="5:6" x14ac:dyDescent="0.45">
      <c r="E123" s="645">
        <v>12</v>
      </c>
      <c r="F123" s="645" t="s">
        <v>202</v>
      </c>
    </row>
    <row r="124" spans="5:6" x14ac:dyDescent="0.45">
      <c r="E124" s="645">
        <f t="shared" ref="E124:E145" si="36">E123+1</f>
        <v>13</v>
      </c>
      <c r="F124" s="645" t="s">
        <v>203</v>
      </c>
    </row>
    <row r="125" spans="5:6" x14ac:dyDescent="0.45">
      <c r="E125" s="645">
        <v>14</v>
      </c>
      <c r="F125" s="645" t="s">
        <v>233</v>
      </c>
    </row>
    <row r="126" spans="5:6" x14ac:dyDescent="0.45">
      <c r="E126" s="645">
        <v>15</v>
      </c>
      <c r="F126" s="645" t="s">
        <v>234</v>
      </c>
    </row>
    <row r="127" spans="5:6" x14ac:dyDescent="0.45">
      <c r="E127" s="645">
        <v>16</v>
      </c>
      <c r="F127" s="645" t="s">
        <v>213</v>
      </c>
    </row>
    <row r="128" spans="5:6" x14ac:dyDescent="0.45">
      <c r="E128" s="645">
        <v>17</v>
      </c>
      <c r="F128" s="645" t="s">
        <v>235</v>
      </c>
    </row>
    <row r="129" spans="5:6" x14ac:dyDescent="0.45">
      <c r="E129" s="645">
        <v>18</v>
      </c>
      <c r="F129" s="645" t="s">
        <v>263</v>
      </c>
    </row>
    <row r="130" spans="5:6" x14ac:dyDescent="0.45">
      <c r="E130" s="645">
        <v>19</v>
      </c>
      <c r="F130" s="645" t="s">
        <v>204</v>
      </c>
    </row>
    <row r="131" spans="5:6" x14ac:dyDescent="0.45">
      <c r="E131" s="645">
        <v>20</v>
      </c>
      <c r="F131" s="645" t="s">
        <v>236</v>
      </c>
    </row>
    <row r="132" spans="5:6" x14ac:dyDescent="0.45">
      <c r="E132" s="645">
        <v>21</v>
      </c>
      <c r="F132" s="645" t="s">
        <v>237</v>
      </c>
    </row>
    <row r="133" spans="5:6" x14ac:dyDescent="0.45">
      <c r="E133" s="645">
        <v>22</v>
      </c>
      <c r="F133" s="645" t="s">
        <v>238</v>
      </c>
    </row>
    <row r="134" spans="5:6" x14ac:dyDescent="0.45">
      <c r="E134" s="645">
        <v>23</v>
      </c>
      <c r="F134" s="645" t="s">
        <v>205</v>
      </c>
    </row>
    <row r="135" spans="5:6" x14ac:dyDescent="0.45">
      <c r="E135" s="645">
        <v>24</v>
      </c>
      <c r="F135" s="645" t="s">
        <v>239</v>
      </c>
    </row>
    <row r="136" spans="5:6" x14ac:dyDescent="0.45">
      <c r="E136" s="645">
        <v>25</v>
      </c>
      <c r="F136" s="645" t="s">
        <v>240</v>
      </c>
    </row>
    <row r="137" spans="5:6" x14ac:dyDescent="0.45">
      <c r="E137" s="645">
        <v>26</v>
      </c>
      <c r="F137" s="645" t="s">
        <v>241</v>
      </c>
    </row>
    <row r="138" spans="5:6" x14ac:dyDescent="0.45">
      <c r="E138" s="645">
        <v>27</v>
      </c>
      <c r="F138" s="645" t="s">
        <v>206</v>
      </c>
    </row>
    <row r="139" spans="5:6" x14ac:dyDescent="0.45">
      <c r="E139" s="645">
        <v>28</v>
      </c>
      <c r="F139" s="645" t="s">
        <v>242</v>
      </c>
    </row>
    <row r="140" spans="5:6" x14ac:dyDescent="0.45">
      <c r="E140" s="645">
        <v>29</v>
      </c>
      <c r="F140" s="645" t="s">
        <v>243</v>
      </c>
    </row>
    <row r="141" spans="5:6" x14ac:dyDescent="0.45">
      <c r="E141" s="645">
        <v>30</v>
      </c>
      <c r="F141" s="645" t="s">
        <v>244</v>
      </c>
    </row>
    <row r="142" spans="5:6" x14ac:dyDescent="0.45">
      <c r="E142" s="645">
        <v>31</v>
      </c>
      <c r="F142" s="645" t="s">
        <v>245</v>
      </c>
    </row>
    <row r="143" spans="5:6" x14ac:dyDescent="0.45">
      <c r="E143" s="645">
        <v>32</v>
      </c>
      <c r="F143" s="645" t="s">
        <v>246</v>
      </c>
    </row>
    <row r="144" spans="5:6" x14ac:dyDescent="0.45">
      <c r="E144" s="645">
        <v>33</v>
      </c>
      <c r="F144" s="645" t="s">
        <v>207</v>
      </c>
    </row>
    <row r="145" spans="5:6" x14ac:dyDescent="0.45">
      <c r="E145" s="645">
        <f t="shared" si="36"/>
        <v>34</v>
      </c>
      <c r="F145" s="645" t="s">
        <v>208</v>
      </c>
    </row>
    <row r="146" spans="5:6" x14ac:dyDescent="0.45">
      <c r="E146" s="645">
        <v>35</v>
      </c>
      <c r="F146" s="645" t="s">
        <v>247</v>
      </c>
    </row>
    <row r="147" spans="5:6" x14ac:dyDescent="0.45">
      <c r="E147" s="645">
        <v>36</v>
      </c>
      <c r="F147" s="645" t="s">
        <v>248</v>
      </c>
    </row>
    <row r="148" spans="5:6" x14ac:dyDescent="0.45">
      <c r="E148" s="645">
        <v>36</v>
      </c>
      <c r="F148" s="645" t="s">
        <v>249</v>
      </c>
    </row>
    <row r="149" spans="5:6" x14ac:dyDescent="0.45">
      <c r="E149" s="645">
        <v>38</v>
      </c>
      <c r="F149" s="645" t="s">
        <v>250</v>
      </c>
    </row>
    <row r="150" spans="5:6" x14ac:dyDescent="0.45">
      <c r="E150" s="645">
        <v>39</v>
      </c>
      <c r="F150" s="645" t="s">
        <v>251</v>
      </c>
    </row>
    <row r="151" spans="5:6" x14ac:dyDescent="0.45">
      <c r="E151" s="645">
        <v>40</v>
      </c>
      <c r="F151" s="645" t="s">
        <v>209</v>
      </c>
    </row>
    <row r="152" spans="5:6" x14ac:dyDescent="0.45">
      <c r="E152" s="645">
        <v>41</v>
      </c>
      <c r="F152" s="645" t="s">
        <v>264</v>
      </c>
    </row>
    <row r="153" spans="5:6" x14ac:dyDescent="0.45">
      <c r="E153" s="645">
        <v>42</v>
      </c>
      <c r="F153" s="645" t="s">
        <v>252</v>
      </c>
    </row>
    <row r="154" spans="5:6" x14ac:dyDescent="0.45">
      <c r="E154" s="645">
        <v>43</v>
      </c>
      <c r="F154" s="645" t="s">
        <v>253</v>
      </c>
    </row>
    <row r="155" spans="5:6" x14ac:dyDescent="0.45">
      <c r="E155" s="645">
        <v>44</v>
      </c>
      <c r="F155" s="645" t="s">
        <v>254</v>
      </c>
    </row>
    <row r="156" spans="5:6" x14ac:dyDescent="0.45">
      <c r="E156" s="645">
        <v>45</v>
      </c>
      <c r="F156" s="645" t="s">
        <v>210</v>
      </c>
    </row>
    <row r="157" spans="5:6" x14ac:dyDescent="0.45">
      <c r="E157" s="645">
        <v>46</v>
      </c>
      <c r="F157" s="645" t="s">
        <v>255</v>
      </c>
    </row>
    <row r="158" spans="5:6" x14ac:dyDescent="0.45">
      <c r="E158" s="645">
        <v>47</v>
      </c>
      <c r="F158" s="645" t="s">
        <v>211</v>
      </c>
    </row>
    <row r="159" spans="5:6" x14ac:dyDescent="0.45">
      <c r="E159" s="645">
        <v>48</v>
      </c>
      <c r="F159" s="645" t="s">
        <v>256</v>
      </c>
    </row>
    <row r="160" spans="5:6" x14ac:dyDescent="0.45">
      <c r="E160" s="645">
        <v>49</v>
      </c>
      <c r="F160" s="645" t="s">
        <v>257</v>
      </c>
    </row>
    <row r="161" spans="5:6" x14ac:dyDescent="0.45">
      <c r="E161" s="645">
        <v>50</v>
      </c>
      <c r="F161" s="645" t="s">
        <v>260</v>
      </c>
    </row>
    <row r="162" spans="5:6" x14ac:dyDescent="0.45">
      <c r="E162" s="645">
        <v>51</v>
      </c>
      <c r="F162" s="645" t="s">
        <v>258</v>
      </c>
    </row>
    <row r="163" spans="5:6" x14ac:dyDescent="0.45">
      <c r="E163" s="645">
        <v>52</v>
      </c>
      <c r="F163" s="645" t="s">
        <v>212</v>
      </c>
    </row>
    <row r="164" spans="5:6" x14ac:dyDescent="0.45">
      <c r="E164" s="645">
        <v>53</v>
      </c>
      <c r="F164" s="645" t="s">
        <v>259</v>
      </c>
    </row>
    <row r="165" spans="5:6" x14ac:dyDescent="0.45">
      <c r="E165" s="645">
        <v>54</v>
      </c>
      <c r="F165" s="645" t="s">
        <v>261</v>
      </c>
    </row>
    <row r="166" spans="5:6" x14ac:dyDescent="0.45">
      <c r="E166" s="645">
        <v>55</v>
      </c>
      <c r="F166" s="645" t="s">
        <v>262</v>
      </c>
    </row>
    <row r="167" spans="5:6" x14ac:dyDescent="0.45">
      <c r="E167"/>
      <c r="F167"/>
    </row>
    <row r="168" spans="5:6" x14ac:dyDescent="0.45">
      <c r="E168"/>
      <c r="F168"/>
    </row>
  </sheetData>
  <sheetProtection algorithmName="SHA-512" hashValue="5AS2zIC334pn/+HdpGacgG6ucsv9Zbe1sANywp17lNQc4me4ltiCXmDcgOYSvrBf6aZ1V3OLwWkwFqaF6iHsDQ==" saltValue="3l3MJsifJtUf5fFxsYvO4A==" spinCount="100000" sheet="1" objects="1" scenarios="1"/>
  <mergeCells count="14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77:F77"/>
    <mergeCell ref="B79:F79"/>
    <mergeCell ref="B80:F80"/>
    <mergeCell ref="B81:B82"/>
    <mergeCell ref="C81:C82"/>
    <mergeCell ref="N81:N82"/>
    <mergeCell ref="B67:F67"/>
    <mergeCell ref="B69:F69"/>
    <mergeCell ref="B70:F70"/>
    <mergeCell ref="B72:F72"/>
    <mergeCell ref="B74:F74"/>
    <mergeCell ref="B76:F76"/>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37:F37"/>
    <mergeCell ref="A38:A39"/>
    <mergeCell ref="B38:B39"/>
    <mergeCell ref="C38:C39"/>
    <mergeCell ref="N38:N39"/>
    <mergeCell ref="O38:O39"/>
    <mergeCell ref="P24:P31"/>
    <mergeCell ref="D25:D27"/>
    <mergeCell ref="E25:E27"/>
    <mergeCell ref="D28:D30"/>
    <mergeCell ref="E28:E30"/>
    <mergeCell ref="B32:F3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N13:N14"/>
    <mergeCell ref="O13:O14"/>
    <mergeCell ref="P13:P14"/>
    <mergeCell ref="A11:A12"/>
    <mergeCell ref="B11:B12"/>
    <mergeCell ref="C11:C12"/>
    <mergeCell ref="N11:N12"/>
    <mergeCell ref="O11:O12"/>
    <mergeCell ref="P11:P12"/>
    <mergeCell ref="K4:M4"/>
    <mergeCell ref="B5:K5"/>
    <mergeCell ref="B6:F6"/>
    <mergeCell ref="B7:F7"/>
    <mergeCell ref="B9:F9"/>
    <mergeCell ref="B10:F10"/>
    <mergeCell ref="A13:A14"/>
    <mergeCell ref="B13:B14"/>
    <mergeCell ref="C13:C14"/>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4EF69289-D1CB-44A6-87BD-273580CB231A}">
      <formula1>$F$112:$F$166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Aspiration Chart</vt:lpstr>
      <vt:lpstr>Performance by Goal</vt:lpstr>
      <vt:lpstr>Initial Analysis Table</vt:lpstr>
      <vt:lpstr>Continental Level Dashboard</vt:lpstr>
      <vt:lpstr>Continental Dboard Targets</vt:lpstr>
      <vt:lpstr>Egypt</vt:lpstr>
      <vt:lpstr>Tunisia</vt:lpstr>
      <vt:lpstr>Algeria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 Kisira</dc:creator>
  <cp:lastModifiedBy>Andson Nsune</cp:lastModifiedBy>
  <dcterms:created xsi:type="dcterms:W3CDTF">2019-08-26T09:31:19Z</dcterms:created>
  <dcterms:modified xsi:type="dcterms:W3CDTF">2020-01-28T21:53:09Z</dcterms:modified>
</cp:coreProperties>
</file>