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mc:AlternateContent xmlns:mc="http://schemas.openxmlformats.org/markup-compatibility/2006">
    <mc:Choice Requires="x15">
      <x15ac:absPath xmlns:x15ac="http://schemas.microsoft.com/office/spreadsheetml/2010/11/ac" url="C:\Users\Andsonn\Desktop\M_Regional Dashboards\28th Jan Revisions\"/>
    </mc:Choice>
  </mc:AlternateContent>
  <xr:revisionPtr revIDLastSave="0" documentId="13_ncr:1_{03E54516-3402-4C2C-B6E9-CA0FEF633296}" xr6:coauthVersionLast="44" xr6:coauthVersionMax="44" xr10:uidLastSave="{00000000-0000-0000-0000-000000000000}"/>
  <bookViews>
    <workbookView xWindow="-98" yWindow="-98" windowWidth="19396" windowHeight="10395" firstSheet="4" activeTab="10" xr2:uid="{00000000-000D-0000-FFFF-FFFF00000000}"/>
  </bookViews>
  <sheets>
    <sheet name="Aspiration Chart" sheetId="24" r:id="rId1"/>
    <sheet name="Performance by Goal" sheetId="25" r:id="rId2"/>
    <sheet name="Initial Analysis Table" sheetId="17" r:id="rId3"/>
    <sheet name="Continental Level Dashboard" sheetId="2" r:id="rId4"/>
    <sheet name="Continental Dboard Targets" sheetId="19" r:id="rId5"/>
    <sheet name="Ethiopia" sheetId="33" r:id="rId6"/>
    <sheet name="Rwanda" sheetId="37" r:id="rId7"/>
    <sheet name="Seychelles" sheetId="39" r:id="rId8"/>
    <sheet name="Sudan" sheetId="41" r:id="rId9"/>
    <sheet name="Uganda" sheetId="44" r:id="rId10"/>
    <sheet name="Tanzania" sheetId="45" r:id="rId11"/>
  </sheets>
  <externalReferences>
    <externalReference r:id="rId1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5" i="45" l="1"/>
  <c r="E124" i="45"/>
  <c r="M101" i="45"/>
  <c r="K101" i="45"/>
  <c r="L101" i="45" s="1"/>
  <c r="J101" i="45"/>
  <c r="I100" i="45"/>
  <c r="H100" i="45"/>
  <c r="I99" i="45"/>
  <c r="J99" i="45" s="1"/>
  <c r="H99" i="45"/>
  <c r="M98" i="45"/>
  <c r="K98" i="45"/>
  <c r="L98" i="45" s="1"/>
  <c r="J98" i="45"/>
  <c r="M96" i="45"/>
  <c r="L96" i="45"/>
  <c r="K96" i="45"/>
  <c r="J96" i="45"/>
  <c r="I95" i="45"/>
  <c r="M95" i="45" s="1"/>
  <c r="H95" i="45"/>
  <c r="I94" i="45"/>
  <c r="H94" i="45"/>
  <c r="M91" i="45"/>
  <c r="L91" i="45"/>
  <c r="K91" i="45"/>
  <c r="J91" i="45"/>
  <c r="M90" i="45"/>
  <c r="K90" i="45"/>
  <c r="L90" i="45" s="1"/>
  <c r="J90" i="45"/>
  <c r="K89" i="45"/>
  <c r="M89" i="45" s="1"/>
  <c r="J89" i="45"/>
  <c r="I88" i="45"/>
  <c r="H88" i="45"/>
  <c r="I87" i="45"/>
  <c r="K87" i="45" s="1"/>
  <c r="H87" i="45"/>
  <c r="I85" i="45"/>
  <c r="H85" i="45"/>
  <c r="L84" i="45"/>
  <c r="K84" i="45"/>
  <c r="H84" i="45"/>
  <c r="M84" i="45" s="1"/>
  <c r="I83" i="45"/>
  <c r="H83" i="45"/>
  <c r="I82" i="45"/>
  <c r="H82" i="45"/>
  <c r="M81" i="45"/>
  <c r="L81" i="45"/>
  <c r="K81" i="45"/>
  <c r="H81" i="45"/>
  <c r="J81" i="45" s="1"/>
  <c r="M78" i="45"/>
  <c r="K78" i="45"/>
  <c r="L78" i="45" s="1"/>
  <c r="J78" i="45"/>
  <c r="M75" i="45"/>
  <c r="K75" i="45"/>
  <c r="L75" i="45" s="1"/>
  <c r="J75" i="45"/>
  <c r="M73" i="45"/>
  <c r="K73" i="45"/>
  <c r="L73" i="45" s="1"/>
  <c r="J73" i="45"/>
  <c r="E73" i="45"/>
  <c r="G73" i="45" s="1"/>
  <c r="C73" i="45"/>
  <c r="M71" i="45"/>
  <c r="L71" i="45"/>
  <c r="K71" i="45"/>
  <c r="H71" i="45"/>
  <c r="J71" i="45" s="1"/>
  <c r="I68" i="45"/>
  <c r="H68" i="45"/>
  <c r="E68" i="45"/>
  <c r="G68" i="45" s="1"/>
  <c r="C68" i="45"/>
  <c r="L66" i="45"/>
  <c r="K66" i="45"/>
  <c r="J66" i="45"/>
  <c r="M66" i="45" s="1"/>
  <c r="I65" i="45"/>
  <c r="H65" i="45"/>
  <c r="I64" i="45"/>
  <c r="H64" i="45"/>
  <c r="M63" i="45"/>
  <c r="K63" i="45"/>
  <c r="L63" i="45" s="1"/>
  <c r="J63" i="45"/>
  <c r="M62" i="45"/>
  <c r="L62" i="45"/>
  <c r="K62" i="45"/>
  <c r="J62" i="45"/>
  <c r="M61" i="45"/>
  <c r="L61" i="45"/>
  <c r="K61" i="45"/>
  <c r="J61" i="45"/>
  <c r="M58" i="45"/>
  <c r="L58" i="45"/>
  <c r="K58" i="45"/>
  <c r="J58" i="45"/>
  <c r="I57" i="45"/>
  <c r="H57" i="45"/>
  <c r="I56" i="45"/>
  <c r="H56" i="45"/>
  <c r="J56" i="45" s="1"/>
  <c r="L55" i="45"/>
  <c r="K55" i="45"/>
  <c r="M55" i="45" s="1"/>
  <c r="J55" i="45"/>
  <c r="M54" i="45"/>
  <c r="L54" i="45"/>
  <c r="K54" i="45"/>
  <c r="J54" i="45"/>
  <c r="M53" i="45"/>
  <c r="K53" i="45"/>
  <c r="L53" i="45" s="1"/>
  <c r="J53" i="45"/>
  <c r="I51" i="45"/>
  <c r="K51" i="45" s="1"/>
  <c r="H51" i="45"/>
  <c r="I49" i="45"/>
  <c r="H49" i="45"/>
  <c r="M48" i="45"/>
  <c r="L48" i="45"/>
  <c r="K48" i="45"/>
  <c r="J48" i="45"/>
  <c r="M45" i="45"/>
  <c r="L45" i="45"/>
  <c r="K45" i="45"/>
  <c r="J45" i="45"/>
  <c r="M44" i="45"/>
  <c r="K44" i="45"/>
  <c r="L44" i="45" s="1"/>
  <c r="J44" i="45"/>
  <c r="E44" i="45"/>
  <c r="G44" i="45" s="1"/>
  <c r="C44" i="45"/>
  <c r="E45" i="45" s="1"/>
  <c r="G45" i="45" s="1"/>
  <c r="M42" i="45"/>
  <c r="L42" i="45"/>
  <c r="K42" i="45"/>
  <c r="J42" i="45"/>
  <c r="I41" i="45"/>
  <c r="K41" i="45" s="1"/>
  <c r="H41" i="45"/>
  <c r="K39" i="45"/>
  <c r="M39" i="45" s="1"/>
  <c r="J39" i="45"/>
  <c r="K38" i="45"/>
  <c r="M38" i="45" s="1"/>
  <c r="J38" i="45"/>
  <c r="E38" i="45"/>
  <c r="G38" i="45" s="1"/>
  <c r="C38" i="45"/>
  <c r="E39" i="45" s="1"/>
  <c r="G39" i="45" s="1"/>
  <c r="I36" i="45"/>
  <c r="K36" i="45" s="1"/>
  <c r="H36" i="45"/>
  <c r="C36" i="45"/>
  <c r="E36" i="45" s="1"/>
  <c r="G36" i="45" s="1"/>
  <c r="I35" i="45"/>
  <c r="H35" i="45"/>
  <c r="I34" i="45"/>
  <c r="K34" i="45" s="1"/>
  <c r="H34" i="45"/>
  <c r="C34" i="45"/>
  <c r="E34" i="45" s="1"/>
  <c r="G34" i="45" s="1"/>
  <c r="I33" i="45"/>
  <c r="L33" i="45" s="1"/>
  <c r="H33" i="45"/>
  <c r="K33" i="45" s="1"/>
  <c r="M31" i="45"/>
  <c r="L31" i="45"/>
  <c r="K31" i="45"/>
  <c r="J31" i="45"/>
  <c r="I30" i="45"/>
  <c r="H30" i="45"/>
  <c r="I29" i="45"/>
  <c r="H29" i="45"/>
  <c r="I28" i="45"/>
  <c r="H28" i="45"/>
  <c r="I27" i="45"/>
  <c r="H27" i="45"/>
  <c r="G27" i="45"/>
  <c r="I26" i="45"/>
  <c r="K26" i="45" s="1"/>
  <c r="H26" i="45"/>
  <c r="J26" i="45" s="1"/>
  <c r="G26" i="45"/>
  <c r="I25" i="45"/>
  <c r="H25" i="45"/>
  <c r="G25" i="45"/>
  <c r="M24" i="45"/>
  <c r="L24" i="45"/>
  <c r="K24" i="45"/>
  <c r="J24" i="45"/>
  <c r="I22" i="45"/>
  <c r="K22" i="45" s="1"/>
  <c r="H22" i="45"/>
  <c r="I21" i="45"/>
  <c r="K21" i="45" s="1"/>
  <c r="H21" i="45"/>
  <c r="I20" i="45"/>
  <c r="K20" i="45" s="1"/>
  <c r="H20" i="45"/>
  <c r="I19" i="45"/>
  <c r="K19" i="45" s="1"/>
  <c r="H19" i="45"/>
  <c r="E19" i="45"/>
  <c r="G19" i="45" s="1"/>
  <c r="C19" i="45"/>
  <c r="E22" i="45" s="1"/>
  <c r="G22" i="45" s="1"/>
  <c r="I17" i="45"/>
  <c r="H17" i="45"/>
  <c r="I16" i="45"/>
  <c r="H16" i="45"/>
  <c r="I15" i="45"/>
  <c r="K15" i="45" s="1"/>
  <c r="H15" i="45"/>
  <c r="W14" i="45"/>
  <c r="I14" i="45"/>
  <c r="K14" i="45" s="1"/>
  <c r="H14" i="45"/>
  <c r="W13" i="45"/>
  <c r="I13" i="45"/>
  <c r="K13" i="45" s="1"/>
  <c r="L13" i="45" s="1"/>
  <c r="H13" i="45"/>
  <c r="C13" i="45"/>
  <c r="E14" i="45" s="1"/>
  <c r="G14" i="45" s="1"/>
  <c r="X12" i="45"/>
  <c r="I12" i="45"/>
  <c r="K12" i="45" s="1"/>
  <c r="H12" i="45"/>
  <c r="W11" i="45"/>
  <c r="Y13" i="45" s="1"/>
  <c r="I11" i="45"/>
  <c r="H11" i="45"/>
  <c r="J11" i="45" s="1"/>
  <c r="M5" i="45"/>
  <c r="C94" i="45" s="1"/>
  <c r="E145" i="44"/>
  <c r="E124" i="44"/>
  <c r="M101" i="44"/>
  <c r="K101" i="44"/>
  <c r="L101" i="44" s="1"/>
  <c r="J101" i="44"/>
  <c r="M100" i="44"/>
  <c r="K100" i="44"/>
  <c r="L100" i="44" s="1"/>
  <c r="J100" i="44"/>
  <c r="M99" i="44"/>
  <c r="L99" i="44"/>
  <c r="K99" i="44"/>
  <c r="J99" i="44"/>
  <c r="M98" i="44"/>
  <c r="L98" i="44"/>
  <c r="K98" i="44"/>
  <c r="J98" i="44"/>
  <c r="C98" i="44"/>
  <c r="E98" i="44" s="1"/>
  <c r="G98" i="44" s="1"/>
  <c r="K96" i="44"/>
  <c r="M96" i="44" s="1"/>
  <c r="J96" i="44"/>
  <c r="M95" i="44"/>
  <c r="K95" i="44"/>
  <c r="L95" i="44" s="1"/>
  <c r="J95" i="44"/>
  <c r="K94" i="44"/>
  <c r="M94" i="44" s="1"/>
  <c r="J94" i="44"/>
  <c r="M91" i="44"/>
  <c r="K91" i="44"/>
  <c r="L91" i="44" s="1"/>
  <c r="J91" i="44"/>
  <c r="M90" i="44"/>
  <c r="K90" i="44"/>
  <c r="L90" i="44" s="1"/>
  <c r="J90" i="44"/>
  <c r="K89" i="44"/>
  <c r="M89" i="44" s="1"/>
  <c r="J89" i="44"/>
  <c r="M88" i="44"/>
  <c r="K88" i="44"/>
  <c r="L88" i="44" s="1"/>
  <c r="J88" i="44"/>
  <c r="M87" i="44"/>
  <c r="L87" i="44"/>
  <c r="K87" i="44"/>
  <c r="J87" i="44"/>
  <c r="K85" i="44"/>
  <c r="M85" i="44" s="1"/>
  <c r="J85" i="44"/>
  <c r="M84" i="44"/>
  <c r="L84" i="44"/>
  <c r="K84" i="44"/>
  <c r="J84" i="44"/>
  <c r="M83" i="44"/>
  <c r="K83" i="44"/>
  <c r="L83" i="44" s="1"/>
  <c r="J83" i="44"/>
  <c r="C83" i="44"/>
  <c r="M82" i="44"/>
  <c r="L82" i="44"/>
  <c r="K82" i="44"/>
  <c r="J82" i="44"/>
  <c r="M81" i="44"/>
  <c r="K81" i="44"/>
  <c r="L81" i="44" s="1"/>
  <c r="J81" i="44"/>
  <c r="C81" i="44"/>
  <c r="E85" i="44" s="1"/>
  <c r="G85" i="44" s="1"/>
  <c r="K78" i="44"/>
  <c r="L78" i="44" s="1"/>
  <c r="M78" i="44" s="1"/>
  <c r="J78" i="44"/>
  <c r="C78" i="44"/>
  <c r="E78" i="44" s="1"/>
  <c r="G78" i="44" s="1"/>
  <c r="M75" i="44"/>
  <c r="K75" i="44"/>
  <c r="L75" i="44" s="1"/>
  <c r="J75" i="44"/>
  <c r="C75" i="44"/>
  <c r="E75" i="44" s="1"/>
  <c r="G75" i="44" s="1"/>
  <c r="M73" i="44"/>
  <c r="L73" i="44"/>
  <c r="K73" i="44"/>
  <c r="J73" i="44"/>
  <c r="K71" i="44"/>
  <c r="M71" i="44" s="1"/>
  <c r="J71" i="44"/>
  <c r="K68" i="44"/>
  <c r="L68" i="44" s="1"/>
  <c r="J68" i="44"/>
  <c r="M68" i="44" s="1"/>
  <c r="K66" i="44"/>
  <c r="L66" i="44" s="1"/>
  <c r="J66" i="44"/>
  <c r="L65" i="44"/>
  <c r="K65" i="44"/>
  <c r="M65" i="44" s="1"/>
  <c r="J65" i="44"/>
  <c r="M64" i="44"/>
  <c r="K64" i="44"/>
  <c r="L64" i="44" s="1"/>
  <c r="J64" i="44"/>
  <c r="M63" i="44"/>
  <c r="K63" i="44"/>
  <c r="L63" i="44" s="1"/>
  <c r="J63" i="44"/>
  <c r="K62" i="44"/>
  <c r="L62" i="44" s="1"/>
  <c r="J62" i="44"/>
  <c r="M62" i="44" s="1"/>
  <c r="K61" i="44"/>
  <c r="L61" i="44" s="1"/>
  <c r="J61" i="44"/>
  <c r="M61" i="44" s="1"/>
  <c r="M58" i="44"/>
  <c r="K58" i="44"/>
  <c r="L58" i="44" s="1"/>
  <c r="J58" i="44"/>
  <c r="M57" i="44"/>
  <c r="L57" i="44"/>
  <c r="K57" i="44"/>
  <c r="J57" i="44"/>
  <c r="K56" i="44"/>
  <c r="M56" i="44" s="1"/>
  <c r="J56" i="44"/>
  <c r="L55" i="44"/>
  <c r="K55" i="44"/>
  <c r="M55" i="44" s="1"/>
  <c r="J55" i="44"/>
  <c r="M54" i="44"/>
  <c r="L54" i="44"/>
  <c r="K54" i="44"/>
  <c r="J54" i="44"/>
  <c r="M53" i="44"/>
  <c r="K53" i="44"/>
  <c r="L53" i="44" s="1"/>
  <c r="J53" i="44"/>
  <c r="C53" i="44"/>
  <c r="E56" i="44" s="1"/>
  <c r="G56" i="44" s="1"/>
  <c r="M51" i="44"/>
  <c r="L51" i="44"/>
  <c r="K51" i="44"/>
  <c r="J51" i="44"/>
  <c r="M49" i="44"/>
  <c r="L49" i="44"/>
  <c r="K49" i="44"/>
  <c r="J49" i="44"/>
  <c r="M48" i="44"/>
  <c r="K48" i="44"/>
  <c r="L48" i="44" s="1"/>
  <c r="J48" i="44"/>
  <c r="C48" i="44"/>
  <c r="E48" i="44" s="1"/>
  <c r="G48" i="44" s="1"/>
  <c r="M45" i="44"/>
  <c r="L45" i="44"/>
  <c r="K45" i="44"/>
  <c r="J45" i="44"/>
  <c r="M44" i="44"/>
  <c r="K44" i="44"/>
  <c r="L44" i="44" s="1"/>
  <c r="J44" i="44"/>
  <c r="M42" i="44"/>
  <c r="L42" i="44"/>
  <c r="K42" i="44"/>
  <c r="J42" i="44"/>
  <c r="K41" i="44"/>
  <c r="L41" i="44" s="1"/>
  <c r="J41" i="44"/>
  <c r="M41" i="44" s="1"/>
  <c r="K39" i="44"/>
  <c r="M39" i="44" s="1"/>
  <c r="J39" i="44"/>
  <c r="K38" i="44"/>
  <c r="L38" i="44" s="1"/>
  <c r="J38" i="44"/>
  <c r="M36" i="44"/>
  <c r="K36" i="44"/>
  <c r="L36" i="44" s="1"/>
  <c r="J36" i="44"/>
  <c r="K35" i="44"/>
  <c r="M35" i="44" s="1"/>
  <c r="J35" i="44"/>
  <c r="M34" i="44"/>
  <c r="L34" i="44"/>
  <c r="K34" i="44"/>
  <c r="J34" i="44"/>
  <c r="M33" i="44"/>
  <c r="L33" i="44"/>
  <c r="K33" i="44"/>
  <c r="J33" i="44"/>
  <c r="L31" i="44"/>
  <c r="K31" i="44"/>
  <c r="J31" i="44"/>
  <c r="M31" i="44" s="1"/>
  <c r="M30" i="44"/>
  <c r="L30" i="44"/>
  <c r="K30" i="44"/>
  <c r="J30" i="44"/>
  <c r="K29" i="44"/>
  <c r="M29" i="44" s="1"/>
  <c r="J29" i="44"/>
  <c r="M28" i="44"/>
  <c r="L28" i="44"/>
  <c r="K28" i="44"/>
  <c r="J28" i="44"/>
  <c r="M27" i="44"/>
  <c r="L27" i="44"/>
  <c r="K27" i="44"/>
  <c r="J27" i="44"/>
  <c r="G27" i="44"/>
  <c r="K26" i="44"/>
  <c r="L26" i="44" s="1"/>
  <c r="J26" i="44"/>
  <c r="G26" i="44"/>
  <c r="L25" i="44"/>
  <c r="K25" i="44"/>
  <c r="J25" i="44"/>
  <c r="M25" i="44" s="1"/>
  <c r="G25" i="44"/>
  <c r="K24" i="44"/>
  <c r="L24" i="44" s="1"/>
  <c r="J24" i="44"/>
  <c r="M24" i="44" s="1"/>
  <c r="K22" i="44"/>
  <c r="M22" i="44" s="1"/>
  <c r="J22" i="44"/>
  <c r="M21" i="44"/>
  <c r="K21" i="44"/>
  <c r="L21" i="44" s="1"/>
  <c r="J21" i="44"/>
  <c r="M20" i="44"/>
  <c r="L20" i="44"/>
  <c r="K20" i="44"/>
  <c r="J20" i="44"/>
  <c r="M19" i="44"/>
  <c r="L19" i="44"/>
  <c r="K19" i="44"/>
  <c r="J19" i="44"/>
  <c r="C19" i="44"/>
  <c r="E22" i="44" s="1"/>
  <c r="G22" i="44" s="1"/>
  <c r="K17" i="44"/>
  <c r="M17" i="44" s="1"/>
  <c r="J17" i="44"/>
  <c r="M16" i="44"/>
  <c r="L16" i="44"/>
  <c r="K16" i="44"/>
  <c r="J16" i="44"/>
  <c r="M15" i="44"/>
  <c r="L15" i="44"/>
  <c r="K15" i="44"/>
  <c r="J15" i="44"/>
  <c r="W14" i="44"/>
  <c r="K14" i="44"/>
  <c r="L14" i="44" s="1"/>
  <c r="J14" i="44"/>
  <c r="M14" i="44" s="1"/>
  <c r="Y13" i="44"/>
  <c r="X13" i="44"/>
  <c r="W13" i="44"/>
  <c r="M13" i="44"/>
  <c r="L13" i="44"/>
  <c r="K13" i="44"/>
  <c r="J13" i="44"/>
  <c r="W12" i="44"/>
  <c r="X14" i="44" s="1"/>
  <c r="Y14" i="44" s="1"/>
  <c r="M12" i="44"/>
  <c r="K12" i="44"/>
  <c r="L12" i="44" s="1"/>
  <c r="J12" i="44"/>
  <c r="W11" i="44"/>
  <c r="X12" i="44" s="1"/>
  <c r="M11" i="44"/>
  <c r="L11" i="44"/>
  <c r="K11" i="44"/>
  <c r="J11" i="44"/>
  <c r="C11" i="44"/>
  <c r="E11" i="44" s="1"/>
  <c r="M5" i="44"/>
  <c r="C94" i="44" s="1"/>
  <c r="E145" i="41"/>
  <c r="E124" i="41"/>
  <c r="M101" i="41"/>
  <c r="L101" i="41"/>
  <c r="K101" i="41"/>
  <c r="J101" i="41"/>
  <c r="M100" i="41"/>
  <c r="L100" i="41"/>
  <c r="K100" i="41"/>
  <c r="J100" i="41"/>
  <c r="K99" i="41"/>
  <c r="L99" i="41" s="1"/>
  <c r="J99" i="41"/>
  <c r="M98" i="41"/>
  <c r="L98" i="41"/>
  <c r="K98" i="41"/>
  <c r="J98" i="41"/>
  <c r="K96" i="41"/>
  <c r="M96" i="41" s="1"/>
  <c r="J96" i="41"/>
  <c r="M95" i="41"/>
  <c r="K95" i="41"/>
  <c r="L95" i="41" s="1"/>
  <c r="J95" i="41"/>
  <c r="K94" i="41"/>
  <c r="M94" i="41" s="1"/>
  <c r="J94" i="41"/>
  <c r="K91" i="41"/>
  <c r="L91" i="41" s="1"/>
  <c r="M91" i="41" s="1"/>
  <c r="J91" i="41"/>
  <c r="M90" i="41"/>
  <c r="L90" i="41"/>
  <c r="K90" i="41"/>
  <c r="J90" i="41"/>
  <c r="M89" i="41"/>
  <c r="K89" i="41"/>
  <c r="L89" i="41" s="1"/>
  <c r="J89" i="41"/>
  <c r="M88" i="41"/>
  <c r="K88" i="41"/>
  <c r="L88" i="41" s="1"/>
  <c r="J88" i="41"/>
  <c r="M87" i="41"/>
  <c r="L87" i="41"/>
  <c r="K87" i="41"/>
  <c r="J87" i="41"/>
  <c r="M85" i="41"/>
  <c r="K85" i="41"/>
  <c r="L85" i="41" s="1"/>
  <c r="J85" i="41"/>
  <c r="M84" i="41"/>
  <c r="L84" i="41"/>
  <c r="K84" i="41"/>
  <c r="J84" i="41"/>
  <c r="M83" i="41"/>
  <c r="L83" i="41"/>
  <c r="K83" i="41"/>
  <c r="J83" i="41"/>
  <c r="L82" i="41"/>
  <c r="M82" i="41" s="1"/>
  <c r="K82" i="41"/>
  <c r="J82" i="41"/>
  <c r="M81" i="41"/>
  <c r="L81" i="41"/>
  <c r="K81" i="41"/>
  <c r="J81" i="41"/>
  <c r="M78" i="41"/>
  <c r="L78" i="41"/>
  <c r="K78" i="41"/>
  <c r="J78" i="41"/>
  <c r="M75" i="41"/>
  <c r="L75" i="41"/>
  <c r="K75" i="41"/>
  <c r="J75" i="41"/>
  <c r="M73" i="41"/>
  <c r="K73" i="41"/>
  <c r="L73" i="41" s="1"/>
  <c r="J73" i="41"/>
  <c r="K71" i="41"/>
  <c r="L71" i="41" s="1"/>
  <c r="J71" i="41"/>
  <c r="M71" i="41" s="1"/>
  <c r="M68" i="41"/>
  <c r="K68" i="41"/>
  <c r="L68" i="41" s="1"/>
  <c r="J68" i="41"/>
  <c r="M66" i="41"/>
  <c r="L66" i="41"/>
  <c r="K66" i="41"/>
  <c r="J66" i="41"/>
  <c r="K65" i="41"/>
  <c r="M65" i="41" s="1"/>
  <c r="J65" i="41"/>
  <c r="K64" i="41"/>
  <c r="L64" i="41" s="1"/>
  <c r="J64" i="41"/>
  <c r="M63" i="41"/>
  <c r="L63" i="41"/>
  <c r="K63" i="41"/>
  <c r="J63" i="41"/>
  <c r="M62" i="41"/>
  <c r="K62" i="41"/>
  <c r="L62" i="41" s="1"/>
  <c r="J62" i="41"/>
  <c r="M61" i="41"/>
  <c r="K61" i="41"/>
  <c r="L61" i="41" s="1"/>
  <c r="J61" i="41"/>
  <c r="M58" i="41"/>
  <c r="K58" i="41"/>
  <c r="L58" i="41" s="1"/>
  <c r="J58" i="41"/>
  <c r="M57" i="41"/>
  <c r="K57" i="41"/>
  <c r="L57" i="41" s="1"/>
  <c r="J57" i="41"/>
  <c r="K56" i="41"/>
  <c r="M56" i="41" s="1"/>
  <c r="J56" i="41"/>
  <c r="K55" i="41"/>
  <c r="M55" i="41" s="1"/>
  <c r="J55" i="41"/>
  <c r="M54" i="41"/>
  <c r="L54" i="41"/>
  <c r="K54" i="41"/>
  <c r="J54" i="41"/>
  <c r="M53" i="41"/>
  <c r="K53" i="41"/>
  <c r="L53" i="41" s="1"/>
  <c r="J53" i="41"/>
  <c r="M51" i="41"/>
  <c r="K51" i="41"/>
  <c r="L51" i="41" s="1"/>
  <c r="J51" i="41"/>
  <c r="M49" i="41"/>
  <c r="L49" i="41"/>
  <c r="K49" i="41"/>
  <c r="J49" i="41"/>
  <c r="M48" i="41"/>
  <c r="L48" i="41"/>
  <c r="K48" i="41"/>
  <c r="J48" i="41"/>
  <c r="M45" i="41"/>
  <c r="K45" i="41"/>
  <c r="L45" i="41" s="1"/>
  <c r="J45" i="41"/>
  <c r="M44" i="41"/>
  <c r="K44" i="41"/>
  <c r="L44" i="41" s="1"/>
  <c r="J44" i="41"/>
  <c r="M42" i="41"/>
  <c r="L42" i="41"/>
  <c r="K42" i="41"/>
  <c r="J42" i="41"/>
  <c r="K41" i="41"/>
  <c r="M41" i="41" s="1"/>
  <c r="J41" i="41"/>
  <c r="K39" i="41"/>
  <c r="M39" i="41" s="1"/>
  <c r="J39" i="41"/>
  <c r="M38" i="41"/>
  <c r="L38" i="41"/>
  <c r="K38" i="41"/>
  <c r="J38" i="41"/>
  <c r="K36" i="41"/>
  <c r="M36" i="41" s="1"/>
  <c r="J36" i="41"/>
  <c r="K35" i="41"/>
  <c r="M35" i="41" s="1"/>
  <c r="J35" i="41"/>
  <c r="M34" i="41"/>
  <c r="K34" i="41"/>
  <c r="L34" i="41" s="1"/>
  <c r="J34" i="41"/>
  <c r="M33" i="41"/>
  <c r="L33" i="41"/>
  <c r="K33" i="41"/>
  <c r="J33" i="41"/>
  <c r="M31" i="41"/>
  <c r="K31" i="41"/>
  <c r="L31" i="41" s="1"/>
  <c r="J31" i="41"/>
  <c r="M30" i="41"/>
  <c r="L30" i="41"/>
  <c r="K30" i="41"/>
  <c r="J30" i="41"/>
  <c r="M29" i="41"/>
  <c r="L29" i="41"/>
  <c r="K29" i="41"/>
  <c r="J29" i="41"/>
  <c r="K28" i="41"/>
  <c r="M28" i="41" s="1"/>
  <c r="J28" i="41"/>
  <c r="M27" i="41"/>
  <c r="L27" i="41"/>
  <c r="K27" i="41"/>
  <c r="J27" i="41"/>
  <c r="G27" i="41"/>
  <c r="M26" i="41"/>
  <c r="L26" i="41"/>
  <c r="K26" i="41"/>
  <c r="J26" i="41"/>
  <c r="G26" i="41"/>
  <c r="K25" i="41"/>
  <c r="M25" i="41" s="1"/>
  <c r="J25" i="41"/>
  <c r="G25" i="41"/>
  <c r="K24" i="41"/>
  <c r="M24" i="41" s="1"/>
  <c r="J24" i="41"/>
  <c r="K22" i="41"/>
  <c r="L22" i="41" s="1"/>
  <c r="J22" i="41"/>
  <c r="K21" i="41"/>
  <c r="M21" i="41" s="1"/>
  <c r="J21" i="41"/>
  <c r="M20" i="41"/>
  <c r="L20" i="41"/>
  <c r="K20" i="41"/>
  <c r="J20" i="41"/>
  <c r="M19" i="41"/>
  <c r="L19" i="41"/>
  <c r="K19" i="41"/>
  <c r="J19" i="41"/>
  <c r="K17" i="41"/>
  <c r="M17" i="41" s="1"/>
  <c r="J17" i="41"/>
  <c r="M16" i="41"/>
  <c r="L16" i="41"/>
  <c r="K16" i="41"/>
  <c r="J16" i="41"/>
  <c r="M15" i="41"/>
  <c r="L15" i="41"/>
  <c r="K15" i="41"/>
  <c r="J15" i="41"/>
  <c r="W14" i="41"/>
  <c r="K14" i="41"/>
  <c r="L14" i="41" s="1"/>
  <c r="J14" i="41"/>
  <c r="M14" i="41" s="1"/>
  <c r="X13" i="41"/>
  <c r="W13" i="41"/>
  <c r="M13" i="41"/>
  <c r="K13" i="41"/>
  <c r="L13" i="41" s="1"/>
  <c r="J13" i="41"/>
  <c r="W12" i="41"/>
  <c r="K12" i="41"/>
  <c r="L12" i="41" s="1"/>
  <c r="J12" i="41"/>
  <c r="W11" i="41"/>
  <c r="X14" i="41" s="1"/>
  <c r="M11" i="41"/>
  <c r="L11" i="41"/>
  <c r="K11" i="41"/>
  <c r="J11" i="41"/>
  <c r="M5" i="41"/>
  <c r="C94" i="41" s="1"/>
  <c r="E145" i="39"/>
  <c r="E124" i="39"/>
  <c r="M101" i="39"/>
  <c r="K101" i="39"/>
  <c r="L101" i="39" s="1"/>
  <c r="J101" i="39"/>
  <c r="M100" i="39"/>
  <c r="K100" i="39"/>
  <c r="L100" i="39" s="1"/>
  <c r="J100" i="39"/>
  <c r="M99" i="39"/>
  <c r="L99" i="39"/>
  <c r="K99" i="39"/>
  <c r="J99" i="39"/>
  <c r="M98" i="39"/>
  <c r="L98" i="39"/>
  <c r="K98" i="39"/>
  <c r="J98" i="39"/>
  <c r="C98" i="39"/>
  <c r="E98" i="39" s="1"/>
  <c r="G98" i="39" s="1"/>
  <c r="K96" i="39"/>
  <c r="M96" i="39" s="1"/>
  <c r="J96" i="39"/>
  <c r="K95" i="39"/>
  <c r="L95" i="39" s="1"/>
  <c r="J95" i="39"/>
  <c r="M95" i="39" s="1"/>
  <c r="K94" i="39"/>
  <c r="M94" i="39" s="1"/>
  <c r="J94" i="39"/>
  <c r="M91" i="39"/>
  <c r="L91" i="39"/>
  <c r="K91" i="39"/>
  <c r="J91" i="39"/>
  <c r="M90" i="39"/>
  <c r="K90" i="39"/>
  <c r="L90" i="39" s="1"/>
  <c r="J90" i="39"/>
  <c r="K89" i="39"/>
  <c r="M89" i="39" s="1"/>
  <c r="J89" i="39"/>
  <c r="M88" i="39"/>
  <c r="L88" i="39"/>
  <c r="K88" i="39"/>
  <c r="J88" i="39"/>
  <c r="M87" i="39"/>
  <c r="L87" i="39"/>
  <c r="K87" i="39"/>
  <c r="J87" i="39"/>
  <c r="M85" i="39"/>
  <c r="K85" i="39"/>
  <c r="L85" i="39" s="1"/>
  <c r="J85" i="39"/>
  <c r="M84" i="39"/>
  <c r="L84" i="39"/>
  <c r="K84" i="39"/>
  <c r="J84" i="39"/>
  <c r="K83" i="39"/>
  <c r="M83" i="39" s="1"/>
  <c r="J83" i="39"/>
  <c r="C83" i="39"/>
  <c r="M82" i="39"/>
  <c r="L82" i="39"/>
  <c r="K82" i="39"/>
  <c r="J82" i="39"/>
  <c r="M81" i="39"/>
  <c r="K81" i="39"/>
  <c r="L81" i="39" s="1"/>
  <c r="J81" i="39"/>
  <c r="C81" i="39"/>
  <c r="E84" i="39" s="1"/>
  <c r="G84" i="39" s="1"/>
  <c r="K78" i="39"/>
  <c r="L78" i="39" s="1"/>
  <c r="M78" i="39" s="1"/>
  <c r="J78" i="39"/>
  <c r="C78" i="39"/>
  <c r="E78" i="39" s="1"/>
  <c r="G78" i="39" s="1"/>
  <c r="K75" i="39"/>
  <c r="M75" i="39" s="1"/>
  <c r="J75" i="39"/>
  <c r="C75" i="39"/>
  <c r="E75" i="39" s="1"/>
  <c r="G75" i="39" s="1"/>
  <c r="M73" i="39"/>
  <c r="L73" i="39"/>
  <c r="K73" i="39"/>
  <c r="J73" i="39"/>
  <c r="M71" i="39"/>
  <c r="K71" i="39"/>
  <c r="L71" i="39" s="1"/>
  <c r="J71" i="39"/>
  <c r="M68" i="39"/>
  <c r="K68" i="39"/>
  <c r="L68" i="39" s="1"/>
  <c r="J68" i="39"/>
  <c r="K66" i="39"/>
  <c r="M66" i="39" s="1"/>
  <c r="J66" i="39"/>
  <c r="L65" i="39"/>
  <c r="K65" i="39"/>
  <c r="M65" i="39" s="1"/>
  <c r="J65" i="39"/>
  <c r="M64" i="39"/>
  <c r="L64" i="39"/>
  <c r="K64" i="39"/>
  <c r="J64" i="39"/>
  <c r="M63" i="39"/>
  <c r="K63" i="39"/>
  <c r="L63" i="39" s="1"/>
  <c r="J63" i="39"/>
  <c r="M62" i="39"/>
  <c r="K62" i="39"/>
  <c r="L62" i="39" s="1"/>
  <c r="J62" i="39"/>
  <c r="M61" i="39"/>
  <c r="L61" i="39"/>
  <c r="K61" i="39"/>
  <c r="J61" i="39"/>
  <c r="K58" i="39"/>
  <c r="M58" i="39" s="1"/>
  <c r="J58" i="39"/>
  <c r="M57" i="39"/>
  <c r="L57" i="39"/>
  <c r="K57" i="39"/>
  <c r="J57" i="39"/>
  <c r="M56" i="39"/>
  <c r="L56" i="39"/>
  <c r="K56" i="39"/>
  <c r="J56" i="39"/>
  <c r="L55" i="39"/>
  <c r="K55" i="39"/>
  <c r="M55" i="39" s="1"/>
  <c r="J55" i="39"/>
  <c r="M54" i="39"/>
  <c r="L54" i="39"/>
  <c r="K54" i="39"/>
  <c r="J54" i="39"/>
  <c r="K53" i="39"/>
  <c r="M53" i="39" s="1"/>
  <c r="J53" i="39"/>
  <c r="C53" i="39"/>
  <c r="E56" i="39" s="1"/>
  <c r="G56" i="39" s="1"/>
  <c r="L51" i="39"/>
  <c r="K51" i="39"/>
  <c r="M51" i="39" s="1"/>
  <c r="J51" i="39"/>
  <c r="M49" i="39"/>
  <c r="L49" i="39"/>
  <c r="K49" i="39"/>
  <c r="J49" i="39"/>
  <c r="K48" i="39"/>
  <c r="M48" i="39" s="1"/>
  <c r="J48" i="39"/>
  <c r="C48" i="39"/>
  <c r="E49" i="39" s="1"/>
  <c r="G49" i="39" s="1"/>
  <c r="M45" i="39"/>
  <c r="L45" i="39"/>
  <c r="K45" i="39"/>
  <c r="J45" i="39"/>
  <c r="M44" i="39"/>
  <c r="L44" i="39"/>
  <c r="K44" i="39"/>
  <c r="J44" i="39"/>
  <c r="K42" i="39"/>
  <c r="M42" i="39" s="1"/>
  <c r="J42" i="39"/>
  <c r="L41" i="39"/>
  <c r="K41" i="39"/>
  <c r="M41" i="39" s="1"/>
  <c r="J41" i="39"/>
  <c r="E41" i="39"/>
  <c r="G41" i="39" s="1"/>
  <c r="C41" i="39"/>
  <c r="E42" i="39" s="1"/>
  <c r="G42" i="39" s="1"/>
  <c r="L39" i="39"/>
  <c r="K39" i="39"/>
  <c r="J39" i="39"/>
  <c r="M39" i="39" s="1"/>
  <c r="K38" i="39"/>
  <c r="M38" i="39" s="1"/>
  <c r="J38" i="39"/>
  <c r="L36" i="39"/>
  <c r="K36" i="39"/>
  <c r="M36" i="39" s="1"/>
  <c r="J36" i="39"/>
  <c r="E36" i="39"/>
  <c r="G36" i="39" s="1"/>
  <c r="C36" i="39"/>
  <c r="L35" i="39"/>
  <c r="K35" i="39"/>
  <c r="J35" i="39"/>
  <c r="M35" i="39" s="1"/>
  <c r="L34" i="39"/>
  <c r="K34" i="39"/>
  <c r="M34" i="39" s="1"/>
  <c r="J34" i="39"/>
  <c r="M33" i="39"/>
  <c r="L33" i="39"/>
  <c r="K33" i="39"/>
  <c r="J33" i="39"/>
  <c r="L31" i="39"/>
  <c r="K31" i="39"/>
  <c r="M31" i="39" s="1"/>
  <c r="J31" i="39"/>
  <c r="E31" i="39"/>
  <c r="G31" i="39" s="1"/>
  <c r="M30" i="39"/>
  <c r="L30" i="39"/>
  <c r="K30" i="39"/>
  <c r="J30" i="39"/>
  <c r="K29" i="39"/>
  <c r="M29" i="39" s="1"/>
  <c r="J29" i="39"/>
  <c r="L28" i="39"/>
  <c r="K28" i="39"/>
  <c r="M28" i="39" s="1"/>
  <c r="J28" i="39"/>
  <c r="E28" i="39"/>
  <c r="G29" i="39" s="1"/>
  <c r="M27" i="39"/>
  <c r="L27" i="39"/>
  <c r="K27" i="39"/>
  <c r="J27" i="39"/>
  <c r="G27" i="39"/>
  <c r="K26" i="39"/>
  <c r="M26" i="39" s="1"/>
  <c r="J26" i="39"/>
  <c r="G26" i="39"/>
  <c r="L25" i="39"/>
  <c r="K25" i="39"/>
  <c r="M25" i="39" s="1"/>
  <c r="J25" i="39"/>
  <c r="G25" i="39"/>
  <c r="L24" i="39"/>
  <c r="K24" i="39"/>
  <c r="M24" i="39" s="1"/>
  <c r="J24" i="39"/>
  <c r="E24" i="39"/>
  <c r="G24" i="39" s="1"/>
  <c r="C24" i="39"/>
  <c r="L22" i="39"/>
  <c r="K22" i="39"/>
  <c r="J22" i="39"/>
  <c r="M22" i="39" s="1"/>
  <c r="L21" i="39"/>
  <c r="K21" i="39"/>
  <c r="M21" i="39" s="1"/>
  <c r="J21" i="39"/>
  <c r="M20" i="39"/>
  <c r="L20" i="39"/>
  <c r="K20" i="39"/>
  <c r="J20" i="39"/>
  <c r="M19" i="39"/>
  <c r="K19" i="39"/>
  <c r="L19" i="39" s="1"/>
  <c r="J19" i="39"/>
  <c r="C19" i="39"/>
  <c r="E22" i="39" s="1"/>
  <c r="G22" i="39" s="1"/>
  <c r="M17" i="39"/>
  <c r="K17" i="39"/>
  <c r="L17" i="39" s="1"/>
  <c r="J17" i="39"/>
  <c r="M16" i="39"/>
  <c r="L16" i="39"/>
  <c r="K16" i="39"/>
  <c r="J16" i="39"/>
  <c r="M15" i="39"/>
  <c r="L15" i="39"/>
  <c r="K15" i="39"/>
  <c r="J15" i="39"/>
  <c r="W14" i="39"/>
  <c r="L14" i="39"/>
  <c r="K14" i="39"/>
  <c r="M14" i="39" s="1"/>
  <c r="J14" i="39"/>
  <c r="E14" i="39"/>
  <c r="G14" i="39" s="1"/>
  <c r="Y13" i="39"/>
  <c r="W13" i="39"/>
  <c r="M13" i="39"/>
  <c r="L13" i="39"/>
  <c r="K13" i="39"/>
  <c r="J13" i="39"/>
  <c r="E13" i="39"/>
  <c r="G13" i="39" s="1"/>
  <c r="C13" i="39"/>
  <c r="M12" i="39"/>
  <c r="L12" i="39"/>
  <c r="K12" i="39"/>
  <c r="J12" i="39"/>
  <c r="W11" i="39"/>
  <c r="X13" i="39" s="1"/>
  <c r="K11" i="39"/>
  <c r="M11" i="39" s="1"/>
  <c r="J11" i="39"/>
  <c r="C11" i="39"/>
  <c r="M5" i="39"/>
  <c r="C94" i="39" s="1"/>
  <c r="E145" i="37"/>
  <c r="E124" i="37"/>
  <c r="L101" i="37"/>
  <c r="K101" i="37"/>
  <c r="J101" i="37"/>
  <c r="M101" i="37" s="1"/>
  <c r="M100" i="37"/>
  <c r="L100" i="37"/>
  <c r="K100" i="37"/>
  <c r="J100" i="37"/>
  <c r="K99" i="37"/>
  <c r="L99" i="37" s="1"/>
  <c r="J99" i="37"/>
  <c r="M99" i="37" s="1"/>
  <c r="M98" i="37"/>
  <c r="L98" i="37"/>
  <c r="K98" i="37"/>
  <c r="J98" i="37"/>
  <c r="K96" i="37"/>
  <c r="M96" i="37" s="1"/>
  <c r="J96" i="37"/>
  <c r="M95" i="37"/>
  <c r="L95" i="37"/>
  <c r="K95" i="37"/>
  <c r="J95" i="37"/>
  <c r="M94" i="37"/>
  <c r="L94" i="37"/>
  <c r="K94" i="37"/>
  <c r="J94" i="37"/>
  <c r="M91" i="37"/>
  <c r="K91" i="37"/>
  <c r="L91" i="37" s="1"/>
  <c r="J91" i="37"/>
  <c r="L90" i="37"/>
  <c r="K90" i="37"/>
  <c r="J90" i="37"/>
  <c r="M90" i="37" s="1"/>
  <c r="M89" i="37"/>
  <c r="L89" i="37"/>
  <c r="K89" i="37"/>
  <c r="J89" i="37"/>
  <c r="K88" i="37"/>
  <c r="J88" i="37"/>
  <c r="K87" i="37"/>
  <c r="J87" i="37"/>
  <c r="M85" i="37"/>
  <c r="L85" i="37"/>
  <c r="K85" i="37"/>
  <c r="J85" i="37"/>
  <c r="M84" i="37"/>
  <c r="K84" i="37"/>
  <c r="L84" i="37" s="1"/>
  <c r="J84" i="37"/>
  <c r="M83" i="37"/>
  <c r="L83" i="37"/>
  <c r="K83" i="37"/>
  <c r="J83" i="37"/>
  <c r="M82" i="37"/>
  <c r="K82" i="37"/>
  <c r="L82" i="37" s="1"/>
  <c r="J82" i="37"/>
  <c r="M81" i="37"/>
  <c r="L81" i="37"/>
  <c r="K81" i="37"/>
  <c r="J81" i="37"/>
  <c r="M78" i="37"/>
  <c r="L78" i="37"/>
  <c r="K78" i="37"/>
  <c r="J78" i="37"/>
  <c r="M75" i="37"/>
  <c r="L75" i="37"/>
  <c r="K75" i="37"/>
  <c r="J75" i="37"/>
  <c r="M73" i="37"/>
  <c r="K73" i="37"/>
  <c r="L73" i="37" s="1"/>
  <c r="J73" i="37"/>
  <c r="K71" i="37"/>
  <c r="M71" i="37" s="1"/>
  <c r="J71" i="37"/>
  <c r="M68" i="37"/>
  <c r="K68" i="37"/>
  <c r="L68" i="37" s="1"/>
  <c r="J68" i="37"/>
  <c r="L66" i="37"/>
  <c r="K66" i="37"/>
  <c r="J66" i="37"/>
  <c r="M66" i="37" s="1"/>
  <c r="M65" i="37"/>
  <c r="L65" i="37"/>
  <c r="K65" i="37"/>
  <c r="J65" i="37"/>
  <c r="K64" i="37"/>
  <c r="J64" i="37"/>
  <c r="M63" i="37"/>
  <c r="L63" i="37"/>
  <c r="K63" i="37"/>
  <c r="J63" i="37"/>
  <c r="M62" i="37"/>
  <c r="K62" i="37"/>
  <c r="L62" i="37" s="1"/>
  <c r="J62" i="37"/>
  <c r="K61" i="37"/>
  <c r="L61" i="37" s="1"/>
  <c r="J61" i="37"/>
  <c r="C61" i="37"/>
  <c r="M58" i="37"/>
  <c r="L58" i="37"/>
  <c r="K58" i="37"/>
  <c r="J58" i="37"/>
  <c r="K57" i="37"/>
  <c r="L57" i="37" s="1"/>
  <c r="J57" i="37"/>
  <c r="M57" i="37" s="1"/>
  <c r="K56" i="37"/>
  <c r="J56" i="37"/>
  <c r="M55" i="37"/>
  <c r="L55" i="37"/>
  <c r="K55" i="37"/>
  <c r="J55" i="37"/>
  <c r="M54" i="37"/>
  <c r="L54" i="37"/>
  <c r="K54" i="37"/>
  <c r="J54" i="37"/>
  <c r="M53" i="37"/>
  <c r="L53" i="37"/>
  <c r="K53" i="37"/>
  <c r="J53" i="37"/>
  <c r="K51" i="37"/>
  <c r="L51" i="37" s="1"/>
  <c r="J51" i="37"/>
  <c r="M49" i="37"/>
  <c r="L49" i="37"/>
  <c r="K49" i="37"/>
  <c r="J49" i="37"/>
  <c r="M48" i="37"/>
  <c r="L48" i="37"/>
  <c r="K48" i="37"/>
  <c r="J48" i="37"/>
  <c r="M45" i="37"/>
  <c r="K45" i="37"/>
  <c r="L45" i="37" s="1"/>
  <c r="J45" i="37"/>
  <c r="M44" i="37"/>
  <c r="L44" i="37"/>
  <c r="K44" i="37"/>
  <c r="J44" i="37"/>
  <c r="M42" i="37"/>
  <c r="L42" i="37"/>
  <c r="K42" i="37"/>
  <c r="J42" i="37"/>
  <c r="M41" i="37"/>
  <c r="L41" i="37"/>
  <c r="K41" i="37"/>
  <c r="J41" i="37"/>
  <c r="G41" i="37"/>
  <c r="C41" i="37"/>
  <c r="E41" i="37" s="1"/>
  <c r="K39" i="37"/>
  <c r="J39" i="37"/>
  <c r="L38" i="37"/>
  <c r="K38" i="37"/>
  <c r="J38" i="37"/>
  <c r="M38" i="37" s="1"/>
  <c r="M36" i="37"/>
  <c r="L36" i="37"/>
  <c r="K36" i="37"/>
  <c r="J36" i="37"/>
  <c r="K35" i="37"/>
  <c r="J35" i="37"/>
  <c r="K34" i="37"/>
  <c r="L34" i="37" s="1"/>
  <c r="J34" i="37"/>
  <c r="L33" i="37"/>
  <c r="K33" i="37"/>
  <c r="M33" i="37" s="1"/>
  <c r="O33" i="37" s="1"/>
  <c r="J33" i="37"/>
  <c r="C33" i="37"/>
  <c r="E33" i="37" s="1"/>
  <c r="G33" i="37" s="1"/>
  <c r="M31" i="37"/>
  <c r="L31" i="37"/>
  <c r="K31" i="37"/>
  <c r="J31" i="37"/>
  <c r="L30" i="37"/>
  <c r="K30" i="37"/>
  <c r="M30" i="37" s="1"/>
  <c r="J30" i="37"/>
  <c r="L29" i="37"/>
  <c r="K29" i="37"/>
  <c r="J29" i="37"/>
  <c r="M29" i="37" s="1"/>
  <c r="M28" i="37"/>
  <c r="L28" i="37"/>
  <c r="K28" i="37"/>
  <c r="J28" i="37"/>
  <c r="M27" i="37"/>
  <c r="L27" i="37"/>
  <c r="K27" i="37"/>
  <c r="J27" i="37"/>
  <c r="G27" i="37"/>
  <c r="L26" i="37"/>
  <c r="K26" i="37"/>
  <c r="J26" i="37"/>
  <c r="M26" i="37" s="1"/>
  <c r="G26" i="37"/>
  <c r="M25" i="37"/>
  <c r="L25" i="37"/>
  <c r="K25" i="37"/>
  <c r="J25" i="37"/>
  <c r="G25" i="37"/>
  <c r="M24" i="37"/>
  <c r="L24" i="37"/>
  <c r="K24" i="37"/>
  <c r="J24" i="37"/>
  <c r="C24" i="37"/>
  <c r="K22" i="37"/>
  <c r="J22" i="37"/>
  <c r="M21" i="37"/>
  <c r="L21" i="37"/>
  <c r="K21" i="37"/>
  <c r="J21" i="37"/>
  <c r="K20" i="37"/>
  <c r="M20" i="37" s="1"/>
  <c r="J20" i="37"/>
  <c r="M19" i="37"/>
  <c r="L19" i="37"/>
  <c r="K19" i="37"/>
  <c r="J19" i="37"/>
  <c r="K17" i="37"/>
  <c r="J17" i="37"/>
  <c r="K16" i="37"/>
  <c r="M16" i="37" s="1"/>
  <c r="J16" i="37"/>
  <c r="M15" i="37"/>
  <c r="K15" i="37"/>
  <c r="L15" i="37" s="1"/>
  <c r="J15" i="37"/>
  <c r="X14" i="37"/>
  <c r="W14" i="37"/>
  <c r="Y13" i="37" s="1"/>
  <c r="M14" i="37"/>
  <c r="L14" i="37"/>
  <c r="K14" i="37"/>
  <c r="J14" i="37"/>
  <c r="X13" i="37"/>
  <c r="W13" i="37"/>
  <c r="K13" i="37"/>
  <c r="L13" i="37" s="1"/>
  <c r="J13" i="37"/>
  <c r="W12" i="37"/>
  <c r="K12" i="37"/>
  <c r="L12" i="37" s="1"/>
  <c r="J12" i="37"/>
  <c r="W11" i="37"/>
  <c r="X12" i="37" s="1"/>
  <c r="M11" i="37"/>
  <c r="L11" i="37"/>
  <c r="K11" i="37"/>
  <c r="J11" i="37"/>
  <c r="M5" i="37"/>
  <c r="C35" i="37" s="1"/>
  <c r="E35" i="37" s="1"/>
  <c r="G35" i="37" s="1"/>
  <c r="E145" i="33"/>
  <c r="E124" i="33"/>
  <c r="M101" i="33"/>
  <c r="K101" i="33"/>
  <c r="L101" i="33" s="1"/>
  <c r="J101" i="33"/>
  <c r="M100" i="33"/>
  <c r="K100" i="33"/>
  <c r="L100" i="33" s="1"/>
  <c r="J100" i="33"/>
  <c r="M99" i="33"/>
  <c r="L99" i="33"/>
  <c r="K99" i="33"/>
  <c r="J99" i="33"/>
  <c r="M98" i="33"/>
  <c r="L98" i="33"/>
  <c r="K98" i="33"/>
  <c r="J98" i="33"/>
  <c r="C98" i="33"/>
  <c r="E98" i="33" s="1"/>
  <c r="G98" i="33" s="1"/>
  <c r="L96" i="33"/>
  <c r="K96" i="33"/>
  <c r="M96" i="33" s="1"/>
  <c r="J96" i="33"/>
  <c r="K95" i="33"/>
  <c r="L95" i="33" s="1"/>
  <c r="J95" i="33"/>
  <c r="M95" i="33" s="1"/>
  <c r="K94" i="33"/>
  <c r="M94" i="33" s="1"/>
  <c r="J94" i="33"/>
  <c r="K91" i="33"/>
  <c r="L91" i="33" s="1"/>
  <c r="M91" i="33" s="1"/>
  <c r="J91" i="33"/>
  <c r="K90" i="33"/>
  <c r="M90" i="33" s="1"/>
  <c r="J90" i="33"/>
  <c r="K89" i="33"/>
  <c r="M89" i="33" s="1"/>
  <c r="J89" i="33"/>
  <c r="M88" i="33"/>
  <c r="L88" i="33"/>
  <c r="K88" i="33"/>
  <c r="J88" i="33"/>
  <c r="L87" i="33"/>
  <c r="K87" i="33"/>
  <c r="J87" i="33"/>
  <c r="M87" i="33" s="1"/>
  <c r="K85" i="33"/>
  <c r="M85" i="33" s="1"/>
  <c r="J85" i="33"/>
  <c r="L84" i="33"/>
  <c r="K84" i="33"/>
  <c r="J84" i="33"/>
  <c r="M84" i="33" s="1"/>
  <c r="K83" i="33"/>
  <c r="M83" i="33" s="1"/>
  <c r="J83" i="33"/>
  <c r="C83" i="33"/>
  <c r="M82" i="33"/>
  <c r="K82" i="33"/>
  <c r="L82" i="33" s="1"/>
  <c r="J82" i="33"/>
  <c r="M81" i="33"/>
  <c r="K81" i="33"/>
  <c r="L81" i="33" s="1"/>
  <c r="J81" i="33"/>
  <c r="C81" i="33"/>
  <c r="E84" i="33" s="1"/>
  <c r="G84" i="33" s="1"/>
  <c r="M78" i="33"/>
  <c r="K78" i="33"/>
  <c r="L78" i="33" s="1"/>
  <c r="J78" i="33"/>
  <c r="C78" i="33"/>
  <c r="E78" i="33" s="1"/>
  <c r="G78" i="33" s="1"/>
  <c r="M75" i="33"/>
  <c r="K75" i="33"/>
  <c r="L75" i="33" s="1"/>
  <c r="J75" i="33"/>
  <c r="C75" i="33"/>
  <c r="E75" i="33" s="1"/>
  <c r="G75" i="33" s="1"/>
  <c r="M73" i="33"/>
  <c r="L73" i="33"/>
  <c r="K73" i="33"/>
  <c r="J73" i="33"/>
  <c r="M71" i="33"/>
  <c r="L71" i="33"/>
  <c r="K71" i="33"/>
  <c r="J71" i="33"/>
  <c r="M68" i="33"/>
  <c r="L68" i="33"/>
  <c r="K68" i="33"/>
  <c r="J68" i="33"/>
  <c r="K66" i="33"/>
  <c r="M66" i="33" s="1"/>
  <c r="J66" i="33"/>
  <c r="K65" i="33"/>
  <c r="M65" i="33" s="1"/>
  <c r="J65" i="33"/>
  <c r="M64" i="33"/>
  <c r="L64" i="33"/>
  <c r="K64" i="33"/>
  <c r="J64" i="33"/>
  <c r="M63" i="33"/>
  <c r="K63" i="33"/>
  <c r="L63" i="33" s="1"/>
  <c r="J63" i="33"/>
  <c r="M62" i="33"/>
  <c r="L62" i="33"/>
  <c r="K62" i="33"/>
  <c r="J62" i="33"/>
  <c r="M61" i="33"/>
  <c r="K61" i="33"/>
  <c r="L61" i="33" s="1"/>
  <c r="J61" i="33"/>
  <c r="K58" i="33"/>
  <c r="M58" i="33" s="1"/>
  <c r="J58" i="33"/>
  <c r="L57" i="33"/>
  <c r="K57" i="33"/>
  <c r="M57" i="33" s="1"/>
  <c r="J57" i="33"/>
  <c r="K56" i="33"/>
  <c r="L56" i="33" s="1"/>
  <c r="J56" i="33"/>
  <c r="M56" i="33" s="1"/>
  <c r="K55" i="33"/>
  <c r="M55" i="33" s="1"/>
  <c r="J55" i="33"/>
  <c r="K54" i="33"/>
  <c r="L54" i="33" s="1"/>
  <c r="J54" i="33"/>
  <c r="M54" i="33" s="1"/>
  <c r="K53" i="33"/>
  <c r="M53" i="33" s="1"/>
  <c r="J53" i="33"/>
  <c r="C53" i="33"/>
  <c r="E56" i="33" s="1"/>
  <c r="G56" i="33" s="1"/>
  <c r="L51" i="33"/>
  <c r="K51" i="33"/>
  <c r="M51" i="33" s="1"/>
  <c r="J51" i="33"/>
  <c r="K49" i="33"/>
  <c r="L49" i="33" s="1"/>
  <c r="J49" i="33"/>
  <c r="M49" i="33" s="1"/>
  <c r="K48" i="33"/>
  <c r="M48" i="33" s="1"/>
  <c r="J48" i="33"/>
  <c r="C48" i="33"/>
  <c r="E49" i="33" s="1"/>
  <c r="G49" i="33" s="1"/>
  <c r="M45" i="33"/>
  <c r="L45" i="33"/>
  <c r="K45" i="33"/>
  <c r="J45" i="33"/>
  <c r="M44" i="33"/>
  <c r="L44" i="33"/>
  <c r="K44" i="33"/>
  <c r="J44" i="33"/>
  <c r="K42" i="33"/>
  <c r="M42" i="33" s="1"/>
  <c r="J42" i="33"/>
  <c r="K41" i="33"/>
  <c r="M41" i="33" s="1"/>
  <c r="J41" i="33"/>
  <c r="K39" i="33"/>
  <c r="L39" i="33" s="1"/>
  <c r="J39" i="33"/>
  <c r="M39" i="33" s="1"/>
  <c r="K38" i="33"/>
  <c r="M38" i="33" s="1"/>
  <c r="J38" i="33"/>
  <c r="K36" i="33"/>
  <c r="M36" i="33" s="1"/>
  <c r="J36" i="33"/>
  <c r="K35" i="33"/>
  <c r="L35" i="33" s="1"/>
  <c r="J35" i="33"/>
  <c r="M35" i="33" s="1"/>
  <c r="M34" i="33"/>
  <c r="L34" i="33"/>
  <c r="K34" i="33"/>
  <c r="J34" i="33"/>
  <c r="M33" i="33"/>
  <c r="L33" i="33"/>
  <c r="K33" i="33"/>
  <c r="J33" i="33"/>
  <c r="K31" i="33"/>
  <c r="M31" i="33" s="1"/>
  <c r="J31" i="33"/>
  <c r="K30" i="33"/>
  <c r="L30" i="33" s="1"/>
  <c r="J30" i="33"/>
  <c r="M30" i="33" s="1"/>
  <c r="K29" i="33"/>
  <c r="M29" i="33" s="1"/>
  <c r="J29" i="33"/>
  <c r="K28" i="33"/>
  <c r="M28" i="33" s="1"/>
  <c r="J28" i="33"/>
  <c r="K27" i="33"/>
  <c r="L27" i="33" s="1"/>
  <c r="J27" i="33"/>
  <c r="M27" i="33" s="1"/>
  <c r="G27" i="33"/>
  <c r="K26" i="33"/>
  <c r="M26" i="33" s="1"/>
  <c r="J26" i="33"/>
  <c r="G26" i="33"/>
  <c r="K25" i="33"/>
  <c r="M25" i="33" s="1"/>
  <c r="J25" i="33"/>
  <c r="G25" i="33"/>
  <c r="K24" i="33"/>
  <c r="M24" i="33" s="1"/>
  <c r="J24" i="33"/>
  <c r="K22" i="33"/>
  <c r="L22" i="33" s="1"/>
  <c r="J22" i="33"/>
  <c r="M22" i="33" s="1"/>
  <c r="K21" i="33"/>
  <c r="M21" i="33" s="1"/>
  <c r="J21" i="33"/>
  <c r="K20" i="33"/>
  <c r="L20" i="33" s="1"/>
  <c r="J20" i="33"/>
  <c r="M20" i="33" s="1"/>
  <c r="K19" i="33"/>
  <c r="M19" i="33" s="1"/>
  <c r="J19" i="33"/>
  <c r="C19" i="33"/>
  <c r="E22" i="33" s="1"/>
  <c r="G22" i="33" s="1"/>
  <c r="M17" i="33"/>
  <c r="L17" i="33"/>
  <c r="K17" i="33"/>
  <c r="J17" i="33"/>
  <c r="K16" i="33"/>
  <c r="L16" i="33" s="1"/>
  <c r="J16" i="33"/>
  <c r="M16" i="33" s="1"/>
  <c r="K15" i="33"/>
  <c r="L15" i="33" s="1"/>
  <c r="J15" i="33"/>
  <c r="M15" i="33" s="1"/>
  <c r="X14" i="33"/>
  <c r="Y14" i="33" s="1"/>
  <c r="W14" i="33"/>
  <c r="K14" i="33"/>
  <c r="L14" i="33" s="1"/>
  <c r="J14" i="33"/>
  <c r="E14" i="33"/>
  <c r="G14" i="33" s="1"/>
  <c r="Y13" i="33"/>
  <c r="W13" i="33"/>
  <c r="K13" i="33"/>
  <c r="L13" i="33" s="1"/>
  <c r="J13" i="33"/>
  <c r="M13" i="33" s="1"/>
  <c r="C13" i="33"/>
  <c r="E13" i="33" s="1"/>
  <c r="G13" i="33" s="1"/>
  <c r="W12" i="33"/>
  <c r="M12" i="33"/>
  <c r="L12" i="33"/>
  <c r="K12" i="33"/>
  <c r="J12" i="33"/>
  <c r="W11" i="33"/>
  <c r="X13" i="33" s="1"/>
  <c r="K11" i="33"/>
  <c r="M11" i="33" s="1"/>
  <c r="J11" i="33"/>
  <c r="C11" i="33"/>
  <c r="E12" i="33" s="1"/>
  <c r="G12" i="33" s="1"/>
  <c r="M5" i="33"/>
  <c r="C94" i="33" s="1"/>
  <c r="J29" i="45" l="1"/>
  <c r="J16" i="45"/>
  <c r="J12" i="45"/>
  <c r="J15" i="45"/>
  <c r="M15" i="45" s="1"/>
  <c r="F16" i="19" s="1"/>
  <c r="M100" i="45"/>
  <c r="F101" i="19" s="1"/>
  <c r="J64" i="45"/>
  <c r="J14" i="45"/>
  <c r="M14" i="45" s="1"/>
  <c r="F15" i="19" s="1"/>
  <c r="J17" i="45"/>
  <c r="J21" i="45"/>
  <c r="M21" i="45" s="1"/>
  <c r="F22" i="19" s="1"/>
  <c r="J34" i="45"/>
  <c r="J49" i="45"/>
  <c r="J57" i="45"/>
  <c r="J85" i="45"/>
  <c r="J94" i="45"/>
  <c r="K100" i="45"/>
  <c r="L100" i="45" s="1"/>
  <c r="J35" i="45"/>
  <c r="J51" i="45"/>
  <c r="M51" i="45" s="1"/>
  <c r="F52" i="19" s="1"/>
  <c r="M82" i="45"/>
  <c r="J87" i="45"/>
  <c r="J65" i="45"/>
  <c r="J100" i="45"/>
  <c r="M33" i="45"/>
  <c r="J36" i="45"/>
  <c r="M36" i="45" s="1"/>
  <c r="O36" i="45" s="1"/>
  <c r="P36" i="45" s="1"/>
  <c r="J41" i="45"/>
  <c r="M41" i="45" s="1"/>
  <c r="F42" i="19" s="1"/>
  <c r="J88" i="45"/>
  <c r="M35" i="45"/>
  <c r="J82" i="45"/>
  <c r="J95" i="45"/>
  <c r="K88" i="45"/>
  <c r="L88" i="45" s="1"/>
  <c r="K95" i="45"/>
  <c r="L95" i="45" s="1"/>
  <c r="K85" i="45"/>
  <c r="L85" i="45" s="1"/>
  <c r="J20" i="45"/>
  <c r="M20" i="45" s="1"/>
  <c r="F21" i="19" s="1"/>
  <c r="J22" i="45"/>
  <c r="M22" i="45" s="1"/>
  <c r="K11" i="45"/>
  <c r="M11" i="45" s="1"/>
  <c r="F12" i="19" s="1"/>
  <c r="J25" i="45"/>
  <c r="J30" i="45"/>
  <c r="J84" i="45"/>
  <c r="L15" i="45"/>
  <c r="K25" i="45"/>
  <c r="L25" i="45" s="1"/>
  <c r="K30" i="45"/>
  <c r="L87" i="45"/>
  <c r="E96" i="45"/>
  <c r="G96" i="45" s="1"/>
  <c r="E95" i="45"/>
  <c r="G95" i="45" s="1"/>
  <c r="E94" i="45"/>
  <c r="G94" i="45" s="1"/>
  <c r="M12" i="45"/>
  <c r="F13" i="19" s="1"/>
  <c r="M26" i="45"/>
  <c r="F27" i="19" s="1"/>
  <c r="L36" i="45"/>
  <c r="O44" i="45"/>
  <c r="N44" i="45"/>
  <c r="N43" i="45" s="1"/>
  <c r="L19" i="45"/>
  <c r="O73" i="45"/>
  <c r="N73" i="45"/>
  <c r="N72" i="45" s="1"/>
  <c r="O38" i="45"/>
  <c r="N38" i="45"/>
  <c r="N37" i="45" s="1"/>
  <c r="L34" i="45"/>
  <c r="M34" i="45"/>
  <c r="O34" i="45" s="1"/>
  <c r="P34" i="45" s="1"/>
  <c r="M87" i="45"/>
  <c r="C11" i="45"/>
  <c r="E13" i="45"/>
  <c r="G13" i="45" s="1"/>
  <c r="K17" i="45"/>
  <c r="L20" i="45"/>
  <c r="L21" i="45"/>
  <c r="L22" i="45"/>
  <c r="J27" i="45"/>
  <c r="J28" i="45"/>
  <c r="K29" i="45"/>
  <c r="M29" i="45" s="1"/>
  <c r="F30" i="19" s="1"/>
  <c r="J33" i="45"/>
  <c r="L41" i="45"/>
  <c r="L51" i="45"/>
  <c r="C53" i="45"/>
  <c r="C71" i="45"/>
  <c r="E71" i="45" s="1"/>
  <c r="G71" i="45" s="1"/>
  <c r="C15" i="45"/>
  <c r="E15" i="45" s="1"/>
  <c r="K16" i="45"/>
  <c r="M16" i="45" s="1"/>
  <c r="K27" i="45"/>
  <c r="L27" i="45" s="1"/>
  <c r="K28" i="45"/>
  <c r="K35" i="45"/>
  <c r="L35" i="45" s="1"/>
  <c r="C41" i="45"/>
  <c r="C51" i="45"/>
  <c r="E51" i="45" s="1"/>
  <c r="G51" i="45" s="1"/>
  <c r="C61" i="45"/>
  <c r="C100" i="45"/>
  <c r="E100" i="45" s="1"/>
  <c r="E20" i="45"/>
  <c r="G20" i="45" s="1"/>
  <c r="E21" i="45"/>
  <c r="G21" i="45" s="1"/>
  <c r="L12" i="45"/>
  <c r="J19" i="45"/>
  <c r="M19" i="45" s="1"/>
  <c r="L26" i="45"/>
  <c r="C33" i="45"/>
  <c r="E33" i="45" s="1"/>
  <c r="G33" i="45" s="1"/>
  <c r="C35" i="45"/>
  <c r="E35" i="45" s="1"/>
  <c r="G35" i="45" s="1"/>
  <c r="L38" i="45"/>
  <c r="K49" i="45"/>
  <c r="M49" i="45" s="1"/>
  <c r="K56" i="45"/>
  <c r="M56" i="45" s="1"/>
  <c r="F57" i="19" s="1"/>
  <c r="K57" i="45"/>
  <c r="M57" i="45" s="1"/>
  <c r="F58" i="19" s="1"/>
  <c r="K65" i="45"/>
  <c r="L65" i="45" s="1"/>
  <c r="M65" i="45" s="1"/>
  <c r="F66" i="19" s="1"/>
  <c r="J68" i="45"/>
  <c r="C75" i="45"/>
  <c r="E75" i="45" s="1"/>
  <c r="G75" i="45" s="1"/>
  <c r="C78" i="45"/>
  <c r="E78" i="45" s="1"/>
  <c r="G78" i="45" s="1"/>
  <c r="C81" i="45"/>
  <c r="K82" i="45"/>
  <c r="L82" i="45" s="1"/>
  <c r="J83" i="45"/>
  <c r="L89" i="45"/>
  <c r="C98" i="45"/>
  <c r="E98" i="45" s="1"/>
  <c r="G98" i="45" s="1"/>
  <c r="K99" i="45"/>
  <c r="M99" i="45" s="1"/>
  <c r="F100" i="19" s="1"/>
  <c r="J13" i="45"/>
  <c r="M13" i="45" s="1"/>
  <c r="X13" i="45"/>
  <c r="L14" i="45"/>
  <c r="L39" i="45"/>
  <c r="C48" i="45"/>
  <c r="K64" i="45"/>
  <c r="L64" i="45" s="1"/>
  <c r="M64" i="45" s="1"/>
  <c r="K68" i="45"/>
  <c r="L68" i="45" s="1"/>
  <c r="K83" i="45"/>
  <c r="L83" i="45" s="1"/>
  <c r="C87" i="45"/>
  <c r="K94" i="45"/>
  <c r="L94" i="45" s="1"/>
  <c r="M94" i="45" s="1"/>
  <c r="F95" i="19" s="1"/>
  <c r="W12" i="45"/>
  <c r="X14" i="45" s="1"/>
  <c r="Y14" i="45" s="1"/>
  <c r="C24" i="45"/>
  <c r="C99" i="45"/>
  <c r="E99" i="45" s="1"/>
  <c r="G99" i="45" s="1"/>
  <c r="C83" i="45"/>
  <c r="G11" i="44"/>
  <c r="N78" i="44"/>
  <c r="N77" i="44" s="1"/>
  <c r="N76" i="44" s="1"/>
  <c r="O78" i="44"/>
  <c r="N75" i="44"/>
  <c r="N74" i="44" s="1"/>
  <c r="O75" i="44"/>
  <c r="E96" i="44"/>
  <c r="G96" i="44" s="1"/>
  <c r="E94" i="44"/>
  <c r="G94" i="44" s="1"/>
  <c r="E95" i="44"/>
  <c r="G95" i="44" s="1"/>
  <c r="N98" i="44"/>
  <c r="O98" i="44"/>
  <c r="L29" i="44"/>
  <c r="C33" i="44"/>
  <c r="E33" i="44" s="1"/>
  <c r="G33" i="44" s="1"/>
  <c r="E53" i="44"/>
  <c r="G53" i="44" s="1"/>
  <c r="E83" i="44"/>
  <c r="G83" i="44" s="1"/>
  <c r="E20" i="44"/>
  <c r="G20" i="44" s="1"/>
  <c r="L22" i="44"/>
  <c r="M26" i="44"/>
  <c r="L35" i="44"/>
  <c r="M38" i="44"/>
  <c r="L39" i="44"/>
  <c r="C44" i="44"/>
  <c r="E49" i="44"/>
  <c r="G49" i="44" s="1"/>
  <c r="N48" i="44" s="1"/>
  <c r="N47" i="44" s="1"/>
  <c r="E54" i="44"/>
  <c r="G54" i="44" s="1"/>
  <c r="L56" i="44"/>
  <c r="M66" i="44"/>
  <c r="E82" i="44"/>
  <c r="G82" i="44" s="1"/>
  <c r="E84" i="44"/>
  <c r="G84" i="44" s="1"/>
  <c r="C99" i="44"/>
  <c r="E99" i="44" s="1"/>
  <c r="G99" i="44" s="1"/>
  <c r="E81" i="44"/>
  <c r="G81" i="44" s="1"/>
  <c r="C87" i="44"/>
  <c r="E12" i="44"/>
  <c r="G12" i="44" s="1"/>
  <c r="C13" i="44"/>
  <c r="L17" i="44"/>
  <c r="C34" i="44"/>
  <c r="E34" i="44" s="1"/>
  <c r="G34" i="44" s="1"/>
  <c r="C51" i="44"/>
  <c r="E51" i="44" s="1"/>
  <c r="G51" i="44" s="1"/>
  <c r="L71" i="44"/>
  <c r="C73" i="44"/>
  <c r="E73" i="44" s="1"/>
  <c r="G73" i="44" s="1"/>
  <c r="L96" i="44"/>
  <c r="E19" i="44"/>
  <c r="G19" i="44" s="1"/>
  <c r="C38" i="44"/>
  <c r="E57" i="44"/>
  <c r="L85" i="44"/>
  <c r="L89" i="44"/>
  <c r="L94" i="44"/>
  <c r="C100" i="44"/>
  <c r="E100" i="44" s="1"/>
  <c r="E21" i="44"/>
  <c r="G21" i="44" s="1"/>
  <c r="C15" i="44"/>
  <c r="E15" i="44" s="1"/>
  <c r="C35" i="44"/>
  <c r="E35" i="44" s="1"/>
  <c r="G35" i="44" s="1"/>
  <c r="C61" i="44"/>
  <c r="E55" i="44"/>
  <c r="G55" i="44" s="1"/>
  <c r="C68" i="44"/>
  <c r="E68" i="44" s="1"/>
  <c r="G68" i="44" s="1"/>
  <c r="C71" i="44"/>
  <c r="E71" i="44" s="1"/>
  <c r="G71" i="44" s="1"/>
  <c r="C24" i="44"/>
  <c r="C36" i="44"/>
  <c r="E36" i="44" s="1"/>
  <c r="G36" i="44" s="1"/>
  <c r="C41" i="44"/>
  <c r="E96" i="41"/>
  <c r="G96" i="41" s="1"/>
  <c r="E95" i="41"/>
  <c r="G95" i="41" s="1"/>
  <c r="E94" i="41"/>
  <c r="G94" i="41" s="1"/>
  <c r="C15" i="41"/>
  <c r="E15" i="41" s="1"/>
  <c r="C11" i="41"/>
  <c r="M12" i="41"/>
  <c r="Y14" i="41"/>
  <c r="C19" i="41"/>
  <c r="C48" i="41"/>
  <c r="C53" i="41"/>
  <c r="M64" i="41"/>
  <c r="C75" i="41"/>
  <c r="E75" i="41" s="1"/>
  <c r="G75" i="41" s="1"/>
  <c r="C78" i="41"/>
  <c r="E78" i="41" s="1"/>
  <c r="G78" i="41" s="1"/>
  <c r="C81" i="41"/>
  <c r="C83" i="41"/>
  <c r="C98" i="41"/>
  <c r="E98" i="41" s="1"/>
  <c r="G98" i="41" s="1"/>
  <c r="M99" i="41"/>
  <c r="C33" i="41"/>
  <c r="E33" i="41" s="1"/>
  <c r="G33" i="41" s="1"/>
  <c r="C87" i="41"/>
  <c r="L35" i="41"/>
  <c r="L39" i="41"/>
  <c r="C44" i="41"/>
  <c r="L56" i="41"/>
  <c r="C99" i="41"/>
  <c r="E99" i="41" s="1"/>
  <c r="G99" i="41" s="1"/>
  <c r="X12" i="41"/>
  <c r="C13" i="41"/>
  <c r="L17" i="41"/>
  <c r="M22" i="41"/>
  <c r="C34" i="41"/>
  <c r="E34" i="41" s="1"/>
  <c r="G34" i="41" s="1"/>
  <c r="C51" i="41"/>
  <c r="E51" i="41" s="1"/>
  <c r="G51" i="41" s="1"/>
  <c r="C73" i="41"/>
  <c r="E73" i="41" s="1"/>
  <c r="G73" i="41" s="1"/>
  <c r="L96" i="41"/>
  <c r="L21" i="41"/>
  <c r="L24" i="41"/>
  <c r="L25" i="41"/>
  <c r="L28" i="41"/>
  <c r="L36" i="41"/>
  <c r="C38" i="41"/>
  <c r="L41" i="41"/>
  <c r="L55" i="41"/>
  <c r="L65" i="41"/>
  <c r="L94" i="41"/>
  <c r="C100" i="41"/>
  <c r="E100" i="41" s="1"/>
  <c r="C35" i="41"/>
  <c r="E35" i="41" s="1"/>
  <c r="G35" i="41" s="1"/>
  <c r="C61" i="41"/>
  <c r="C68" i="41"/>
  <c r="E68" i="41" s="1"/>
  <c r="G68" i="41" s="1"/>
  <c r="C71" i="41"/>
  <c r="E71" i="41" s="1"/>
  <c r="G71" i="41" s="1"/>
  <c r="Y13" i="41"/>
  <c r="C24" i="41"/>
  <c r="C36" i="41"/>
  <c r="E36" i="41" s="1"/>
  <c r="G36" i="41" s="1"/>
  <c r="C41" i="41"/>
  <c r="N78" i="39"/>
  <c r="N77" i="39" s="1"/>
  <c r="N76" i="39" s="1"/>
  <c r="O78" i="39"/>
  <c r="E96" i="39"/>
  <c r="G96" i="39" s="1"/>
  <c r="E95" i="39"/>
  <c r="G95" i="39" s="1"/>
  <c r="E94" i="39"/>
  <c r="G94" i="39" s="1"/>
  <c r="N75" i="39"/>
  <c r="N74" i="39" s="1"/>
  <c r="O75" i="39"/>
  <c r="O36" i="39"/>
  <c r="P36" i="39" s="1"/>
  <c r="N36" i="39"/>
  <c r="O13" i="39"/>
  <c r="P13" i="39" s="1"/>
  <c r="N13" i="39"/>
  <c r="O41" i="39"/>
  <c r="N41" i="39"/>
  <c r="N40" i="39" s="1"/>
  <c r="N98" i="39"/>
  <c r="O98" i="39"/>
  <c r="E11" i="39"/>
  <c r="W12" i="39"/>
  <c r="X14" i="39" s="1"/>
  <c r="Y14" i="39" s="1"/>
  <c r="C15" i="39"/>
  <c r="E15" i="39" s="1"/>
  <c r="E19" i="39"/>
  <c r="G19" i="39" s="1"/>
  <c r="L26" i="39"/>
  <c r="G28" i="39"/>
  <c r="O24" i="39" s="1"/>
  <c r="L29" i="39"/>
  <c r="C33" i="39"/>
  <c r="E33" i="39" s="1"/>
  <c r="G33" i="39" s="1"/>
  <c r="L38" i="39"/>
  <c r="E48" i="39"/>
  <c r="G48" i="39" s="1"/>
  <c r="E53" i="39"/>
  <c r="G53" i="39" s="1"/>
  <c r="L66" i="39"/>
  <c r="E81" i="39"/>
  <c r="G81" i="39" s="1"/>
  <c r="E83" i="39"/>
  <c r="G83" i="39" s="1"/>
  <c r="C87" i="39"/>
  <c r="E55" i="39"/>
  <c r="G55" i="39" s="1"/>
  <c r="E85" i="39"/>
  <c r="G85" i="39" s="1"/>
  <c r="X12" i="39"/>
  <c r="E20" i="39"/>
  <c r="G20" i="39" s="1"/>
  <c r="C44" i="39"/>
  <c r="E54" i="39"/>
  <c r="G54" i="39" s="1"/>
  <c r="E82" i="39"/>
  <c r="G82" i="39" s="1"/>
  <c r="C99" i="39"/>
  <c r="E99" i="39" s="1"/>
  <c r="G99" i="39" s="1"/>
  <c r="E12" i="39"/>
  <c r="G12" i="39" s="1"/>
  <c r="G30" i="39"/>
  <c r="C34" i="39"/>
  <c r="E34" i="39" s="1"/>
  <c r="G34" i="39" s="1"/>
  <c r="C51" i="39"/>
  <c r="E51" i="39" s="1"/>
  <c r="G51" i="39" s="1"/>
  <c r="C73" i="39"/>
  <c r="E73" i="39" s="1"/>
  <c r="G73" i="39" s="1"/>
  <c r="L96" i="39"/>
  <c r="C38" i="39"/>
  <c r="E57" i="39"/>
  <c r="L89" i="39"/>
  <c r="L94" i="39"/>
  <c r="C100" i="39"/>
  <c r="E100" i="39" s="1"/>
  <c r="E21" i="39"/>
  <c r="G21" i="39" s="1"/>
  <c r="L11" i="39"/>
  <c r="C35" i="39"/>
  <c r="E35" i="39" s="1"/>
  <c r="G35" i="39" s="1"/>
  <c r="L42" i="39"/>
  <c r="L48" i="39"/>
  <c r="L53" i="39"/>
  <c r="L58" i="39"/>
  <c r="C61" i="39"/>
  <c r="L75" i="39"/>
  <c r="L83" i="39"/>
  <c r="C68" i="39"/>
  <c r="E68" i="39" s="1"/>
  <c r="G68" i="39" s="1"/>
  <c r="C71" i="39"/>
  <c r="E71" i="39" s="1"/>
  <c r="G71" i="39" s="1"/>
  <c r="P33" i="37"/>
  <c r="E64" i="37"/>
  <c r="E62" i="37"/>
  <c r="G62" i="37" s="1"/>
  <c r="M64" i="37"/>
  <c r="L64" i="37"/>
  <c r="L87" i="37"/>
  <c r="M87" i="37"/>
  <c r="C15" i="37"/>
  <c r="E15" i="37" s="1"/>
  <c r="L16" i="37"/>
  <c r="L20" i="37"/>
  <c r="M34" i="37"/>
  <c r="C36" i="37"/>
  <c r="E36" i="37" s="1"/>
  <c r="G36" i="37" s="1"/>
  <c r="E61" i="37"/>
  <c r="G61" i="37" s="1"/>
  <c r="E63" i="37"/>
  <c r="G63" i="37" s="1"/>
  <c r="N33" i="37"/>
  <c r="M51" i="37"/>
  <c r="M61" i="37"/>
  <c r="M12" i="37"/>
  <c r="C100" i="37"/>
  <c r="E100" i="37" s="1"/>
  <c r="C38" i="37"/>
  <c r="C44" i="37"/>
  <c r="C73" i="37"/>
  <c r="E73" i="37" s="1"/>
  <c r="G73" i="37" s="1"/>
  <c r="C51" i="37"/>
  <c r="E51" i="37" s="1"/>
  <c r="G51" i="37" s="1"/>
  <c r="C34" i="37"/>
  <c r="E34" i="37" s="1"/>
  <c r="G34" i="37" s="1"/>
  <c r="C13" i="37"/>
  <c r="C99" i="37"/>
  <c r="E99" i="37" s="1"/>
  <c r="G99" i="37" s="1"/>
  <c r="C98" i="37"/>
  <c r="E98" i="37" s="1"/>
  <c r="G98" i="37" s="1"/>
  <c r="C83" i="37"/>
  <c r="C81" i="37"/>
  <c r="C78" i="37"/>
  <c r="E78" i="37" s="1"/>
  <c r="G78" i="37" s="1"/>
  <c r="C75" i="37"/>
  <c r="E75" i="37" s="1"/>
  <c r="G75" i="37" s="1"/>
  <c r="C53" i="37"/>
  <c r="C48" i="37"/>
  <c r="C19" i="37"/>
  <c r="C11" i="37"/>
  <c r="C94" i="37"/>
  <c r="L39" i="37"/>
  <c r="M39" i="37"/>
  <c r="C68" i="37"/>
  <c r="E68" i="37" s="1"/>
  <c r="G68" i="37" s="1"/>
  <c r="C71" i="37"/>
  <c r="E71" i="37" s="1"/>
  <c r="G71" i="37" s="1"/>
  <c r="M88" i="37"/>
  <c r="M22" i="37"/>
  <c r="L22" i="37"/>
  <c r="M17" i="37"/>
  <c r="M13" i="37"/>
  <c r="E31" i="37"/>
  <c r="G31" i="37" s="1"/>
  <c r="E28" i="37"/>
  <c r="E24" i="37"/>
  <c r="G24" i="37" s="1"/>
  <c r="M35" i="37"/>
  <c r="N35" i="37" s="1"/>
  <c r="L35" i="37"/>
  <c r="E42" i="37"/>
  <c r="G42" i="37" s="1"/>
  <c r="N41" i="37" s="1"/>
  <c r="N40" i="37" s="1"/>
  <c r="M56" i="37"/>
  <c r="L56" i="37"/>
  <c r="C87" i="37"/>
  <c r="L88" i="37"/>
  <c r="Y14" i="37"/>
  <c r="L17" i="37"/>
  <c r="L71" i="37"/>
  <c r="L96" i="37"/>
  <c r="N78" i="33"/>
  <c r="N77" i="33" s="1"/>
  <c r="N76" i="33" s="1"/>
  <c r="O78" i="33"/>
  <c r="E96" i="33"/>
  <c r="G96" i="33" s="1"/>
  <c r="E94" i="33"/>
  <c r="G94" i="33" s="1"/>
  <c r="E95" i="33"/>
  <c r="G95" i="33" s="1"/>
  <c r="N75" i="33"/>
  <c r="N74" i="33" s="1"/>
  <c r="O75" i="33"/>
  <c r="O13" i="33"/>
  <c r="P13" i="33" s="1"/>
  <c r="N98" i="33"/>
  <c r="O98" i="33"/>
  <c r="E85" i="33"/>
  <c r="G85" i="33" s="1"/>
  <c r="C15" i="33"/>
  <c r="E15" i="33" s="1"/>
  <c r="E19" i="33"/>
  <c r="G19" i="33" s="1"/>
  <c r="L26" i="33"/>
  <c r="L29" i="33"/>
  <c r="C33" i="33"/>
  <c r="E33" i="33" s="1"/>
  <c r="G33" i="33" s="1"/>
  <c r="L38" i="33"/>
  <c r="E48" i="33"/>
  <c r="G48" i="33" s="1"/>
  <c r="E53" i="33"/>
  <c r="G53" i="33" s="1"/>
  <c r="L66" i="33"/>
  <c r="E81" i="33"/>
  <c r="G81" i="33" s="1"/>
  <c r="E83" i="33"/>
  <c r="G83" i="33" s="1"/>
  <c r="C87" i="33"/>
  <c r="L90" i="33"/>
  <c r="E11" i="33"/>
  <c r="X12" i="33"/>
  <c r="E20" i="33"/>
  <c r="G20" i="33" s="1"/>
  <c r="C44" i="33"/>
  <c r="E54" i="33"/>
  <c r="G54" i="33" s="1"/>
  <c r="E82" i="33"/>
  <c r="G82" i="33" s="1"/>
  <c r="C99" i="33"/>
  <c r="E99" i="33" s="1"/>
  <c r="G99" i="33" s="1"/>
  <c r="C34" i="33"/>
  <c r="E34" i="33" s="1"/>
  <c r="G34" i="33" s="1"/>
  <c r="C51" i="33"/>
  <c r="E51" i="33" s="1"/>
  <c r="G51" i="33" s="1"/>
  <c r="C73" i="33"/>
  <c r="E73" i="33" s="1"/>
  <c r="G73" i="33" s="1"/>
  <c r="L21" i="33"/>
  <c r="L24" i="33"/>
  <c r="L25" i="33"/>
  <c r="L28" i="33"/>
  <c r="L31" i="33"/>
  <c r="L36" i="33"/>
  <c r="C38" i="33"/>
  <c r="L41" i="33"/>
  <c r="L55" i="33"/>
  <c r="E57" i="33"/>
  <c r="L65" i="33"/>
  <c r="L85" i="33"/>
  <c r="L89" i="33"/>
  <c r="L94" i="33"/>
  <c r="C100" i="33"/>
  <c r="E100" i="33" s="1"/>
  <c r="E21" i="33"/>
  <c r="G21" i="33" s="1"/>
  <c r="L11" i="33"/>
  <c r="M14" i="33"/>
  <c r="N13" i="33" s="1"/>
  <c r="L19" i="33"/>
  <c r="C35" i="33"/>
  <c r="E35" i="33" s="1"/>
  <c r="G35" i="33" s="1"/>
  <c r="L42" i="33"/>
  <c r="L48" i="33"/>
  <c r="L53" i="33"/>
  <c r="L58" i="33"/>
  <c r="C61" i="33"/>
  <c r="L83" i="33"/>
  <c r="E55" i="33"/>
  <c r="G55" i="33" s="1"/>
  <c r="C68" i="33"/>
  <c r="E68" i="33" s="1"/>
  <c r="G68" i="33" s="1"/>
  <c r="C71" i="33"/>
  <c r="E71" i="33" s="1"/>
  <c r="G71" i="33" s="1"/>
  <c r="C24" i="33"/>
  <c r="C102" i="33" s="1"/>
  <c r="C36" i="33"/>
  <c r="E36" i="33" s="1"/>
  <c r="G36" i="33" s="1"/>
  <c r="C41" i="33"/>
  <c r="F102" i="19"/>
  <c r="F99" i="19"/>
  <c r="F97" i="19"/>
  <c r="F96" i="19"/>
  <c r="F92" i="19"/>
  <c r="F91" i="19"/>
  <c r="F90" i="19"/>
  <c r="F88" i="19"/>
  <c r="F85" i="19"/>
  <c r="F83" i="19"/>
  <c r="F82" i="19"/>
  <c r="F79" i="19"/>
  <c r="F76" i="19"/>
  <c r="F74" i="19"/>
  <c r="F72" i="19"/>
  <c r="F67" i="19"/>
  <c r="F64" i="19"/>
  <c r="F63" i="19"/>
  <c r="F62" i="19"/>
  <c r="F59" i="19"/>
  <c r="F56" i="19"/>
  <c r="F55" i="19"/>
  <c r="F54" i="19"/>
  <c r="F49" i="19"/>
  <c r="F46" i="19"/>
  <c r="F45" i="19"/>
  <c r="F43" i="19"/>
  <c r="F40" i="19"/>
  <c r="F39" i="19"/>
  <c r="F36" i="19"/>
  <c r="F35" i="19"/>
  <c r="F34" i="19"/>
  <c r="F32" i="19"/>
  <c r="F25" i="19"/>
  <c r="F17" i="19"/>
  <c r="F14" i="19"/>
  <c r="M85" i="45" l="1"/>
  <c r="F86" i="19" s="1"/>
  <c r="M30" i="45"/>
  <c r="F31" i="19" s="1"/>
  <c r="M17" i="45"/>
  <c r="F18" i="19" s="1"/>
  <c r="L99" i="45"/>
  <c r="L57" i="45"/>
  <c r="M88" i="45"/>
  <c r="F89" i="19" s="1"/>
  <c r="M68" i="45"/>
  <c r="O68" i="45" s="1"/>
  <c r="L49" i="45"/>
  <c r="F23" i="19"/>
  <c r="L11" i="45"/>
  <c r="N34" i="45"/>
  <c r="M25" i="45"/>
  <c r="F26" i="19" s="1"/>
  <c r="L30" i="45"/>
  <c r="O19" i="45"/>
  <c r="F20" i="19"/>
  <c r="N19" i="45"/>
  <c r="N18" i="45" s="1"/>
  <c r="O78" i="45"/>
  <c r="N78" i="45"/>
  <c r="N77" i="45" s="1"/>
  <c r="N76" i="45" s="1"/>
  <c r="G101" i="45"/>
  <c r="G100" i="45"/>
  <c r="N99" i="45"/>
  <c r="O99" i="45"/>
  <c r="P99" i="45" s="1"/>
  <c r="M83" i="45"/>
  <c r="F84" i="19" s="1"/>
  <c r="O75" i="45"/>
  <c r="N75" i="45"/>
  <c r="N74" i="45" s="1"/>
  <c r="O33" i="45"/>
  <c r="N33" i="45"/>
  <c r="E62" i="45"/>
  <c r="G62" i="45" s="1"/>
  <c r="E61" i="45"/>
  <c r="G61" i="45" s="1"/>
  <c r="E63" i="45"/>
  <c r="G63" i="45" s="1"/>
  <c r="E64" i="45"/>
  <c r="O71" i="45"/>
  <c r="N71" i="45"/>
  <c r="N70" i="45" s="1"/>
  <c r="N69" i="45" s="1"/>
  <c r="E87" i="45"/>
  <c r="G87" i="45" s="1"/>
  <c r="E91" i="45"/>
  <c r="G91" i="45" s="1"/>
  <c r="E88" i="45"/>
  <c r="O35" i="45"/>
  <c r="P35" i="45" s="1"/>
  <c r="N35" i="45"/>
  <c r="G16" i="45"/>
  <c r="G17" i="45"/>
  <c r="G15" i="45"/>
  <c r="L16" i="45"/>
  <c r="F37" i="19"/>
  <c r="O51" i="45"/>
  <c r="N51" i="45"/>
  <c r="N50" i="45" s="1"/>
  <c r="E57" i="45"/>
  <c r="E56" i="45"/>
  <c r="G56" i="45" s="1"/>
  <c r="E54" i="45"/>
  <c r="G54" i="45" s="1"/>
  <c r="E53" i="45"/>
  <c r="G53" i="45" s="1"/>
  <c r="E55" i="45"/>
  <c r="G55" i="45" s="1"/>
  <c r="L17" i="45"/>
  <c r="N94" i="45"/>
  <c r="N93" i="45" s="1"/>
  <c r="O94" i="45"/>
  <c r="O37" i="45"/>
  <c r="P37" i="45" s="1"/>
  <c r="P38" i="45"/>
  <c r="O98" i="45"/>
  <c r="N98" i="45"/>
  <c r="E42" i="45"/>
  <c r="G42" i="45" s="1"/>
  <c r="E41" i="45"/>
  <c r="G41" i="45" s="1"/>
  <c r="E24" i="45"/>
  <c r="G24" i="45" s="1"/>
  <c r="E28" i="45"/>
  <c r="E31" i="45"/>
  <c r="G31" i="45" s="1"/>
  <c r="L29" i="45"/>
  <c r="L56" i="45"/>
  <c r="F65" i="19"/>
  <c r="E49" i="45"/>
  <c r="G49" i="45" s="1"/>
  <c r="E48" i="45"/>
  <c r="G48" i="45" s="1"/>
  <c r="M28" i="45"/>
  <c r="F29" i="19" s="1"/>
  <c r="N36" i="45"/>
  <c r="M27" i="45"/>
  <c r="F28" i="19" s="1"/>
  <c r="O13" i="45"/>
  <c r="P13" i="45" s="1"/>
  <c r="N13" i="45"/>
  <c r="L28" i="45"/>
  <c r="O72" i="45"/>
  <c r="P72" i="45" s="1"/>
  <c r="P73" i="45"/>
  <c r="E82" i="45"/>
  <c r="G82" i="45" s="1"/>
  <c r="E81" i="45"/>
  <c r="G81" i="45" s="1"/>
  <c r="E84" i="45"/>
  <c r="G84" i="45" s="1"/>
  <c r="E85" i="45"/>
  <c r="G85" i="45" s="1"/>
  <c r="E83" i="45"/>
  <c r="G83" i="45" s="1"/>
  <c r="E12" i="45"/>
  <c r="G12" i="45" s="1"/>
  <c r="C102" i="45"/>
  <c r="E11" i="45"/>
  <c r="O43" i="45"/>
  <c r="P43" i="45" s="1"/>
  <c r="P44" i="45"/>
  <c r="O71" i="44"/>
  <c r="N71" i="44"/>
  <c r="N70" i="44" s="1"/>
  <c r="O73" i="44"/>
  <c r="N73" i="44"/>
  <c r="N72" i="44" s="1"/>
  <c r="N81" i="44"/>
  <c r="O81" i="44"/>
  <c r="E45" i="44"/>
  <c r="G45" i="44" s="1"/>
  <c r="E44" i="44"/>
  <c r="G44" i="44" s="1"/>
  <c r="O68" i="44"/>
  <c r="N68" i="44"/>
  <c r="N67" i="44" s="1"/>
  <c r="N99" i="44"/>
  <c r="O99" i="44"/>
  <c r="P99" i="44" s="1"/>
  <c r="N33" i="44"/>
  <c r="O33" i="44"/>
  <c r="O74" i="44"/>
  <c r="P74" i="44" s="1"/>
  <c r="P75" i="44"/>
  <c r="O51" i="44"/>
  <c r="N51" i="44"/>
  <c r="N50" i="44" s="1"/>
  <c r="O77" i="44"/>
  <c r="P78" i="44"/>
  <c r="O35" i="44"/>
  <c r="P35" i="44" s="1"/>
  <c r="N35" i="44"/>
  <c r="E39" i="44"/>
  <c r="G39" i="44" s="1"/>
  <c r="E38" i="44"/>
  <c r="G38" i="44" s="1"/>
  <c r="N11" i="44"/>
  <c r="O11" i="44"/>
  <c r="E62" i="44"/>
  <c r="G62" i="44" s="1"/>
  <c r="E61" i="44"/>
  <c r="G61" i="44" s="1"/>
  <c r="E63" i="44"/>
  <c r="G63" i="44" s="1"/>
  <c r="E64" i="44"/>
  <c r="O34" i="44"/>
  <c r="P34" i="44" s="1"/>
  <c r="N34" i="44"/>
  <c r="E41" i="44"/>
  <c r="G41" i="44" s="1"/>
  <c r="E42" i="44"/>
  <c r="G42" i="44" s="1"/>
  <c r="G16" i="44"/>
  <c r="G15" i="44"/>
  <c r="G17" i="44"/>
  <c r="N19" i="44"/>
  <c r="N18" i="44" s="1"/>
  <c r="O19" i="44"/>
  <c r="E14" i="44"/>
  <c r="G14" i="44" s="1"/>
  <c r="E13" i="44"/>
  <c r="G13" i="44" s="1"/>
  <c r="G57" i="44"/>
  <c r="N53" i="44" s="1"/>
  <c r="N52" i="44" s="1"/>
  <c r="G58" i="44"/>
  <c r="P98" i="44"/>
  <c r="O36" i="44"/>
  <c r="P36" i="44" s="1"/>
  <c r="N36" i="44"/>
  <c r="C102" i="44"/>
  <c r="O94" i="44"/>
  <c r="N94" i="44"/>
  <c r="N93" i="44" s="1"/>
  <c r="O48" i="44"/>
  <c r="E31" i="44"/>
  <c r="G31" i="44" s="1"/>
  <c r="E28" i="44"/>
  <c r="E24" i="44"/>
  <c r="G24" i="44" s="1"/>
  <c r="G101" i="44"/>
  <c r="G100" i="44"/>
  <c r="E91" i="44"/>
  <c r="G91" i="44" s="1"/>
  <c r="E88" i="44"/>
  <c r="E87" i="44"/>
  <c r="G87" i="44" s="1"/>
  <c r="N83" i="44"/>
  <c r="O83" i="44"/>
  <c r="P83" i="44" s="1"/>
  <c r="E22" i="41"/>
  <c r="G22" i="41" s="1"/>
  <c r="E19" i="41"/>
  <c r="G19" i="41" s="1"/>
  <c r="E20" i="41"/>
  <c r="G20" i="41" s="1"/>
  <c r="E21" i="41"/>
  <c r="G21" i="41" s="1"/>
  <c r="O71" i="41"/>
  <c r="N71" i="41"/>
  <c r="N70" i="41" s="1"/>
  <c r="O68" i="41"/>
  <c r="N68" i="41"/>
  <c r="N67" i="41" s="1"/>
  <c r="E39" i="41"/>
  <c r="G39" i="41" s="1"/>
  <c r="E38" i="41"/>
  <c r="G38" i="41" s="1"/>
  <c r="O51" i="41"/>
  <c r="N51" i="41"/>
  <c r="N50" i="41" s="1"/>
  <c r="E45" i="41"/>
  <c r="G45" i="41" s="1"/>
  <c r="E44" i="41"/>
  <c r="G44" i="41" s="1"/>
  <c r="E83" i="41"/>
  <c r="G83" i="41" s="1"/>
  <c r="E81" i="41"/>
  <c r="G81" i="41" s="1"/>
  <c r="E84" i="41"/>
  <c r="G84" i="41" s="1"/>
  <c r="E82" i="41"/>
  <c r="G82" i="41" s="1"/>
  <c r="E85" i="41"/>
  <c r="G85" i="41" s="1"/>
  <c r="N98" i="41"/>
  <c r="O98" i="41"/>
  <c r="O73" i="41"/>
  <c r="N73" i="41"/>
  <c r="N72" i="41" s="1"/>
  <c r="E62" i="41"/>
  <c r="G62" i="41" s="1"/>
  <c r="E61" i="41"/>
  <c r="G61" i="41" s="1"/>
  <c r="E63" i="41"/>
  <c r="G63" i="41" s="1"/>
  <c r="E64" i="41"/>
  <c r="O34" i="41"/>
  <c r="P34" i="41" s="1"/>
  <c r="N34" i="41"/>
  <c r="N78" i="41"/>
  <c r="N77" i="41" s="1"/>
  <c r="N76" i="41" s="1"/>
  <c r="O78" i="41"/>
  <c r="E11" i="41"/>
  <c r="C102" i="41"/>
  <c r="E12" i="41"/>
  <c r="G12" i="41" s="1"/>
  <c r="N75" i="41"/>
  <c r="N74" i="41" s="1"/>
  <c r="O75" i="41"/>
  <c r="E41" i="41"/>
  <c r="G41" i="41" s="1"/>
  <c r="E42" i="41"/>
  <c r="G42" i="41" s="1"/>
  <c r="G101" i="41"/>
  <c r="G100" i="41"/>
  <c r="E91" i="41"/>
  <c r="G91" i="41" s="1"/>
  <c r="E88" i="41"/>
  <c r="E87" i="41"/>
  <c r="G87" i="41" s="1"/>
  <c r="O94" i="41"/>
  <c r="N94" i="41"/>
  <c r="N93" i="41" s="1"/>
  <c r="N99" i="41"/>
  <c r="O99" i="41"/>
  <c r="P99" i="41" s="1"/>
  <c r="O35" i="41"/>
  <c r="P35" i="41" s="1"/>
  <c r="N35" i="41"/>
  <c r="G16" i="41"/>
  <c r="G15" i="41"/>
  <c r="G17" i="41"/>
  <c r="O36" i="41"/>
  <c r="P36" i="41" s="1"/>
  <c r="N36" i="41"/>
  <c r="E13" i="41"/>
  <c r="G13" i="41" s="1"/>
  <c r="E14" i="41"/>
  <c r="G14" i="41" s="1"/>
  <c r="O33" i="41"/>
  <c r="N33" i="41"/>
  <c r="N32" i="41" s="1"/>
  <c r="E56" i="41"/>
  <c r="G56" i="41" s="1"/>
  <c r="E53" i="41"/>
  <c r="G53" i="41" s="1"/>
  <c r="E57" i="41"/>
  <c r="E54" i="41"/>
  <c r="G54" i="41" s="1"/>
  <c r="E55" i="41"/>
  <c r="G55" i="41" s="1"/>
  <c r="E31" i="41"/>
  <c r="G31" i="41" s="1"/>
  <c r="E28" i="41"/>
  <c r="E24" i="41"/>
  <c r="G24" i="41" s="1"/>
  <c r="E48" i="41"/>
  <c r="G48" i="41" s="1"/>
  <c r="E49" i="41"/>
  <c r="G49" i="41" s="1"/>
  <c r="O23" i="39"/>
  <c r="P23" i="39" s="1"/>
  <c r="P24" i="39"/>
  <c r="E39" i="39"/>
  <c r="G39" i="39" s="1"/>
  <c r="E38" i="39"/>
  <c r="G38" i="39" s="1"/>
  <c r="N83" i="39"/>
  <c r="O83" i="39"/>
  <c r="P83" i="39" s="1"/>
  <c r="O68" i="39"/>
  <c r="N68" i="39"/>
  <c r="N67" i="39" s="1"/>
  <c r="O35" i="39"/>
  <c r="P35" i="39" s="1"/>
  <c r="N35" i="39"/>
  <c r="N81" i="39"/>
  <c r="O81" i="39"/>
  <c r="P41" i="39"/>
  <c r="O40" i="39"/>
  <c r="P40" i="39" s="1"/>
  <c r="N24" i="39"/>
  <c r="N23" i="39" s="1"/>
  <c r="O71" i="39"/>
  <c r="N71" i="39"/>
  <c r="N70" i="39" s="1"/>
  <c r="N69" i="39" s="1"/>
  <c r="O73" i="39"/>
  <c r="N73" i="39"/>
  <c r="N72" i="39" s="1"/>
  <c r="E45" i="39"/>
  <c r="G45" i="39" s="1"/>
  <c r="E44" i="39"/>
  <c r="G44" i="39" s="1"/>
  <c r="N19" i="39"/>
  <c r="N18" i="39" s="1"/>
  <c r="O19" i="39"/>
  <c r="O51" i="39"/>
  <c r="N51" i="39"/>
  <c r="N50" i="39" s="1"/>
  <c r="O94" i="39"/>
  <c r="N94" i="39"/>
  <c r="N93" i="39" s="1"/>
  <c r="E62" i="39"/>
  <c r="G62" i="39" s="1"/>
  <c r="E61" i="39"/>
  <c r="G61" i="39" s="1"/>
  <c r="E63" i="39"/>
  <c r="G63" i="39" s="1"/>
  <c r="E64" i="39"/>
  <c r="G101" i="39"/>
  <c r="G100" i="39"/>
  <c r="O34" i="39"/>
  <c r="P34" i="39" s="1"/>
  <c r="N34" i="39"/>
  <c r="N48" i="39"/>
  <c r="N47" i="39" s="1"/>
  <c r="O48" i="39"/>
  <c r="G17" i="39"/>
  <c r="G16" i="39"/>
  <c r="G15" i="39"/>
  <c r="E102" i="39"/>
  <c r="G11" i="39"/>
  <c r="N33" i="39"/>
  <c r="N32" i="39" s="1"/>
  <c r="O33" i="39"/>
  <c r="P98" i="39"/>
  <c r="C102" i="39"/>
  <c r="O77" i="39"/>
  <c r="P78" i="39"/>
  <c r="G57" i="39"/>
  <c r="N53" i="39" s="1"/>
  <c r="N52" i="39" s="1"/>
  <c r="G58" i="39"/>
  <c r="O99" i="39"/>
  <c r="P99" i="39" s="1"/>
  <c r="N99" i="39"/>
  <c r="E91" i="39"/>
  <c r="G91" i="39" s="1"/>
  <c r="E88" i="39"/>
  <c r="E87" i="39"/>
  <c r="G87" i="39" s="1"/>
  <c r="O74" i="39"/>
  <c r="P74" i="39" s="1"/>
  <c r="P75" i="39"/>
  <c r="E20" i="37"/>
  <c r="G20" i="37" s="1"/>
  <c r="E21" i="37"/>
  <c r="G21" i="37" s="1"/>
  <c r="E19" i="37"/>
  <c r="G19" i="37" s="1"/>
  <c r="E22" i="37"/>
  <c r="G22" i="37" s="1"/>
  <c r="O99" i="37"/>
  <c r="P99" i="37" s="1"/>
  <c r="N99" i="37"/>
  <c r="G64" i="37"/>
  <c r="G66" i="37"/>
  <c r="N61" i="37" s="1"/>
  <c r="N60" i="37" s="1"/>
  <c r="N59" i="37" s="1"/>
  <c r="G65" i="37"/>
  <c r="E39" i="37"/>
  <c r="G39" i="37" s="1"/>
  <c r="E38" i="37"/>
  <c r="G38" i="37" s="1"/>
  <c r="O98" i="37"/>
  <c r="N98" i="37"/>
  <c r="E49" i="37"/>
  <c r="G49" i="37" s="1"/>
  <c r="E48" i="37"/>
  <c r="G48" i="37" s="1"/>
  <c r="E13" i="37"/>
  <c r="G13" i="37" s="1"/>
  <c r="E14" i="37"/>
  <c r="G14" i="37" s="1"/>
  <c r="O41" i="37"/>
  <c r="G101" i="37"/>
  <c r="G100" i="37"/>
  <c r="G30" i="37"/>
  <c r="G28" i="37"/>
  <c r="O24" i="37" s="1"/>
  <c r="G29" i="37"/>
  <c r="N71" i="37"/>
  <c r="N70" i="37" s="1"/>
  <c r="O71" i="37"/>
  <c r="E57" i="37"/>
  <c r="E54" i="37"/>
  <c r="G54" i="37" s="1"/>
  <c r="E55" i="37"/>
  <c r="G55" i="37" s="1"/>
  <c r="E56" i="37"/>
  <c r="G56" i="37" s="1"/>
  <c r="E53" i="37"/>
  <c r="G53" i="37" s="1"/>
  <c r="O34" i="37"/>
  <c r="N34" i="37"/>
  <c r="G16" i="37"/>
  <c r="G15" i="37"/>
  <c r="G17" i="37"/>
  <c r="C102" i="37"/>
  <c r="E12" i="37"/>
  <c r="G12" i="37" s="1"/>
  <c r="E11" i="37"/>
  <c r="E91" i="37"/>
  <c r="G91" i="37" s="1"/>
  <c r="E88" i="37"/>
  <c r="E87" i="37"/>
  <c r="G87" i="37" s="1"/>
  <c r="O68" i="37"/>
  <c r="N68" i="37"/>
  <c r="N67" i="37" s="1"/>
  <c r="O75" i="37"/>
  <c r="N75" i="37"/>
  <c r="N74" i="37" s="1"/>
  <c r="O51" i="37"/>
  <c r="N51" i="37"/>
  <c r="N50" i="37" s="1"/>
  <c r="E94" i="37"/>
  <c r="G94" i="37" s="1"/>
  <c r="E96" i="37"/>
  <c r="G96" i="37" s="1"/>
  <c r="E95" i="37"/>
  <c r="G95" i="37" s="1"/>
  <c r="O78" i="37"/>
  <c r="N78" i="37"/>
  <c r="N77" i="37" s="1"/>
  <c r="N76" i="37" s="1"/>
  <c r="O73" i="37"/>
  <c r="N73" i="37"/>
  <c r="N72" i="37" s="1"/>
  <c r="O35" i="37"/>
  <c r="P35" i="37" s="1"/>
  <c r="O36" i="37"/>
  <c r="P36" i="37" s="1"/>
  <c r="N36" i="37"/>
  <c r="N32" i="37" s="1"/>
  <c r="E84" i="37"/>
  <c r="G84" i="37" s="1"/>
  <c r="E82" i="37"/>
  <c r="G82" i="37" s="1"/>
  <c r="E85" i="37"/>
  <c r="G85" i="37" s="1"/>
  <c r="E81" i="37"/>
  <c r="G81" i="37" s="1"/>
  <c r="E83" i="37"/>
  <c r="G83" i="37" s="1"/>
  <c r="E45" i="37"/>
  <c r="G45" i="37" s="1"/>
  <c r="E44" i="37"/>
  <c r="G44" i="37" s="1"/>
  <c r="O61" i="37"/>
  <c r="O68" i="33"/>
  <c r="N68" i="33"/>
  <c r="N67" i="33" s="1"/>
  <c r="O99" i="33"/>
  <c r="P99" i="33" s="1"/>
  <c r="N99" i="33"/>
  <c r="N83" i="33"/>
  <c r="O83" i="33"/>
  <c r="P83" i="33" s="1"/>
  <c r="O74" i="33"/>
  <c r="P74" i="33" s="1"/>
  <c r="P75" i="33"/>
  <c r="O35" i="33"/>
  <c r="P35" i="33" s="1"/>
  <c r="N35" i="33"/>
  <c r="E91" i="33"/>
  <c r="G91" i="33" s="1"/>
  <c r="E88" i="33"/>
  <c r="E87" i="33"/>
  <c r="G87" i="33" s="1"/>
  <c r="G57" i="33"/>
  <c r="G58" i="33"/>
  <c r="N81" i="33"/>
  <c r="N80" i="33" s="1"/>
  <c r="O81" i="33"/>
  <c r="N19" i="33"/>
  <c r="N18" i="33" s="1"/>
  <c r="O19" i="33"/>
  <c r="E62" i="33"/>
  <c r="G62" i="33" s="1"/>
  <c r="E61" i="33"/>
  <c r="G61" i="33" s="1"/>
  <c r="E63" i="33"/>
  <c r="G63" i="33" s="1"/>
  <c r="E64" i="33"/>
  <c r="E45" i="33"/>
  <c r="G45" i="33" s="1"/>
  <c r="E44" i="33"/>
  <c r="G44" i="33" s="1"/>
  <c r="G15" i="33"/>
  <c r="G16" i="33"/>
  <c r="G17" i="33"/>
  <c r="E41" i="33"/>
  <c r="G41" i="33" s="1"/>
  <c r="E42" i="33"/>
  <c r="G42" i="33" s="1"/>
  <c r="N53" i="33"/>
  <c r="N52" i="33" s="1"/>
  <c r="O53" i="33"/>
  <c r="O94" i="33"/>
  <c r="N94" i="33"/>
  <c r="N93" i="33" s="1"/>
  <c r="O36" i="33"/>
  <c r="P36" i="33" s="1"/>
  <c r="G37" i="19" s="1"/>
  <c r="N36" i="33"/>
  <c r="G101" i="33"/>
  <c r="G100" i="33"/>
  <c r="E39" i="33"/>
  <c r="G39" i="33" s="1"/>
  <c r="E38" i="33"/>
  <c r="G38" i="33" s="1"/>
  <c r="O73" i="33"/>
  <c r="N73" i="33"/>
  <c r="N72" i="33" s="1"/>
  <c r="N48" i="33"/>
  <c r="N47" i="33" s="1"/>
  <c r="O48" i="33"/>
  <c r="P98" i="33"/>
  <c r="E31" i="33"/>
  <c r="G31" i="33" s="1"/>
  <c r="E24" i="33"/>
  <c r="G24" i="33" s="1"/>
  <c r="E28" i="33"/>
  <c r="O51" i="33"/>
  <c r="N51" i="33"/>
  <c r="N50" i="33" s="1"/>
  <c r="G11" i="33"/>
  <c r="O77" i="33"/>
  <c r="P78" i="33"/>
  <c r="O71" i="33"/>
  <c r="N71" i="33"/>
  <c r="N70" i="33" s="1"/>
  <c r="N69" i="33" s="1"/>
  <c r="O34" i="33"/>
  <c r="P34" i="33" s="1"/>
  <c r="N34" i="33"/>
  <c r="N33" i="33"/>
  <c r="N32" i="33" s="1"/>
  <c r="O33" i="33"/>
  <c r="F50" i="19"/>
  <c r="F69" i="19" l="1"/>
  <c r="N68" i="45"/>
  <c r="N67" i="45" s="1"/>
  <c r="G28" i="45"/>
  <c r="G29" i="45"/>
  <c r="N24" i="45" s="1"/>
  <c r="N23" i="45" s="1"/>
  <c r="G30" i="45"/>
  <c r="O67" i="45"/>
  <c r="P67" i="45" s="1"/>
  <c r="P68" i="45"/>
  <c r="G69" i="19" s="1"/>
  <c r="G90" i="45"/>
  <c r="G88" i="45"/>
  <c r="G89" i="45"/>
  <c r="O87" i="45"/>
  <c r="N87" i="45"/>
  <c r="N86" i="45" s="1"/>
  <c r="P33" i="45"/>
  <c r="O32" i="45"/>
  <c r="P32" i="45" s="1"/>
  <c r="N53" i="45"/>
  <c r="N52" i="45" s="1"/>
  <c r="O15" i="45"/>
  <c r="P15" i="45" s="1"/>
  <c r="N15" i="45"/>
  <c r="P78" i="45"/>
  <c r="G79" i="19" s="1"/>
  <c r="O77" i="45"/>
  <c r="O83" i="45"/>
  <c r="P83" i="45" s="1"/>
  <c r="G84" i="19" s="1"/>
  <c r="N83" i="45"/>
  <c r="P98" i="45"/>
  <c r="O70" i="45"/>
  <c r="P71" i="45"/>
  <c r="P75" i="45"/>
  <c r="G76" i="19" s="1"/>
  <c r="O74" i="45"/>
  <c r="P74" i="45" s="1"/>
  <c r="O81" i="45"/>
  <c r="N81" i="45"/>
  <c r="G66" i="45"/>
  <c r="G65" i="45"/>
  <c r="G64" i="45"/>
  <c r="O61" i="45" s="1"/>
  <c r="G36" i="19"/>
  <c r="G58" i="45"/>
  <c r="G57" i="45"/>
  <c r="O53" i="45" s="1"/>
  <c r="O18" i="45"/>
  <c r="P18" i="45" s="1"/>
  <c r="P19" i="45"/>
  <c r="O93" i="45"/>
  <c r="P94" i="45"/>
  <c r="O24" i="45"/>
  <c r="P51" i="45"/>
  <c r="G52" i="19" s="1"/>
  <c r="O50" i="45"/>
  <c r="P50" i="45" s="1"/>
  <c r="O100" i="45"/>
  <c r="P100" i="45" s="1"/>
  <c r="N100" i="45"/>
  <c r="N97" i="45" s="1"/>
  <c r="N92" i="45" s="1"/>
  <c r="E102" i="45"/>
  <c r="G11" i="45"/>
  <c r="O48" i="45"/>
  <c r="N48" i="45"/>
  <c r="N47" i="45" s="1"/>
  <c r="O41" i="45"/>
  <c r="N41" i="45"/>
  <c r="N40" i="45" s="1"/>
  <c r="N32" i="45"/>
  <c r="N46" i="44"/>
  <c r="N32" i="44"/>
  <c r="O93" i="44"/>
  <c r="P94" i="44"/>
  <c r="E102" i="44"/>
  <c r="P11" i="44"/>
  <c r="O80" i="44"/>
  <c r="P81" i="44"/>
  <c r="G90" i="44"/>
  <c r="G88" i="44"/>
  <c r="G89" i="44"/>
  <c r="N87" i="44" s="1"/>
  <c r="N86" i="44" s="1"/>
  <c r="O100" i="44"/>
  <c r="N100" i="44"/>
  <c r="N97" i="44" s="1"/>
  <c r="N92" i="44" s="1"/>
  <c r="O13" i="44"/>
  <c r="P13" i="44" s="1"/>
  <c r="N13" i="44"/>
  <c r="O41" i="44"/>
  <c r="N41" i="44"/>
  <c r="N40" i="44" s="1"/>
  <c r="P77" i="44"/>
  <c r="O76" i="44"/>
  <c r="P76" i="44" s="1"/>
  <c r="N80" i="44"/>
  <c r="O18" i="44"/>
  <c r="P18" i="44" s="1"/>
  <c r="P19" i="44"/>
  <c r="O50" i="44"/>
  <c r="P50" i="44" s="1"/>
  <c r="P51" i="44"/>
  <c r="P73" i="44"/>
  <c r="G74" i="19" s="1"/>
  <c r="O72" i="44"/>
  <c r="P72" i="44" s="1"/>
  <c r="G29" i="44"/>
  <c r="G28" i="44"/>
  <c r="O24" i="44" s="1"/>
  <c r="G30" i="44"/>
  <c r="G66" i="44"/>
  <c r="G65" i="44"/>
  <c r="G64" i="44"/>
  <c r="O38" i="44"/>
  <c r="N38" i="44"/>
  <c r="N37" i="44" s="1"/>
  <c r="O53" i="44"/>
  <c r="N69" i="44"/>
  <c r="N10" i="44"/>
  <c r="P68" i="44"/>
  <c r="O67" i="44"/>
  <c r="P67" i="44" s="1"/>
  <c r="P71" i="44"/>
  <c r="O70" i="44"/>
  <c r="O47" i="44"/>
  <c r="P48" i="44"/>
  <c r="N15" i="44"/>
  <c r="O15" i="44"/>
  <c r="P15" i="44" s="1"/>
  <c r="O61" i="44"/>
  <c r="N61" i="44"/>
  <c r="N60" i="44" s="1"/>
  <c r="N59" i="44" s="1"/>
  <c r="O32" i="44"/>
  <c r="P32" i="44" s="1"/>
  <c r="P33" i="44"/>
  <c r="N44" i="44"/>
  <c r="N43" i="44" s="1"/>
  <c r="O44" i="44"/>
  <c r="G29" i="41"/>
  <c r="O24" i="41" s="1"/>
  <c r="G30" i="41"/>
  <c r="G28" i="41"/>
  <c r="O32" i="41"/>
  <c r="P32" i="41" s="1"/>
  <c r="P33" i="41"/>
  <c r="O100" i="41"/>
  <c r="P100" i="41" s="1"/>
  <c r="N100" i="41"/>
  <c r="N97" i="41" s="1"/>
  <c r="N92" i="41" s="1"/>
  <c r="E102" i="41"/>
  <c r="G11" i="41"/>
  <c r="N81" i="41"/>
  <c r="O81" i="41"/>
  <c r="O77" i="41"/>
  <c r="P78" i="41"/>
  <c r="N83" i="41"/>
  <c r="O83" i="41"/>
  <c r="P83" i="41" s="1"/>
  <c r="P73" i="41"/>
  <c r="O72" i="41"/>
  <c r="P72" i="41" s="1"/>
  <c r="N44" i="41"/>
  <c r="N43" i="41" s="1"/>
  <c r="O44" i="41"/>
  <c r="G57" i="41"/>
  <c r="G58" i="41"/>
  <c r="O53" i="41" s="1"/>
  <c r="O41" i="41"/>
  <c r="N41" i="41"/>
  <c r="N40" i="41" s="1"/>
  <c r="P98" i="41"/>
  <c r="P71" i="41"/>
  <c r="O70" i="41"/>
  <c r="O13" i="41"/>
  <c r="P13" i="41" s="1"/>
  <c r="N13" i="41"/>
  <c r="N53" i="41"/>
  <c r="N52" i="41" s="1"/>
  <c r="O74" i="41"/>
  <c r="P74" i="41" s="1"/>
  <c r="P75" i="41"/>
  <c r="P68" i="41"/>
  <c r="O67" i="41"/>
  <c r="P67" i="41" s="1"/>
  <c r="N69" i="41"/>
  <c r="O93" i="41"/>
  <c r="P94" i="41"/>
  <c r="N48" i="41"/>
  <c r="N47" i="41" s="1"/>
  <c r="O48" i="41"/>
  <c r="O15" i="41"/>
  <c r="P15" i="41" s="1"/>
  <c r="N15" i="41"/>
  <c r="O87" i="41"/>
  <c r="G66" i="41"/>
  <c r="G64" i="41"/>
  <c r="O61" i="41" s="1"/>
  <c r="G65" i="41"/>
  <c r="N61" i="41" s="1"/>
  <c r="N60" i="41" s="1"/>
  <c r="N59" i="41" s="1"/>
  <c r="P51" i="41"/>
  <c r="O50" i="41"/>
  <c r="P50" i="41" s="1"/>
  <c r="G90" i="41"/>
  <c r="G88" i="41"/>
  <c r="N87" i="41" s="1"/>
  <c r="N86" i="41" s="1"/>
  <c r="G89" i="41"/>
  <c r="O38" i="41"/>
  <c r="N38" i="41"/>
  <c r="N37" i="41" s="1"/>
  <c r="N19" i="41"/>
  <c r="N18" i="41" s="1"/>
  <c r="O19" i="41"/>
  <c r="N97" i="39"/>
  <c r="N92" i="39" s="1"/>
  <c r="O100" i="39"/>
  <c r="N100" i="39"/>
  <c r="O15" i="39"/>
  <c r="P15" i="39" s="1"/>
  <c r="N15" i="39"/>
  <c r="P68" i="39"/>
  <c r="O67" i="39"/>
  <c r="P67" i="39" s="1"/>
  <c r="O32" i="39"/>
  <c r="P32" i="39" s="1"/>
  <c r="P33" i="39"/>
  <c r="P51" i="39"/>
  <c r="O50" i="39"/>
  <c r="P50" i="39" s="1"/>
  <c r="G66" i="39"/>
  <c r="G64" i="39"/>
  <c r="G102" i="39" s="1"/>
  <c r="G65" i="39"/>
  <c r="O61" i="39"/>
  <c r="N61" i="39"/>
  <c r="N60" i="39" s="1"/>
  <c r="N59" i="39" s="1"/>
  <c r="O53" i="39"/>
  <c r="N46" i="39"/>
  <c r="O80" i="39"/>
  <c r="P81" i="39"/>
  <c r="O38" i="39"/>
  <c r="N38" i="39"/>
  <c r="N37" i="39" s="1"/>
  <c r="P71" i="39"/>
  <c r="O70" i="39"/>
  <c r="O47" i="39"/>
  <c r="P48" i="39"/>
  <c r="O44" i="39"/>
  <c r="N44" i="39"/>
  <c r="N43" i="39" s="1"/>
  <c r="N80" i="39"/>
  <c r="G90" i="39"/>
  <c r="G88" i="39"/>
  <c r="N87" i="39" s="1"/>
  <c r="N86" i="39" s="1"/>
  <c r="G89" i="39"/>
  <c r="O18" i="39"/>
  <c r="P18" i="39" s="1"/>
  <c r="P19" i="39"/>
  <c r="G100" i="19"/>
  <c r="P77" i="39"/>
  <c r="O76" i="39"/>
  <c r="P76" i="39" s="1"/>
  <c r="N11" i="39"/>
  <c r="N10" i="39" s="1"/>
  <c r="N9" i="39" s="1"/>
  <c r="O11" i="39"/>
  <c r="O93" i="39"/>
  <c r="P94" i="39"/>
  <c r="P73" i="39"/>
  <c r="O72" i="39"/>
  <c r="P72" i="39" s="1"/>
  <c r="P24" i="37"/>
  <c r="O23" i="37"/>
  <c r="P23" i="37" s="1"/>
  <c r="P73" i="37"/>
  <c r="O72" i="37"/>
  <c r="P72" i="37" s="1"/>
  <c r="E102" i="37"/>
  <c r="G11" i="37"/>
  <c r="O53" i="37"/>
  <c r="N24" i="37"/>
  <c r="N23" i="37" s="1"/>
  <c r="O77" i="37"/>
  <c r="P78" i="37"/>
  <c r="O74" i="37"/>
  <c r="P74" i="37" s="1"/>
  <c r="P75" i="37"/>
  <c r="O100" i="37"/>
  <c r="P100" i="37" s="1"/>
  <c r="N100" i="37"/>
  <c r="N97" i="37" s="1"/>
  <c r="P98" i="37"/>
  <c r="P51" i="37"/>
  <c r="O50" i="37"/>
  <c r="P50" i="37" s="1"/>
  <c r="O67" i="37"/>
  <c r="P67" i="37" s="1"/>
  <c r="P68" i="37"/>
  <c r="N15" i="37"/>
  <c r="O15" i="37"/>
  <c r="P15" i="37" s="1"/>
  <c r="G58" i="37"/>
  <c r="N53" i="37" s="1"/>
  <c r="N52" i="37" s="1"/>
  <c r="G57" i="37"/>
  <c r="O44" i="37"/>
  <c r="N44" i="37"/>
  <c r="N43" i="37" s="1"/>
  <c r="N94" i="37"/>
  <c r="N93" i="37" s="1"/>
  <c r="O94" i="37"/>
  <c r="N87" i="37"/>
  <c r="N86" i="37" s="1"/>
  <c r="O87" i="37"/>
  <c r="O70" i="37"/>
  <c r="P71" i="37"/>
  <c r="O38" i="37"/>
  <c r="N38" i="37"/>
  <c r="N37" i="37" s="1"/>
  <c r="O19" i="37"/>
  <c r="N19" i="37"/>
  <c r="N18" i="37" s="1"/>
  <c r="O60" i="37"/>
  <c r="P61" i="37"/>
  <c r="P41" i="37"/>
  <c r="O40" i="37"/>
  <c r="P40" i="37" s="1"/>
  <c r="G90" i="37"/>
  <c r="G88" i="37"/>
  <c r="G89" i="37"/>
  <c r="N69" i="37"/>
  <c r="N13" i="37"/>
  <c r="O13" i="37"/>
  <c r="P13" i="37" s="1"/>
  <c r="O81" i="37"/>
  <c r="N81" i="37"/>
  <c r="O83" i="37"/>
  <c r="P83" i="37" s="1"/>
  <c r="N83" i="37"/>
  <c r="P34" i="37"/>
  <c r="G35" i="19" s="1"/>
  <c r="O32" i="37"/>
  <c r="P32" i="37" s="1"/>
  <c r="O48" i="37"/>
  <c r="N48" i="37"/>
  <c r="N47" i="37" s="1"/>
  <c r="O52" i="33"/>
  <c r="P52" i="33" s="1"/>
  <c r="P53" i="33"/>
  <c r="G66" i="33"/>
  <c r="G64" i="33"/>
  <c r="G65" i="33"/>
  <c r="O100" i="33"/>
  <c r="N100" i="33"/>
  <c r="N97" i="33" s="1"/>
  <c r="N92" i="33" s="1"/>
  <c r="G102" i="33"/>
  <c r="N11" i="33"/>
  <c r="O11" i="33"/>
  <c r="O41" i="33"/>
  <c r="N41" i="33"/>
  <c r="N40" i="33" s="1"/>
  <c r="O61" i="33"/>
  <c r="N61" i="33"/>
  <c r="N60" i="33" s="1"/>
  <c r="N59" i="33" s="1"/>
  <c r="O87" i="33"/>
  <c r="N87" i="33"/>
  <c r="N86" i="33" s="1"/>
  <c r="N79" i="33" s="1"/>
  <c r="E102" i="33"/>
  <c r="O47" i="33"/>
  <c r="P48" i="33"/>
  <c r="G90" i="33"/>
  <c r="G88" i="33"/>
  <c r="G89" i="33"/>
  <c r="O18" i="33"/>
  <c r="P18" i="33" s="1"/>
  <c r="P19" i="33"/>
  <c r="O32" i="33"/>
  <c r="P32" i="33" s="1"/>
  <c r="P33" i="33"/>
  <c r="P51" i="33"/>
  <c r="O50" i="33"/>
  <c r="P50" i="33" s="1"/>
  <c r="O15" i="33"/>
  <c r="P15" i="33" s="1"/>
  <c r="N15" i="33"/>
  <c r="O24" i="33"/>
  <c r="N24" i="33"/>
  <c r="N23" i="33" s="1"/>
  <c r="O38" i="33"/>
  <c r="N38" i="33"/>
  <c r="N37" i="33" s="1"/>
  <c r="P77" i="33"/>
  <c r="O76" i="33"/>
  <c r="P76" i="33" s="1"/>
  <c r="N46" i="33"/>
  <c r="P71" i="33"/>
  <c r="O70" i="33"/>
  <c r="G29" i="33"/>
  <c r="G30" i="33"/>
  <c r="G28" i="33"/>
  <c r="P73" i="33"/>
  <c r="O72" i="33"/>
  <c r="P72" i="33" s="1"/>
  <c r="O93" i="33"/>
  <c r="P94" i="33"/>
  <c r="O44" i="33"/>
  <c r="N44" i="33"/>
  <c r="N43" i="33" s="1"/>
  <c r="O80" i="33"/>
  <c r="P81" i="33"/>
  <c r="P68" i="33"/>
  <c r="O67" i="33"/>
  <c r="P67" i="33" s="1"/>
  <c r="G75" i="19"/>
  <c r="G99" i="19"/>
  <c r="G34" i="19" l="1"/>
  <c r="N80" i="45"/>
  <c r="O52" i="45"/>
  <c r="P52" i="45" s="1"/>
  <c r="P53" i="45"/>
  <c r="P61" i="45"/>
  <c r="O60" i="45"/>
  <c r="P24" i="45"/>
  <c r="O23" i="45"/>
  <c r="P23" i="45" s="1"/>
  <c r="G24" i="19" s="1"/>
  <c r="O86" i="45"/>
  <c r="P86" i="45" s="1"/>
  <c r="P87" i="45"/>
  <c r="N61" i="45"/>
  <c r="N60" i="45" s="1"/>
  <c r="N59" i="45" s="1"/>
  <c r="O97" i="45"/>
  <c r="P97" i="45" s="1"/>
  <c r="N79" i="45"/>
  <c r="O40" i="45"/>
  <c r="P40" i="45" s="1"/>
  <c r="P41" i="45"/>
  <c r="P81" i="45"/>
  <c r="O80" i="45"/>
  <c r="N46" i="45"/>
  <c r="O76" i="45"/>
  <c r="P76" i="45" s="1"/>
  <c r="P77" i="45"/>
  <c r="P48" i="45"/>
  <c r="O47" i="45"/>
  <c r="G102" i="45"/>
  <c r="O11" i="45"/>
  <c r="N11" i="45"/>
  <c r="N10" i="45" s="1"/>
  <c r="N9" i="45" s="1"/>
  <c r="P93" i="45"/>
  <c r="O69" i="45"/>
  <c r="P69" i="45" s="1"/>
  <c r="P70" i="45"/>
  <c r="O23" i="44"/>
  <c r="P23" i="44" s="1"/>
  <c r="P24" i="44"/>
  <c r="O87" i="44"/>
  <c r="N79" i="44"/>
  <c r="O10" i="44"/>
  <c r="P70" i="44"/>
  <c r="O69" i="44"/>
  <c r="P69" i="44" s="1"/>
  <c r="O52" i="44"/>
  <c r="P52" i="44" s="1"/>
  <c r="P53" i="44"/>
  <c r="P100" i="44"/>
  <c r="O97" i="44"/>
  <c r="P97" i="44" s="1"/>
  <c r="P38" i="44"/>
  <c r="O37" i="44"/>
  <c r="P37" i="44" s="1"/>
  <c r="G102" i="44"/>
  <c r="P93" i="44"/>
  <c r="G68" i="19"/>
  <c r="P61" i="44"/>
  <c r="O60" i="44"/>
  <c r="G73" i="19"/>
  <c r="O43" i="44"/>
  <c r="P43" i="44" s="1"/>
  <c r="P44" i="44"/>
  <c r="N24" i="44"/>
  <c r="N23" i="44" s="1"/>
  <c r="N9" i="44" s="1"/>
  <c r="N4" i="44" s="1"/>
  <c r="O40" i="44"/>
  <c r="P40" i="44" s="1"/>
  <c r="P41" i="44"/>
  <c r="P47" i="44"/>
  <c r="O46" i="44"/>
  <c r="P46" i="44" s="1"/>
  <c r="P80" i="44"/>
  <c r="O23" i="41"/>
  <c r="P23" i="41" s="1"/>
  <c r="P24" i="41"/>
  <c r="O52" i="41"/>
  <c r="P52" i="41" s="1"/>
  <c r="P53" i="41"/>
  <c r="P61" i="41"/>
  <c r="O60" i="41"/>
  <c r="N24" i="41"/>
  <c r="N23" i="41" s="1"/>
  <c r="G14" i="19"/>
  <c r="G16" i="19"/>
  <c r="O18" i="41"/>
  <c r="P18" i="41" s="1"/>
  <c r="P19" i="41"/>
  <c r="O47" i="41"/>
  <c r="P48" i="41"/>
  <c r="P70" i="41"/>
  <c r="O69" i="41"/>
  <c r="P69" i="41" s="1"/>
  <c r="P77" i="41"/>
  <c r="O76" i="41"/>
  <c r="P76" i="41" s="1"/>
  <c r="N80" i="41"/>
  <c r="N79" i="41" s="1"/>
  <c r="O40" i="41"/>
  <c r="P40" i="41" s="1"/>
  <c r="P41" i="41"/>
  <c r="P44" i="41"/>
  <c r="O43" i="41"/>
  <c r="P43" i="41" s="1"/>
  <c r="P38" i="41"/>
  <c r="O37" i="41"/>
  <c r="P37" i="41" s="1"/>
  <c r="P93" i="41"/>
  <c r="O97" i="41"/>
  <c r="P97" i="41" s="1"/>
  <c r="N11" i="41"/>
  <c r="N10" i="41" s="1"/>
  <c r="G102" i="41"/>
  <c r="O11" i="41"/>
  <c r="N46" i="41"/>
  <c r="O80" i="41"/>
  <c r="P81" i="41"/>
  <c r="G51" i="19"/>
  <c r="O86" i="41"/>
  <c r="P86" i="41" s="1"/>
  <c r="P87" i="41"/>
  <c r="O52" i="39"/>
  <c r="P52" i="39" s="1"/>
  <c r="P53" i="39"/>
  <c r="P61" i="39"/>
  <c r="O60" i="39"/>
  <c r="O87" i="39"/>
  <c r="N79" i="39"/>
  <c r="N4" i="39" s="1"/>
  <c r="P93" i="39"/>
  <c r="P47" i="39"/>
  <c r="O46" i="39"/>
  <c r="P46" i="39" s="1"/>
  <c r="P70" i="39"/>
  <c r="O69" i="39"/>
  <c r="P69" i="39" s="1"/>
  <c r="P38" i="39"/>
  <c r="O37" i="39"/>
  <c r="P37" i="39" s="1"/>
  <c r="O10" i="39"/>
  <c r="P11" i="39"/>
  <c r="O43" i="39"/>
  <c r="P43" i="39" s="1"/>
  <c r="P44" i="39"/>
  <c r="P80" i="39"/>
  <c r="G72" i="19"/>
  <c r="P100" i="39"/>
  <c r="O97" i="39"/>
  <c r="P97" i="39" s="1"/>
  <c r="P48" i="37"/>
  <c r="O47" i="37"/>
  <c r="O80" i="37"/>
  <c r="P81" i="37"/>
  <c r="P70" i="37"/>
  <c r="O69" i="37"/>
  <c r="P69" i="37" s="1"/>
  <c r="O97" i="37"/>
  <c r="P97" i="37" s="1"/>
  <c r="G95" i="19"/>
  <c r="P87" i="37"/>
  <c r="O86" i="37"/>
  <c r="P86" i="37" s="1"/>
  <c r="P94" i="37"/>
  <c r="O93" i="37"/>
  <c r="P53" i="37"/>
  <c r="O52" i="37"/>
  <c r="P52" i="37" s="1"/>
  <c r="P60" i="37"/>
  <c r="O59" i="37"/>
  <c r="P59" i="37" s="1"/>
  <c r="G102" i="37"/>
  <c r="O11" i="37"/>
  <c r="N11" i="37"/>
  <c r="N10" i="37" s="1"/>
  <c r="N9" i="37" s="1"/>
  <c r="P19" i="37"/>
  <c r="O18" i="37"/>
  <c r="P18" i="37" s="1"/>
  <c r="G19" i="19" s="1"/>
  <c r="N92" i="37"/>
  <c r="G33" i="19"/>
  <c r="O37" i="37"/>
  <c r="P37" i="37" s="1"/>
  <c r="P38" i="37"/>
  <c r="P44" i="37"/>
  <c r="O43" i="37"/>
  <c r="P43" i="37" s="1"/>
  <c r="O76" i="37"/>
  <c r="P76" i="37" s="1"/>
  <c r="P77" i="37"/>
  <c r="N46" i="37"/>
  <c r="N80" i="37"/>
  <c r="N79" i="37" s="1"/>
  <c r="P93" i="33"/>
  <c r="P61" i="33"/>
  <c r="O60" i="33"/>
  <c r="O86" i="33"/>
  <c r="P86" i="33" s="1"/>
  <c r="P87" i="33"/>
  <c r="P100" i="33"/>
  <c r="G101" i="19" s="1"/>
  <c r="O97" i="33"/>
  <c r="P97" i="33" s="1"/>
  <c r="P80" i="33"/>
  <c r="O40" i="33"/>
  <c r="P40" i="33" s="1"/>
  <c r="G41" i="19" s="1"/>
  <c r="P41" i="33"/>
  <c r="G42" i="19" s="1"/>
  <c r="P38" i="33"/>
  <c r="O37" i="33"/>
  <c r="P37" i="33" s="1"/>
  <c r="P47" i="33"/>
  <c r="O46" i="33"/>
  <c r="P46" i="33" s="1"/>
  <c r="O10" i="33"/>
  <c r="P11" i="33"/>
  <c r="O23" i="33"/>
  <c r="P23" i="33" s="1"/>
  <c r="P24" i="33"/>
  <c r="G25" i="19" s="1"/>
  <c r="P44" i="33"/>
  <c r="O43" i="33"/>
  <c r="P43" i="33" s="1"/>
  <c r="P70" i="33"/>
  <c r="O69" i="33"/>
  <c r="P69" i="33" s="1"/>
  <c r="N10" i="33"/>
  <c r="N9" i="33" s="1"/>
  <c r="N4" i="33" s="1"/>
  <c r="G77" i="19"/>
  <c r="G20" i="19"/>
  <c r="G45" i="19"/>
  <c r="G44" i="19"/>
  <c r="G62" i="19" l="1"/>
  <c r="G82" i="19"/>
  <c r="G49" i="19"/>
  <c r="N4" i="45"/>
  <c r="O10" i="45"/>
  <c r="P11" i="45"/>
  <c r="O79" i="45"/>
  <c r="P79" i="45" s="1"/>
  <c r="P80" i="45"/>
  <c r="G81" i="19" s="1"/>
  <c r="P47" i="45"/>
  <c r="O46" i="45"/>
  <c r="P46" i="45" s="1"/>
  <c r="O59" i="45"/>
  <c r="P59" i="45" s="1"/>
  <c r="P60" i="45"/>
  <c r="O92" i="45"/>
  <c r="P92" i="45" s="1"/>
  <c r="P10" i="44"/>
  <c r="O9" i="44"/>
  <c r="O59" i="44"/>
  <c r="P59" i="44" s="1"/>
  <c r="P60" i="44"/>
  <c r="O86" i="44"/>
  <c r="P87" i="44"/>
  <c r="O92" i="44"/>
  <c r="P92" i="44" s="1"/>
  <c r="P80" i="41"/>
  <c r="O79" i="41"/>
  <c r="P79" i="41" s="1"/>
  <c r="G78" i="19"/>
  <c r="N9" i="41"/>
  <c r="N4" i="41" s="1"/>
  <c r="P47" i="41"/>
  <c r="O46" i="41"/>
  <c r="P46" i="41" s="1"/>
  <c r="G70" i="19"/>
  <c r="O10" i="41"/>
  <c r="P11" i="41"/>
  <c r="P60" i="41"/>
  <c r="O59" i="41"/>
  <c r="P59" i="41" s="1"/>
  <c r="O92" i="41"/>
  <c r="P92" i="41" s="1"/>
  <c r="G38" i="19"/>
  <c r="P10" i="39"/>
  <c r="O9" i="39"/>
  <c r="O92" i="39"/>
  <c r="P92" i="39" s="1"/>
  <c r="G98" i="19"/>
  <c r="O86" i="39"/>
  <c r="P87" i="39"/>
  <c r="G88" i="19" s="1"/>
  <c r="G39" i="19"/>
  <c r="P60" i="39"/>
  <c r="O59" i="39"/>
  <c r="P59" i="39" s="1"/>
  <c r="G71" i="19"/>
  <c r="P93" i="37"/>
  <c r="G94" i="19" s="1"/>
  <c r="O92" i="37"/>
  <c r="P92" i="37" s="1"/>
  <c r="N4" i="37"/>
  <c r="O79" i="37"/>
  <c r="P79" i="37" s="1"/>
  <c r="P80" i="37"/>
  <c r="P11" i="37"/>
  <c r="O10" i="37"/>
  <c r="O46" i="37"/>
  <c r="P46" i="37" s="1"/>
  <c r="P47" i="37"/>
  <c r="G48" i="19" s="1"/>
  <c r="P60" i="33"/>
  <c r="O59" i="33"/>
  <c r="P59" i="33" s="1"/>
  <c r="O79" i="33"/>
  <c r="P79" i="33" s="1"/>
  <c r="O92" i="33"/>
  <c r="P92" i="33" s="1"/>
  <c r="O9" i="33"/>
  <c r="P10" i="33"/>
  <c r="G53" i="19"/>
  <c r="G54" i="19"/>
  <c r="G12" i="19"/>
  <c r="G60" i="19"/>
  <c r="G61" i="19" l="1"/>
  <c r="O9" i="45"/>
  <c r="P10" i="45"/>
  <c r="G11" i="19" s="1"/>
  <c r="G93" i="19"/>
  <c r="P86" i="44"/>
  <c r="O79" i="44"/>
  <c r="P79" i="44" s="1"/>
  <c r="G80" i="19" s="1"/>
  <c r="P9" i="44"/>
  <c r="P10" i="41"/>
  <c r="O9" i="41"/>
  <c r="P86" i="39"/>
  <c r="O79" i="39"/>
  <c r="P79" i="39" s="1"/>
  <c r="O4" i="39"/>
  <c r="P4" i="39" s="1"/>
  <c r="P9" i="39"/>
  <c r="O9" i="37"/>
  <c r="P10" i="37"/>
  <c r="P9" i="33"/>
  <c r="O4" i="33"/>
  <c r="P4" i="33" s="1"/>
  <c r="G47" i="19"/>
  <c r="O4" i="45" l="1"/>
  <c r="P4" i="45" s="1"/>
  <c r="G6" i="19" s="1"/>
  <c r="P9" i="45"/>
  <c r="O4" i="44"/>
  <c r="P4" i="44" s="1"/>
  <c r="G87" i="19"/>
  <c r="O4" i="41"/>
  <c r="P4" i="41" s="1"/>
  <c r="P9" i="41"/>
  <c r="P9" i="37"/>
  <c r="G10" i="19" s="1"/>
  <c r="O4" i="37"/>
  <c r="P4" i="37" s="1"/>
  <c r="F101" i="2" l="1"/>
  <c r="F100" i="2"/>
  <c r="F99" i="2"/>
  <c r="F98" i="2"/>
  <c r="E21" i="25" s="1"/>
  <c r="F95" i="2"/>
  <c r="F94" i="2"/>
  <c r="E20" i="25" s="1"/>
  <c r="F93" i="2"/>
  <c r="F84" i="2"/>
  <c r="F82" i="2"/>
  <c r="F81" i="2"/>
  <c r="F79" i="2"/>
  <c r="F78" i="2"/>
  <c r="F77" i="2"/>
  <c r="F76" i="2"/>
  <c r="F74" i="2"/>
  <c r="F73" i="2"/>
  <c r="F72" i="2"/>
  <c r="F71" i="2"/>
  <c r="F69" i="2"/>
  <c r="F68" i="2"/>
  <c r="F62" i="2"/>
  <c r="F61" i="2"/>
  <c r="F60" i="2"/>
  <c r="F54" i="2"/>
  <c r="F53" i="2"/>
  <c r="F49" i="2"/>
  <c r="F48" i="2"/>
  <c r="F45" i="2"/>
  <c r="F44" i="2"/>
  <c r="F42" i="2"/>
  <c r="F41" i="2"/>
  <c r="F39" i="2"/>
  <c r="F36" i="2"/>
  <c r="F37" i="2"/>
  <c r="F38" i="2"/>
  <c r="F35" i="2"/>
  <c r="F34" i="2"/>
  <c r="F33" i="2"/>
  <c r="F25" i="2"/>
  <c r="F24" i="2"/>
  <c r="F20" i="2"/>
  <c r="F19" i="2"/>
  <c r="F16" i="2"/>
  <c r="F14" i="2"/>
  <c r="F12" i="2"/>
  <c r="F11" i="2"/>
  <c r="E3" i="17" s="1"/>
  <c r="E2" i="25" s="1"/>
  <c r="F10" i="2"/>
  <c r="E2" i="17" s="1"/>
  <c r="B4" i="24" s="1"/>
  <c r="F75" i="2" l="1"/>
  <c r="F87" i="2" l="1"/>
  <c r="F88" i="2"/>
  <c r="F80" i="2" l="1"/>
  <c r="K15" i="19" l="1"/>
  <c r="K14" i="19"/>
  <c r="K12" i="19"/>
  <c r="L13" i="19" s="1"/>
  <c r="L14" i="19" l="1"/>
  <c r="M14" i="19"/>
  <c r="K13" i="19"/>
  <c r="L15" i="19" s="1"/>
  <c r="M15" i="19" s="1"/>
  <c r="E20" i="17" l="1"/>
  <c r="E16" i="25" s="1"/>
  <c r="J15" i="2"/>
  <c r="J14" i="2"/>
  <c r="J12" i="2"/>
  <c r="K14" i="2" s="1"/>
  <c r="J13" i="2" l="1"/>
  <c r="K15" i="2" s="1"/>
  <c r="L15" i="2" s="1"/>
  <c r="L14" i="2"/>
  <c r="K13" i="2"/>
  <c r="E11" i="17" l="1"/>
  <c r="E9" i="25" s="1"/>
  <c r="E8" i="17" l="1"/>
  <c r="E7" i="25" s="1"/>
  <c r="F51" i="2" l="1"/>
  <c r="F52" i="2"/>
  <c r="F47" i="2" l="1"/>
  <c r="E6" i="17" l="1"/>
  <c r="E5" i="25" s="1"/>
  <c r="E16" i="17" l="1"/>
  <c r="E13" i="25" s="1"/>
  <c r="E7" i="17"/>
  <c r="E6" i="25" s="1"/>
  <c r="E5" i="17"/>
  <c r="E4" i="25" s="1"/>
  <c r="E4" i="17" l="1"/>
  <c r="E3" i="25" s="1"/>
  <c r="E13" i="17" l="1"/>
  <c r="E11" i="25" s="1"/>
  <c r="E19" i="17" l="1"/>
  <c r="E15" i="25" s="1"/>
  <c r="E27" i="17" l="1"/>
  <c r="E22" i="25" s="1"/>
  <c r="E12" i="17"/>
  <c r="E10" i="25" s="1"/>
  <c r="E10" i="17" l="1"/>
  <c r="B5" i="24" s="1"/>
  <c r="E24" i="17" l="1"/>
  <c r="E18" i="25" s="1"/>
  <c r="E18" i="17" l="1"/>
  <c r="E14" i="25" s="1"/>
  <c r="F70" i="2" l="1"/>
  <c r="E17" i="17" s="1"/>
  <c r="B7" i="24" s="1"/>
  <c r="E14" i="17" l="1"/>
  <c r="B6" i="24" s="1"/>
  <c r="E25" i="17"/>
  <c r="E19" i="25" s="1"/>
  <c r="E23" i="17"/>
  <c r="B9" i="24" s="1"/>
  <c r="E28" i="17"/>
  <c r="E23" i="25" s="1"/>
  <c r="E26" i="17"/>
  <c r="B10" i="24" s="1"/>
  <c r="E15" i="17" l="1"/>
  <c r="E12" i="25" s="1"/>
  <c r="E9" i="17"/>
  <c r="E8" i="25" s="1"/>
  <c r="E22" i="17" l="1"/>
  <c r="E17" i="25" s="1"/>
  <c r="F6" i="2"/>
  <c r="E21" i="17"/>
  <c r="B8" i="24" s="1"/>
</calcChain>
</file>

<file path=xl/sharedStrings.xml><?xml version="1.0" encoding="utf-8"?>
<sst xmlns="http://schemas.openxmlformats.org/spreadsheetml/2006/main" count="3006" uniqueCount="558">
  <si>
    <t>ASPIRATION 1:  A PROSPEROUS AFRICA BASED ON INCLUSIVE GROWTH AND SUSTAINABLE DEVELOPMENT</t>
  </si>
  <si>
    <t>Goal 1: A High Standard of Living, Quality of Life and Well Being for All</t>
  </si>
  <si>
    <t>Priority Area</t>
  </si>
  <si>
    <t>Agenda 2063 Target</t>
  </si>
  <si>
    <t>1. Incomes, Jobs and decent work</t>
  </si>
  <si>
    <t>GNI per capita</t>
  </si>
  <si>
    <t>2. Poverty, Inequality and Hunger</t>
  </si>
  <si>
    <t>b) Prevalence of underweight among children under 5</t>
  </si>
  <si>
    <t>% of population with access to safe drinking water</t>
  </si>
  <si>
    <t>3. Modern and Liveable Habitats and Basic Quality Services</t>
  </si>
  <si>
    <t>c)% of population with access to internet</t>
  </si>
  <si>
    <t>Goal 2: Well Educated Citizens and Skills revolution underpinned by Science, Technology and Innovation</t>
  </si>
  <si>
    <t xml:space="preserve">1. Education and STI driven Skills Revolution   </t>
  </si>
  <si>
    <t>Goal 3: Healthy and Well-Nourished Citizens</t>
  </si>
  <si>
    <t>1. Health and Nutrition</t>
  </si>
  <si>
    <t xml:space="preserve">a) Maternal mortality ratio                                                                                 </t>
  </si>
  <si>
    <t>b) Neo-natal mortality rate</t>
  </si>
  <si>
    <t xml:space="preserve">c) Under five mortality rate  </t>
  </si>
  <si>
    <t>Goal 4: Transformed Economies and Job Creation</t>
  </si>
  <si>
    <t xml:space="preserve">1. Sustainable inclusive economic growth </t>
  </si>
  <si>
    <t>2. STI driven Manufacturing / Industrialization and Value Addition</t>
  </si>
  <si>
    <t xml:space="preserve">Manufacturing value added as % of GDP </t>
  </si>
  <si>
    <t>3. Economic diversification and resilience</t>
  </si>
  <si>
    <t>Research and development expenditure as a proportion of GDP</t>
  </si>
  <si>
    <t xml:space="preserve">4. Hospitality / Tourism </t>
  </si>
  <si>
    <t>Tourism value added as a proportion of GDP</t>
  </si>
  <si>
    <t>Goal 5: Modern Agriculture for increased productivity and production</t>
  </si>
  <si>
    <t>1. Agricultural  productivity and production</t>
  </si>
  <si>
    <t>Goal 6: Blue/ ocean economy for accelerated economic growth</t>
  </si>
  <si>
    <t>1. Marine resources  and Energy</t>
  </si>
  <si>
    <t>Fishery Sector value added ( as share of GDP)</t>
  </si>
  <si>
    <t>Marine biotechnology value added as a % of GDP</t>
  </si>
  <si>
    <t>Goal 7: Environmentally sustainable climate resilient economies and communities</t>
  </si>
  <si>
    <t>1. Bio-diversity, conservation and sustainable natural resource management.</t>
  </si>
  <si>
    <t>% of agricultural land placed under sustainable land management practice.</t>
  </si>
  <si>
    <t xml:space="preserve">a) % of terrestrial and inland water areas preserved.                                                         </t>
  </si>
  <si>
    <t>ASPIRATION 2:  AN INTEGRATED CONTINENT, POLITICALLY UNITED AND BASED ON THE IDEALS OF PAN-AFRICANISM AND A VISION OF AFRICAN RENAISSANCE</t>
  </si>
  <si>
    <t>Goal 8:  United Africa (Federal or Confederate)</t>
  </si>
  <si>
    <t>1. Political and economic integration</t>
  </si>
  <si>
    <t>Goal 9: Key Continental Financial and Monetary Institutions established and functional</t>
  </si>
  <si>
    <t>Goal 10: World Class Infrastructure criss-crosses Africa</t>
  </si>
  <si>
    <t>% of the progress made on the implementation of Trans-African Highway Missing link</t>
  </si>
  <si>
    <t xml:space="preserve">%  of the progress made on the implementation the African High Speed Rail Network </t>
  </si>
  <si>
    <t>No. of protocols on African open skies Implemented</t>
  </si>
  <si>
    <t>No. of Mega Watts added into the national grid</t>
  </si>
  <si>
    <t xml:space="preserve"> Proportion of population using mobile phones</t>
  </si>
  <si>
    <t>% of ICT contribution to GDP</t>
  </si>
  <si>
    <t>ASPIRATION 3: AN AFRICA OF GOOD GOVERNANCE, DEMOCRACY, RESPECT FOR HUMAN RIGHTS, JUSTICE AND THE RULE OF LAW</t>
  </si>
  <si>
    <t>Goal 11:  Democratic values, practices, universal principles of human rights, justice and the rule of law entrenched</t>
  </si>
  <si>
    <t>1. Democratic Values and Practices are the Norm</t>
  </si>
  <si>
    <t>% of people who believe that there are effective mechanisms and oversight institutions to hold their leaders accountable</t>
  </si>
  <si>
    <t xml:space="preserve">% of people who believe that the elections are free, fair and transparent.                     </t>
  </si>
  <si>
    <t>- Signed</t>
  </si>
  <si>
    <t>- Ratified</t>
  </si>
  <si>
    <t xml:space="preserve">- Integrated the African Charter on democracy </t>
  </si>
  <si>
    <t>Goal 12: Capable institutions and transformed leadership in place at all levels</t>
  </si>
  <si>
    <t>1. Institutions and Leadership</t>
  </si>
  <si>
    <t>Proportion of persons who had at least one contact with  a public official and who paid a bribe to a public official or were asked for a bribe by these public officials during the previous twelve months</t>
  </si>
  <si>
    <t>ASPIRATION 4.  A PEACEFUL AND SECURE AFRICA</t>
  </si>
  <si>
    <t>Goal 13: Peace, Security and Stability are preserved</t>
  </si>
  <si>
    <t>Maintenance and Restoration of Peace and Security</t>
  </si>
  <si>
    <t xml:space="preserve">Conflict related deaths per 100,000 population </t>
  </si>
  <si>
    <t xml:space="preserve">1. Institutional Structure for AU Instruments on Peace and Security </t>
  </si>
  <si>
    <t xml:space="preserve">Number of armed conflicts </t>
  </si>
  <si>
    <t>Goal 15: A Fully Functional and Operational African Peace and Security Architecture</t>
  </si>
  <si>
    <t>1. Operationalization of APSA Pillars</t>
  </si>
  <si>
    <t>Existence of a national peace council.</t>
  </si>
  <si>
    <t>ASPIRATION 5:   AFRICA WITH A STRONG CULTURAL IDENTITY, COMMON HERITAGE, VALUES AND ETHICS</t>
  </si>
  <si>
    <t>Goal 16: African Cultural Renaissance is pre-eminent</t>
  </si>
  <si>
    <t>1. Values and  Ideals of Pan Africanism</t>
  </si>
  <si>
    <t>Proportion of the content of the curricula on indigenous African culture, values and language in primary and secondary schools</t>
  </si>
  <si>
    <t>ASPIRATION 6. AN AFRICA WHOSE DEVELOPMENT IS PEOPLE DRIVEN, RELYING ON THE POTENTIAL OF THE AFRICAN PEOPLE</t>
  </si>
  <si>
    <t>Goal 17:  Full Gender Equality in All Spheres of Life</t>
  </si>
  <si>
    <t>1. Women Empowerment</t>
  </si>
  <si>
    <t>Proportion of seats held by women in national parliaments, regional and local bodies</t>
  </si>
  <si>
    <t>Goal 18: Engaged and Empowered Youth and Children</t>
  </si>
  <si>
    <t>1. Youth Empowerment and Children’s Rights</t>
  </si>
  <si>
    <t>% of children engaged in  child labour</t>
  </si>
  <si>
    <t>% of children engaged in child marriage</t>
  </si>
  <si>
    <t xml:space="preserve">%  of children who are victims of human trafficking </t>
  </si>
  <si>
    <t xml:space="preserve"> Level of implementation of the provisions of the African Charter on the Rights of the Youth by Member States</t>
  </si>
  <si>
    <t>ASPIRATION 7:   AFRICA AS A STRONG AND INFLUENTIAL GLOBAL PARTNER</t>
  </si>
  <si>
    <t>Goal 19: Africa as a major partner in global affairs and peaceful co-existence</t>
  </si>
  <si>
    <t>1. Africa’s place in global affairs</t>
  </si>
  <si>
    <t>Existence of formal institutional arrangements for the coordination of the compilation of official statistics</t>
  </si>
  <si>
    <t>Goal 20: Africa takes full responsibility for financing her development</t>
  </si>
  <si>
    <t>1. Capital Markets</t>
  </si>
  <si>
    <t xml:space="preserve">2. Fiscal system and Public Sector Revenues </t>
  </si>
  <si>
    <t>3. Development Assistance</t>
  </si>
  <si>
    <t>Total ODA as a percentage of the national budget</t>
  </si>
  <si>
    <t>Resources raised through innovative financing mechanisms as a % of national budget</t>
  </si>
  <si>
    <t xml:space="preserve">Indicator Performance (IP) </t>
  </si>
  <si>
    <t>P- Weight</t>
  </si>
  <si>
    <t>Corresponding SDG Indicator</t>
  </si>
  <si>
    <t>T1 - Weight</t>
  </si>
  <si>
    <t>NIL</t>
  </si>
  <si>
    <t>I1 - Weight</t>
  </si>
  <si>
    <t>8.1.1 Annual growth rate of real GDP per capita</t>
  </si>
  <si>
    <t>8.5.2 Unemployment rate, by sex, age group and persons with disabilities</t>
  </si>
  <si>
    <t>10.2.1 Proportion of people living below 50 per cent of median income, by age, sex and persons with disabilities</t>
  </si>
  <si>
    <t>6.1.1 Percentage of population using safely managed drinking water services</t>
  </si>
  <si>
    <t>7.1.1 Proportion of population with access to electricity</t>
  </si>
  <si>
    <t>A63 Indicators</t>
  </si>
  <si>
    <t>Remarks</t>
  </si>
  <si>
    <t>Expected Performance by 2019</t>
  </si>
  <si>
    <t>Performance Rating</t>
  </si>
  <si>
    <t>Priority Area Dashboard</t>
  </si>
  <si>
    <t>Expected Increase / Reduction by 2019</t>
  </si>
  <si>
    <t>1. Communications and Infrastructure Connectivity</t>
  </si>
  <si>
    <t>Baseline</t>
  </si>
  <si>
    <t>Data Sources</t>
  </si>
  <si>
    <t>1.1.1 Increase 2013 per capita income by at least 30%</t>
  </si>
  <si>
    <t>1.1.2 Reduce 2013 unemployment rate by at least  25%</t>
  </si>
  <si>
    <t>1.3.1 Increase access and use of electricity and internet by at least 50% of the 2013 levels</t>
  </si>
  <si>
    <t>2.1.1 Enrolment rate for early childhood education is at least 300% of the 2013 rate</t>
  </si>
  <si>
    <t xml:space="preserve">3.1.1 Increase 2013 levels of access to sexual and reproductive health services to women by at least 30% </t>
  </si>
  <si>
    <t>3.1.3 Reduce the  2013 incidence  of HIV/AIDs, Malaria and TB by at least 80%</t>
  </si>
  <si>
    <t>3.1.4 Access to Anti-Retroviral (ARV) drugs  is 100%</t>
  </si>
  <si>
    <t>4.2.1 Real value of manufacturing in GDP is 50% more than the 2013 level.</t>
  </si>
  <si>
    <t>4.3.1 At least 1% of GDP is allocated to science, technology and innovation research and STI driven entrepreneurship development.</t>
  </si>
  <si>
    <t>5.1.1 Double  agricultural total factor productivity</t>
  </si>
  <si>
    <t>6.1.1 At least 50% increase in value addition in the fishery sector  in real term is attained by 2023</t>
  </si>
  <si>
    <t>6.1.2 Marine bio-technology contribution to GDP is increased in real terms by at least 50% from the 2013 levels</t>
  </si>
  <si>
    <t>7.1.1 At least 30% of agricultural land is placed under sustainable land management practice</t>
  </si>
  <si>
    <t>7.1.2 At least 17%  of terrestrial and inland water and 10%  of coastal and marine areas are preserved</t>
  </si>
  <si>
    <t>8.1.1 Active member of the African Free Trade Area</t>
  </si>
  <si>
    <t>8.1.2 Volume of intra-African trade is at least three times the 2013 level</t>
  </si>
  <si>
    <t>10.1.1 At least national readiness for implementation of the trans African Highway Missing link is achieved</t>
  </si>
  <si>
    <t>10.1.2 At least national readiness for in country connectivity to the African High Speed Rail Network is achieved by 2019</t>
  </si>
  <si>
    <t xml:space="preserve">10.1.3 Skies fully opened to African airlines </t>
  </si>
  <si>
    <t xml:space="preserve">10.1.4 Increase electricity generation and distribution by at least 50% by 2020  </t>
  </si>
  <si>
    <t>10.1.5 Double ICT penetration and contribution to GDP</t>
  </si>
  <si>
    <t xml:space="preserve">
16.5.1 Proportion of persons who had at least one contact with a public official and who paid a bribe to a public official, or were asked for a bribe by those public officials, during the previous 12 months</t>
  </si>
  <si>
    <t>11.1.1 At least 70% of the people believe that they are empowered and are holding their leaders accountable</t>
  </si>
  <si>
    <t>11.1.2 At least 70% of  the people perceive that the press / information is free and freedom of expression  pertains</t>
  </si>
  <si>
    <t>11.1.3 At least 70% of the public perceive elections are free, fair and transparent</t>
  </si>
  <si>
    <t>11.1.4 African Charter on Democracy is signed, ratified and domesticated by 2020</t>
  </si>
  <si>
    <t>12.1.1 At least 70% of the public acknowledge  the public service to be professional, efficient, responsive, accountable, impartial  and corruption free</t>
  </si>
  <si>
    <t xml:space="preserve">13.1.1 Level of conflict emanating from ethnicity, all forms of exclusion, religious and political differences is at most 50% of 2013 levels. </t>
  </si>
  <si>
    <t>14.1.1 Silence All Guns by 2020</t>
  </si>
  <si>
    <t>15.1.1 National Peace Council is established by 2016</t>
  </si>
  <si>
    <t>16.1.1 At least 60% of content in educational curriculum is on indigenous African culture, values and language targeting primary and secondary schools</t>
  </si>
  <si>
    <t>2. Violence &amp; Discrimination
against Women and Girls</t>
  </si>
  <si>
    <t>Proportion of women and girls subjected to sexual and physical violence</t>
  </si>
  <si>
    <t>Proportion of children whose births are registered in the first year</t>
  </si>
  <si>
    <t>17.2.1 Reduce 2013 levels of violence against women and Girls by at least 20%</t>
  </si>
  <si>
    <t>17.2.2 Reduce by 50% all harmful social norms and customary practices against women and girls and those that promote violence and discrimination against women and girls</t>
  </si>
  <si>
    <t>17.2.3 Eliminate all barriers to quality education, health and social services for Women and Girls by 2020</t>
  </si>
  <si>
    <t>Number of New HIV infections per 1000 population</t>
  </si>
  <si>
    <t>TB incedence per 1000 persons per year</t>
  </si>
  <si>
    <t>Malaria incidence per 1000 per year</t>
  </si>
  <si>
    <t>Calculating expected values for  2% annual decrease</t>
  </si>
  <si>
    <t xml:space="preserve">2.1.2 Enrolment rate for basic education is 100% </t>
  </si>
  <si>
    <t>2.1.3 Increase the number of qualified teachers by at least 30% with focus on STEM</t>
  </si>
  <si>
    <t xml:space="preserve">2.1.4 Universal secondary school (including technical high schools) with enrolment rate of 100% </t>
  </si>
  <si>
    <t xml:space="preserve">Proportion of teachers qualified in Science or Technology or Engineering or Mathematics by Sex and Level (Primary and Secondary)  </t>
  </si>
  <si>
    <t>Secondary school net enrolment rate by Sex</t>
  </si>
  <si>
    <t>5.1.2 At least 10% of small-scale farmers graduate into small-scale commercial farming and those graduating at least 30% should be women.</t>
  </si>
  <si>
    <t>3.1.2 Reduce 2013 maternal mortality rates by at least 50%</t>
  </si>
  <si>
    <t xml:space="preserve">18.1.1 Reduce 2013 rate of youth unemployment by at least 25%; in particular female youth </t>
  </si>
  <si>
    <t>18.1.2 End all forms of violence, child labour exploitation, child marriage and human trafficking</t>
  </si>
  <si>
    <t>18.1.3 Full implementation of the provision of African Charter on the Rights of the Youth is attained</t>
  </si>
  <si>
    <t>17.8.1 Proportion of individuals using the Internet</t>
  </si>
  <si>
    <t>4.2.2 Participation rate in organized learning (one year before the official primary entry age), by sex</t>
  </si>
  <si>
    <t>4.1.1 Proportion of children: (b) at the end of primary; and achieving at least a minimum proficiency level in (i) reading and (ii) mathematics, by sex</t>
  </si>
  <si>
    <t>4.c.1 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</si>
  <si>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3.7.1 Proportion of women of reproductive age (aged 15–49 years) who have their need for family planning satisfied with modern methods</t>
  </si>
  <si>
    <t>3.1.1 Maternal mortality ratio</t>
  </si>
  <si>
    <t>3.2.2 Neonatal mortality rate</t>
  </si>
  <si>
    <t>3.2.1 Under‑5 mortality rate</t>
  </si>
  <si>
    <t>3.3.1 Number of new HIV infections per 1,000 uninfected population, by sex, age and key populations</t>
  </si>
  <si>
    <t>3.3.2 Tuberculosis incidence per 100,000 population</t>
  </si>
  <si>
    <t>3.3.3 Malaria incidence per 1,000 population</t>
  </si>
  <si>
    <t>9.2.1 Manufacturing value added as a proportion of GDP and per capita</t>
  </si>
  <si>
    <t>9.5.1 Research and development expenditure as a proportion of GDP</t>
  </si>
  <si>
    <t>8.9.1 Tourism direct GDP as a proportion of total GDP and in growth rate</t>
  </si>
  <si>
    <t>2.3.1 Volume of production per labour unit by classes of farming/pastoral/forestry enterprise size</t>
  </si>
  <si>
    <t>14.7.1 Sustainable fisheries as a proportion of GDP in small island developing States, least developed countries and all countries</t>
  </si>
  <si>
    <t>2.4.1 Proportion of agricultural area under productive and sustainable agriculture</t>
  </si>
  <si>
    <t>15.1.2 Proportion of important sites for terrestrial and freshwater biodiversity that are covered by protected areas, by ecosystem type</t>
  </si>
  <si>
    <t>5.b.1 Proportion of individuals who own a mobile telephone, by sex</t>
  </si>
  <si>
    <t>16.7.2 Proportion of population who believe decision-making is inclusive and responsive, by sex, age, disability and population group</t>
  </si>
  <si>
    <t>16.10.1 Number of verified cases of killing, kidnapping, enforced disappearance, arbitrary detention and torture of journalists, associated media personnel, trade unionists and human rights advocates in the previous 12 months</t>
  </si>
  <si>
    <t>16.1.2 Conflict-related deaths per 100,000 population, by sex, age and cause</t>
  </si>
  <si>
    <t>5.2.1 Proportion of ever-partnered women and girls aged 15 years and older subjected to physical, sexual or psychological violence by a current or former intimate partner in the previous 12 months, by form of violence and by age</t>
  </si>
  <si>
    <t>5.3.2 Proportion of girls and women aged 15–49 years who have undergone female genital mutilation/cutting, by age</t>
  </si>
  <si>
    <t>8.5.2 Unemployment rate, by sex, age and persons with disabilities</t>
  </si>
  <si>
    <t>8.7.1 Proportion and number of children aged 5–17 years engaged in child labour, by sex and age</t>
  </si>
  <si>
    <t>5.3.1 Proportion of women aged 20–24 years who were married or in a union before age 15 and before age 18</t>
  </si>
  <si>
    <t>16.2.2 Number of victims of human trafficking per 100,000 population, by sex, age and form of exploitation</t>
  </si>
  <si>
    <t>17.18.2 Number of countries that have national statistical legislation that complies with the Fundamental Principles of Official Statistics</t>
  </si>
  <si>
    <t>17.18.3 Number of countries with a national statistical plan that is fully funded and under implementation, by source of funding</t>
  </si>
  <si>
    <t>17.1.2 Proportion of domestic budget funded by domestic taxes</t>
  </si>
  <si>
    <t>17.3.1 Foreign direct investment (FDI), official development assistance and South-South cooperation as a proportion of total domestic budget</t>
  </si>
  <si>
    <t>Total</t>
  </si>
  <si>
    <t>Member State</t>
  </si>
  <si>
    <t>Member States</t>
  </si>
  <si>
    <t>Algeria</t>
  </si>
  <si>
    <t>Burkina Faso</t>
  </si>
  <si>
    <t>Cameroon</t>
  </si>
  <si>
    <t>Central Africa Republic</t>
  </si>
  <si>
    <t>Chad</t>
  </si>
  <si>
    <t>Congo (Republic of the)</t>
  </si>
  <si>
    <t>Cote D'Ivoire</t>
  </si>
  <si>
    <t>Eswatini</t>
  </si>
  <si>
    <t>Ghana</t>
  </si>
  <si>
    <t>Lesotho</t>
  </si>
  <si>
    <t>Mauritania</t>
  </si>
  <si>
    <t>Mauritius</t>
  </si>
  <si>
    <t>Rwanda</t>
  </si>
  <si>
    <t>Sierra Leone</t>
  </si>
  <si>
    <t>South Africa</t>
  </si>
  <si>
    <t>Tunisia</t>
  </si>
  <si>
    <t>Egypt</t>
  </si>
  <si>
    <t>19.1.1 National statistical system fully functional</t>
  </si>
  <si>
    <t xml:space="preserve">20.1.1 National capital market finances  at least 10% of development expenditure </t>
  </si>
  <si>
    <t>20.1.2 Tax and non-tax revenue of all levels of government should cover at least 75% of current and development expenditure</t>
  </si>
  <si>
    <t>20.1.3 Proportion of aid in the national budget is at most  25% of 2013 level</t>
  </si>
  <si>
    <t>Current Indicator Value</t>
  </si>
  <si>
    <t>Base value (2013)</t>
  </si>
  <si>
    <t>b) % of households using electricity</t>
  </si>
  <si>
    <t>a)% of households with access to electricity</t>
  </si>
  <si>
    <t>% of children of pre-school age attending pre school</t>
  </si>
  <si>
    <t>% of eligible population with HIV having access to Anti-Retroviral Treatment</t>
  </si>
  <si>
    <t>Agricultural total factor productivity</t>
  </si>
  <si>
    <t xml:space="preserve">% of small-scale farmers graduating into small-scale commercial farming by Sex </t>
  </si>
  <si>
    <t>1. Financial and Monetary Institutions</t>
  </si>
  <si>
    <t>Angola</t>
  </si>
  <si>
    <t>Benin</t>
  </si>
  <si>
    <t>Botswana</t>
  </si>
  <si>
    <t>Burundi</t>
  </si>
  <si>
    <t>Cabo Verde</t>
  </si>
  <si>
    <t>Comoros</t>
  </si>
  <si>
    <t>Democratic Republic of Congo</t>
  </si>
  <si>
    <t>Djibouti</t>
  </si>
  <si>
    <t>Equatorial Guinea</t>
  </si>
  <si>
    <t>Ethiopia</t>
  </si>
  <si>
    <t>Gabon</t>
  </si>
  <si>
    <t>Gambia</t>
  </si>
  <si>
    <t>Guinea</t>
  </si>
  <si>
    <t>Guinea Bissau</t>
  </si>
  <si>
    <t>Kenya</t>
  </si>
  <si>
    <t>Liberia</t>
  </si>
  <si>
    <t>Libya</t>
  </si>
  <si>
    <t>Madagascar</t>
  </si>
  <si>
    <t>Malawi</t>
  </si>
  <si>
    <t>Mali</t>
  </si>
  <si>
    <t>Morocco</t>
  </si>
  <si>
    <t>Mozambique</t>
  </si>
  <si>
    <t>Namibia</t>
  </si>
  <si>
    <t>Niger</t>
  </si>
  <si>
    <t>Nigeria</t>
  </si>
  <si>
    <t>Sao Tome and Principe</t>
  </si>
  <si>
    <t>Senegal</t>
  </si>
  <si>
    <t>Seychelles</t>
  </si>
  <si>
    <t>Somalia</t>
  </si>
  <si>
    <t>South Sudan</t>
  </si>
  <si>
    <t>Sudan</t>
  </si>
  <si>
    <t>Togo</t>
  </si>
  <si>
    <t>Uganda</t>
  </si>
  <si>
    <t>Tanzania</t>
  </si>
  <si>
    <t>Zambia</t>
  </si>
  <si>
    <t>Zimbabwe</t>
  </si>
  <si>
    <t>Eritrea</t>
  </si>
  <si>
    <t>Sahrawi Arab Democratic Republic</t>
  </si>
  <si>
    <t>Net enrolment rate by sex  and age in primary school</t>
  </si>
  <si>
    <t>Existence of a Continental Free Trade Area  that is ratified by all Member States</t>
  </si>
  <si>
    <t>17.1.1 Equal economic rights for women, including the rights to own and inherit property, sign a contract, save, register and manage a business and own and operate a bank account by 2026</t>
  </si>
  <si>
    <t>17.1.2 At least 30% of all elected officials at local, regional and national levels are Women as well as in judicial institutions</t>
  </si>
  <si>
    <t>Adoption of statistical legislation that complies with fundamental principles of official statistics</t>
  </si>
  <si>
    <t>Proportion of national budget for the implementation of functional statistical system</t>
  </si>
  <si>
    <t>Total tax revenue as a % of GDP</t>
  </si>
  <si>
    <t>9.1.1 Fast Track realization of the Continental Free Trade Area</t>
  </si>
  <si>
    <t>1.2.1 Reduce stunting in children to 10% and underweight to 5%.</t>
  </si>
  <si>
    <t>1.2.2 Reduce 2013 level of proportion of the population without access to safe drinking water by 95%.</t>
  </si>
  <si>
    <t>4.4.1 Contribution of tourism to GDP in real terms is increased by at least 100%.</t>
  </si>
  <si>
    <t xml:space="preserve">% of people who perceive that there is freedom of the press. </t>
  </si>
  <si>
    <r>
      <t>Goal 14:  A Stable and Peaceful Africa</t>
    </r>
    <r>
      <rPr>
        <sz val="9"/>
        <rFont val="Arial"/>
        <family val="2"/>
      </rPr>
      <t xml:space="preserve"> </t>
    </r>
  </si>
  <si>
    <t xml:space="preserve">Proportion of women in total agricultural population with ownership or secure rights over agricultural land             </t>
  </si>
  <si>
    <t>5.a.1 (a) Proportion of total agricultural population with ownership or secure rights over agricultural land by sex and (b) share of women among owners or rights-bearers of agricultural land, by type of tenure</t>
  </si>
  <si>
    <t>% of women aged 15-49 who have access to sexual and reproductive health service in the last 12 months</t>
  </si>
  <si>
    <t>Unemployment rate by age group, by sex</t>
  </si>
  <si>
    <t xml:space="preserve">5.5.1 Proportion of seats held by women in: (a) National Parliements  and (b) Local Governments </t>
  </si>
  <si>
    <t>Proportion of girls and women aged 15-49 years who have undergone female genital mutilation/ cutting by age</t>
  </si>
  <si>
    <t>16.9.1 Proportion of children under 5 years of age whose births have been registered with a civil authority, by age</t>
  </si>
  <si>
    <t>Unemployment rate of youth, by sex</t>
  </si>
  <si>
    <t>Agenda 2063 First Ten Year Implementation Plan (FTYIP) Progress Reporting Template</t>
  </si>
  <si>
    <t>4.1.1 Annual GDP growth rate of  at least 7%</t>
  </si>
  <si>
    <t>Real GDP</t>
  </si>
  <si>
    <t xml:space="preserve">No. of Non-tariff barriers (NTBs) eliminated </t>
  </si>
  <si>
    <t>Change in value of intra-African trade per annum (in US $)</t>
  </si>
  <si>
    <t xml:space="preserve">Proportion of public sector budget funded by national capital markets </t>
  </si>
  <si>
    <t>Overall Rating</t>
  </si>
  <si>
    <t xml:space="preserve">In Ethiopia context for comparison purposes, GDP per capita  at current market prices has been used instead of GNI percapita </t>
  </si>
  <si>
    <t xml:space="preserve">We consider the baselinedata from 2012 UEUS Table 6.1 Currently Unemployed Population of Urban Areas Aged Ten Years and Above
by Region, Age Group, Sex, and Unemployment Rate: and the performance value from the 2018 UEUS Table 6.1 Total Unemployed Population and Total Unemployment Rate of Regions Aged Ten Years
and above by Sex </t>
  </si>
  <si>
    <t xml:space="preserve">2011 EDHS Table 11.1 shows that 29 percent of children under age five are underweight as baseline and 2016 EDHS Table 11.1 Nutritional status of children as performance </t>
  </si>
  <si>
    <t>The baseline value was 58 for the year (2014/15) as baseline 2018 perofmance from MoWIE</t>
  </si>
  <si>
    <t>For the case of Ethiopia, the data point can be takes as Internet and data density (%)</t>
  </si>
  <si>
    <t>Current value is taken interms of GER and baseline is also interms of GER from MoE EASS Annual Abstract</t>
  </si>
  <si>
    <t>This is the Net Enrolment ratio takne from MoE Annual Abstract</t>
  </si>
  <si>
    <t>We took the average of primary and secondary school certified/qualified teachers over the total teachers from MoE EASS Annual Abstract</t>
  </si>
  <si>
    <t>We took the average of GER for the two Secondry School cycles (Grade 9-10 and Grade 11-12) from MoE EASS Annual Abstract</t>
  </si>
  <si>
    <t xml:space="preserve">The baseline data has been taken from the 2011 EDHS finding on Table 7.2 Current use of contraception for all Women and the current data is from the 2016 EDHS on Table 7.3 Current use of contraception for all Women </t>
  </si>
  <si>
    <t xml:space="preserve">Baseline data has been taken Baseline Value from UNDP Assessment of Ethiopia’s Progress towards the MDGs 
 Page 47) result of maternal mortality per 100,00 deathes and the Current Value has been taken from  2016 EDHS </t>
  </si>
  <si>
    <t>Baseline data has been taken from the 2011 EDHS result Table Table 8.1 Early childhood mortality rate and the Current Value has been taken from  2016 EDHS Table Table 8.1 Early childhood mortality rates</t>
  </si>
  <si>
    <t>Baseline data has been taken from the 2011 EDHS result Table Table 8.1 Early childhood mortality rate and the Current Value has been taken from  SDGS INDEX REPORT (2019) for 2017 reference year as under 5 mortality rates</t>
  </si>
  <si>
    <t>Baseline Value has bCurrent Value has een taken from EDHS 2011 (Table 13.6 HIV prevalence by sexual behaviour P 237)been taken from SDGS INDEX REPORT (2019) for 2017 reference year as New HIV infection</t>
  </si>
  <si>
    <t>Baseline Value has been taken from First Ethiopian National Population Based Tuberculosis Prevalence Survey, 2011, Page VIII prevalence of
 TB per 100,000 population and Current Value has been taken from SDGS INDEX REPORT (2019) for 2017 reference year Lage 95 prevalence of
 TB per 100,000 population</t>
  </si>
  <si>
    <t xml:space="preserve">Baseline Value has been taken from UNDP Assessment of Ethiopia’s Progress towards the MDGs 
 (Table 4.6.3: Trends in combating HIV/AIDS, malaria and other diseases, 1990-2012, Page 59) and Current Value has been taken from SDGS INDEX REPORT (2019) for 2017 reference year </t>
  </si>
  <si>
    <t>National Bank of Ethiopia, 2017/18 Annual Report Table 1.3: Growth and Percentage Distribution of Major Agricultural, Industrial and Service
Sub-sectors, Baseline Value is 2013, Current Value is 2018</t>
  </si>
  <si>
    <t>For this iendicator data point, the proxy indicator, second level land use certificates (in million), has been used. The land certification ensures land tenure security and improve its productive sustainability</t>
  </si>
  <si>
    <t>This needs baseline survey and should be completed by AU</t>
  </si>
  <si>
    <t>The baseline data is taken for the period 2014 as it is reviewed during preparation of The Scond Growth and Transformation Plan.</t>
  </si>
  <si>
    <t xml:space="preserve">All the baseline data has been take from the First Growth and Transformation Plan performance the current data point has been taken from the  2017/18  progress report of the Second Growth and Transformation Plan report. </t>
  </si>
  <si>
    <t>The data point for this indicator has been filled by the contribution of transport and communication .</t>
  </si>
  <si>
    <t xml:space="preserve">ministry of peace has been established. There is also well organized police and army institutions </t>
  </si>
  <si>
    <t>Baseline Value has been taken from EDHS 2011 (Table 14.4.1 Ownership of assets: Women page 252) and Current value has been taken from LIFT SLLC  2019 Data</t>
  </si>
  <si>
    <t>Basline value in 2015 (UNDP Assessment of Ethiopia’s Progress towards the MDGs Page 40) current value is Women in ministerial/cabinet positions (%) which is 50% in 2019</t>
  </si>
  <si>
    <t>Current Value has been taken from EDHS 2016 (Table 15.1 Experience of physical violence page 299 and Table 15.4 Experience of sexual violence page 302)  Baseline value has been taken from the 2011 EDHS (Table 14.7.1 Attitude towards wife beating: Women
Percentage of all women age 15-49 who agree that a husband is justified in hitting or beating his wife for specific reasons, by background
characteristics, Ethiopia 2011, page 257)</t>
  </si>
  <si>
    <t>Baseline Value has been taken from 2005 EDHS, (Table 16.13 Knowledge, prevalence, and support of female circumcision, page 253). Current Value has been taken from EDHS 2016 (Table 16.2 Prevalence of female circumcision page 321)</t>
  </si>
  <si>
    <t>Baseline Value haas been taken from 2014 and current value has been taken for 2018 from Key Findings on the 2018 Urban Employment Unemployment Survey (With Comparative Analysis to 2012 and 2014-2016 Survey Results) 2018 - Figure 3.2 Youth Unemployment Rate in Urban areas by Sex During the Five Year survey Periods, country Total page 4.</t>
  </si>
  <si>
    <t>Baseline Value has been taken from the 2015 Ethiopian National Child Labor Survey (Table 7.1: Number and percentage of children in child labour aged 5-17, working children not in child labour and non-working children by sex, age groups and area of residence, Country Total: 2015, Page 63) and Current Value has been taken from SDGS INDEX REPORT (2019) for 2016 Percentage of Children 5-14 years old involved in child labour  page  95</t>
  </si>
  <si>
    <t>Baseline Value has been taken from the 2011 EDHS (Table 4.3 Age at first marriage page 63) and Current Value has been taken from 2016 EDHS (Table 4.3 Age at first marriage, page 72)</t>
  </si>
  <si>
    <t>needs baseline and progess surveys</t>
  </si>
  <si>
    <t>Ethiopia Government Budget for the year 2013 was 150,630,492,061 ETB  and out of which the amount allocated to CSA for annual statistical activities was 195,280,100 ETB as Baseline Value. As a Current value the Natioanl Budget for the year 2019 is 386,955,000,000 ETB and out of which the amount allocated to CSA to run annual statistical activities for 2019 was 550,000,000 ETB which give as the stated proportion of national budget for the implimentation of the statistical system</t>
  </si>
  <si>
    <t xml:space="preserve">In Ethiopian context this cell is completed by the share of government revenue from Grants. </t>
  </si>
  <si>
    <t>World Bank</t>
  </si>
  <si>
    <t>MINECOFIN Report</t>
  </si>
  <si>
    <t>Using NISR data for National Accounts and Population, Macro calculates the GNI Per Capita</t>
  </si>
  <si>
    <t>NISR, LFS</t>
  </si>
  <si>
    <t>LFS (2018)
Male: 13.5%
Female: 17.1%</t>
  </si>
  <si>
    <t xml:space="preserve">NISR, DHS
</t>
  </si>
  <si>
    <t>NISR, EICV</t>
  </si>
  <si>
    <t>MININFRA, Administrative data</t>
  </si>
  <si>
    <t>NISR, Statistical Year Book</t>
  </si>
  <si>
    <t>MINEDUC, Statistical Year Book</t>
  </si>
  <si>
    <t>NER Male: 97.3%
NER Female: 98%
(2016)</t>
  </si>
  <si>
    <t>MINEDUC, ESSP</t>
  </si>
  <si>
    <t>NER in Scondary School (2017)
Male: 32.1%
NER Female: 28.2%</t>
  </si>
  <si>
    <t>NISR, DHS</t>
  </si>
  <si>
    <t>GDP National Accounts</t>
  </si>
  <si>
    <t>NISR National Accounts</t>
  </si>
  <si>
    <t>USDA Database on International Agricultural Productivity Growth</t>
  </si>
  <si>
    <t>NISR, National Accounts</t>
  </si>
  <si>
    <t>MINAGRI, Administrative Data</t>
  </si>
  <si>
    <t>Indicator is not disagreggated in Rwanda. Considered data for Land area protected to maintain biodiversity (includes inland, wetland, and natural forest)</t>
  </si>
  <si>
    <t>Not editable, but AfCFTA  was signed in March 21st 2018 in Rwanda
Currently 54 Countries are already members and 27 have ratified it</t>
  </si>
  <si>
    <t>A feasibility study was completed for the ISAKA- Dar er Salam - Kigali Railway line</t>
  </si>
  <si>
    <t>RGB, RGS</t>
  </si>
  <si>
    <t>RGS</t>
  </si>
  <si>
    <t>Rwanda has a National Security Council</t>
  </si>
  <si>
    <t>Administrative  data (NEC, MINALOC)</t>
  </si>
  <si>
    <t xml:space="preserve">Parliament=61.3% 
District Mayors=35.7% 
Member of Districts Consultative Council = 45.2%
</t>
  </si>
  <si>
    <t>DHS
VACYS</t>
  </si>
  <si>
    <t xml:space="preserve">14% of women, age 15-49 experienced physical violence 
18% of women, age 15-49 experienced sexual violence </t>
  </si>
  <si>
    <t>Not applicable to Rwanda</t>
  </si>
  <si>
    <t>DHS
CRVS</t>
  </si>
  <si>
    <t>LFS (2018)-Youth (16-30Yrs)
Youth Male: 16%
Youth Female: 21.9%</t>
  </si>
  <si>
    <t>NISR, EICV (4&amp;5)</t>
  </si>
  <si>
    <t>NISR and DHS (4&amp;5)</t>
  </si>
  <si>
    <t>At age 15: 0.4%
At age 18: 6.8%
Baseline= DHS 2010 (those married by 18)</t>
  </si>
  <si>
    <t>Was signed by Rwanda on 29/6/2007, Ratified on 7/8/2007 and domesticated in National Plocies &amp; Strategies</t>
  </si>
  <si>
    <t>The law No. 30 of 29/07/2013 establishes the National institute of Statistics of Rwanda (NISR)</t>
  </si>
  <si>
    <t xml:space="preserve">14.12 Bn Frw of Total National  Budget
</t>
  </si>
  <si>
    <t>Statistical Abstract, 2016/7</t>
  </si>
  <si>
    <t>Quarterly Labour Force Survey, Q2 2019</t>
  </si>
  <si>
    <t>Household Budget Survey, 2012/2013</t>
  </si>
  <si>
    <t>Ministry of Health</t>
  </si>
  <si>
    <t>National Assembly Website</t>
  </si>
  <si>
    <t>Not applicable</t>
  </si>
  <si>
    <t>Civil Status</t>
  </si>
  <si>
    <t>LFS 2012/3 - Quarterly Labour Force Survey</t>
  </si>
  <si>
    <t>National Bureau of Statistics Act 2010</t>
  </si>
  <si>
    <t>The National Bureau of Statistics acts as a repositry of data</t>
  </si>
  <si>
    <t>National Treasury Estimates of National Expenditure (ENE)</t>
  </si>
  <si>
    <t>CBS</t>
  </si>
  <si>
    <t>the current data 2017</t>
  </si>
  <si>
    <t>MICS 2014</t>
  </si>
  <si>
    <t xml:space="preserve"> Strategy reoprt 2018</t>
  </si>
  <si>
    <t>the current data 2015</t>
  </si>
  <si>
    <t>Fedral Ministry of Heath</t>
  </si>
  <si>
    <t>the current data 2018</t>
  </si>
  <si>
    <t>The annual report of the Central Bank of Sudan 2018</t>
  </si>
  <si>
    <t>Data of 2018</t>
  </si>
  <si>
    <t>the strategic repot 2018</t>
  </si>
  <si>
    <t>the current data 2017, the base value 2014</t>
  </si>
  <si>
    <t>Agenda 2063 First Ten Year Implementation Plan (FTYIP) Progress Report</t>
  </si>
  <si>
    <t>A63 Targets</t>
  </si>
  <si>
    <t xml:space="preserve">Dashbaord </t>
  </si>
  <si>
    <t>The proxy indicator "areas of land covered with soil and water conservation technologies (million hectares)." has been used. There is need to validate the baseline</t>
  </si>
  <si>
    <t>MICS6 2019 IS PENDING, No Data</t>
  </si>
  <si>
    <t>Updated based on the AU portal on AfCFTA</t>
  </si>
  <si>
    <t>Validated based on AU AfCFTA Data Portal</t>
  </si>
  <si>
    <t>Validated using the AfCFTA webportal</t>
  </si>
  <si>
    <t>Completed using AU treatie data , no MS information on domestication</t>
  </si>
  <si>
    <t>Aspiration</t>
  </si>
  <si>
    <t>Achievement</t>
  </si>
  <si>
    <t>Goal</t>
  </si>
  <si>
    <t>Asipiration 1</t>
  </si>
  <si>
    <t>Asipiration 2</t>
  </si>
  <si>
    <t>Asipiration 3</t>
  </si>
  <si>
    <t>Asipiration 4</t>
  </si>
  <si>
    <t>Asipiration 5</t>
  </si>
  <si>
    <t>Asipiration 6</t>
  </si>
  <si>
    <t>Asipiration 7</t>
  </si>
  <si>
    <t>Goal 1</t>
  </si>
  <si>
    <t>Goal 2</t>
  </si>
  <si>
    <t>Goal 3</t>
  </si>
  <si>
    <t>Goal 4</t>
  </si>
  <si>
    <t>Goal 5</t>
  </si>
  <si>
    <t>Goal 6</t>
  </si>
  <si>
    <t>Goal 7</t>
  </si>
  <si>
    <t>Goal 8</t>
  </si>
  <si>
    <t>Goal 9</t>
  </si>
  <si>
    <t>Goal 10</t>
  </si>
  <si>
    <t>Goal 11</t>
  </si>
  <si>
    <t>Goal 12</t>
  </si>
  <si>
    <t>Goal 13</t>
  </si>
  <si>
    <t>Goal 14</t>
  </si>
  <si>
    <t>Goal 15</t>
  </si>
  <si>
    <t>Goal 16</t>
  </si>
  <si>
    <t>Goal 17</t>
  </si>
  <si>
    <t>Goal 18</t>
  </si>
  <si>
    <t>Decription</t>
  </si>
  <si>
    <t>Level of Result</t>
  </si>
  <si>
    <t>Goal/Aspriration</t>
  </si>
  <si>
    <t>Row Labels</t>
  </si>
  <si>
    <t>Indicator Performance</t>
  </si>
  <si>
    <t>2013 and 2018 GDP Estimates, UBOS</t>
  </si>
  <si>
    <t>UNHS 2012/13, UNHS 2016/17</t>
  </si>
  <si>
    <t>DHS 2011, DHS 2016</t>
  </si>
  <si>
    <t>Uganda Communications Commission</t>
  </si>
  <si>
    <t>Cross Check 2019 figure</t>
  </si>
  <si>
    <t>MOES 2013 - 2017 School Census</t>
  </si>
  <si>
    <t>No data provided for this indicator</t>
  </si>
  <si>
    <t xml:space="preserve">SDG 3.7.1 </t>
  </si>
  <si>
    <t>GDP Estimates 2013/14 - 2017/18, UBOS</t>
  </si>
  <si>
    <t>Updated based on AU Webportal</t>
  </si>
  <si>
    <t xml:space="preserve">SDG 7.1.1 </t>
  </si>
  <si>
    <t>UNGBS 2014 and UNGPSS 2018</t>
  </si>
  <si>
    <t>Updsted based on the AU Web-portal</t>
  </si>
  <si>
    <t>SDG 5.2.1</t>
  </si>
  <si>
    <t>SDG 5.3.2</t>
  </si>
  <si>
    <t>SDG 16.9.1</t>
  </si>
  <si>
    <t>NLFS</t>
  </si>
  <si>
    <t>Aspiration 1:  A PROSPEROUS AFRICA BASED ON INCLUSIVE GROWTH AND SUSTAINABLE DEVELOPMENT</t>
  </si>
  <si>
    <t xml:space="preserve"> Aspiration 2:  AN INTEGRATED CONTINENT, POLITICALLY UNITED AND BASED ON THE IDEALS OF PAN-AFRICANISM AND A VISION OF AFRICAN RENAISSANCE</t>
  </si>
  <si>
    <t>Aspiration 3: AN AFRICA OF GOOD GOVERNANCE, DEMOCRACY, RESPECT FOR HUMAN RIGHTS, JUSTICE AND THE RULE OF LAW</t>
  </si>
  <si>
    <t xml:space="preserve"> Goal 12: Capable institutions and transformed leadership in place at all levels</t>
  </si>
  <si>
    <t xml:space="preserve"> Apriration 4.  A PEACEFUL AND SECURE AFRICA</t>
  </si>
  <si>
    <t xml:space="preserve">Goal 14:  A Stable and Peaceful Africa </t>
  </si>
  <si>
    <t>Aspiration 5:   AFRICA WITH A STRONG CULTURAL IDENTITY, COMMON HERITAGE, VALUES AND ETHICS</t>
  </si>
  <si>
    <t xml:space="preserve"> Goal 16: African Cultural Renaissance is pre-eminent</t>
  </si>
  <si>
    <t>Aspiration 6. AN AFRICA WHOSE DEVELOPMENT IS PEOPLE DRIVEN, RELYING ON THE POTENTIAL OF THE AFRICAN PEOPLE</t>
  </si>
  <si>
    <t xml:space="preserve"> Aspitation 7:   AFRICA AS A STRONG AND INFLUENTIAL GLOBAL PARTNER</t>
  </si>
  <si>
    <t xml:space="preserve"> Goal 20: Africa takes full responsibility for financing her development</t>
  </si>
  <si>
    <t>Apriration 1:  A properous Africa based on inclusive growth and sustainable development</t>
  </si>
  <si>
    <t xml:space="preserve"> Aspiration 2:  An integrated continent, politically united and based on the ideals of Pan - Africanism and a Vision of the African Renaissance</t>
  </si>
  <si>
    <t>Aspiration 3: An African of good governance, democracy, respect for human rigjhts and the rule of law</t>
  </si>
  <si>
    <t xml:space="preserve"> Aspiration 4. A peaceful and secure Africa</t>
  </si>
  <si>
    <t>Aspiration 5: African with a strong cultural identity, common heritage, value and beliefs</t>
  </si>
  <si>
    <t>Aspiration 6 An Africa whose development of people driven, relying on the potential of the African People</t>
  </si>
  <si>
    <t xml:space="preserve"> Aspiration 7: Africa as a strong and influential global partner</t>
  </si>
  <si>
    <t>No data provided. Indicator pefrormance to be set to 0% if data is not provided</t>
  </si>
  <si>
    <t>Overall Performance Rating/Score</t>
  </si>
  <si>
    <t xml:space="preserve">Priority Area Scores </t>
  </si>
  <si>
    <t>Indexed Priority Area Dashboard</t>
  </si>
  <si>
    <t xml:space="preserve">No data provided for this indicator, the performance rating for this indicator will be set to zero if data is not provided.
   </t>
  </si>
  <si>
    <t>Based on research conducted by IFPRI in may 2012 the average TFP was 2,7. Based on the government effort to improve the agricultural productivity, for 2019, it has been estimated be 3 percent.</t>
  </si>
  <si>
    <t>No data provided for this indicator, the performance rating for this indicator will be set to zero if data is not provided.</t>
  </si>
  <si>
    <t>Updated using AfCFTA web portal data</t>
  </si>
  <si>
    <t>Ethiopia has constructed road access to neighbouring countries (Sudan, Kenya, Djobouti, Eritrea and South Sudan)</t>
  </si>
  <si>
    <t>Ethiopia has constructed a carbon emission free train and linked Ethiopia and Djibouti</t>
  </si>
  <si>
    <t xml:space="preserve">Ethiopian Airline has linked African to the rest of the world. Moreover, the Ethiopian aviation service is providing safe flights African Airlines. </t>
  </si>
  <si>
    <t>Current Value has been taken from SDGS INDEX REPORT (2019) for 2018 reference year  Freedom of Press Index (best 0-100 worst) .
Indicators without baselines or current values distort performance ratings. The performance rating for this indicator will be set to zero if current data is not provided.</t>
  </si>
  <si>
    <t>The Country can provide addirional data on the domenstication to score on this indicator.</t>
  </si>
  <si>
    <t xml:space="preserve">
No data provided for this indicator, the performance rating for this indicator will be set to zero if data is not provided.</t>
  </si>
  <si>
    <t>Current Value has been taken from SDGS INDEX REPORT (2019) for 2018 conflict related death per 100,00 population (No baseline data, just put the current value to allow for aggregation.
This indicator captures number of people dying from conflicts per 100,000 population. There we can not have 0.5 people it has to be whole numbers. Please also verify the numbers reported.</t>
  </si>
  <si>
    <t>The indicator needs baseline survery. 
No baseline data provided for this indicator, the performance rating for this indicator will be set to zero if data is not provided.</t>
  </si>
  <si>
    <t xml:space="preserve">Ethiopia has its own curriculum in teaching in mother tangue starting pre-parimary school. The culture and tourism also documents language types of all the nations in the country. 
</t>
  </si>
  <si>
    <t>Percentage of new born babies who earned birth certificate. The admistrative data are reported by Ministry of Women. Youth and  Child affairs.
No baseline data provided for this indicator, the performance rating for this indicator will be set to zero if data is not provided.</t>
  </si>
  <si>
    <t>HIV Annual  Reports</t>
  </si>
  <si>
    <t>Tourism Satelite Account 2017</t>
  </si>
  <si>
    <t xml:space="preserve">
</t>
  </si>
  <si>
    <t>No data provided as it is currently not tracked in Rwanda. 
Indicator performance to be set to 0% if data is not provided</t>
  </si>
  <si>
    <t>Report of the 13th EAC  Regional forum on NTBs</t>
  </si>
  <si>
    <t xml:space="preserve">2013: 
5 resolved
24 Outstanding
3 new
2018:
15 resolved
6 new
</t>
  </si>
  <si>
    <t>By 2013 all the roads linking Rwanda and her neighbouring Countries (Uganda, Tanzania, Burundi and DRC) were constructed and operational.
In 2017, Government of Rwanda started renovating Kagitumba - Kayonza- Rusumo (208 kms) road linking Rwanda with Uganda and Tanzania and this is still ongoing</t>
  </si>
  <si>
    <t>RGS (Rwanda Governance Score card)</t>
  </si>
  <si>
    <t>Scores for aproxy indicator  available "% of citizens satisfaction in their particpation in elections"</t>
  </si>
  <si>
    <t>There is no death under this category</t>
  </si>
  <si>
    <t xml:space="preserve">RLMUA Administrative report for Baseline
2019 Beijing+25 Rwanda Country Report </t>
  </si>
  <si>
    <t xml:space="preserve">Married couples represent 59.99%  of land owners, while women who own land alone represent 24.63%, </t>
  </si>
  <si>
    <t>MINIJUST, JLOS Report, RIB Reports</t>
  </si>
  <si>
    <t>RRA Annual activity report 2018/19</t>
  </si>
  <si>
    <t>Note that what was captured is not conclusive e.g. contributions from PPPs are not captured. This contribution includes; Umuganda, Agaciro Development Fund, Innovative Taxes e.g. Infrastructure levy, Strategic reserves levy, CBHI membership contributions and Road maintance fund</t>
  </si>
  <si>
    <t>The Indicator does not have a current value which distorts the performance, If the the current data is not provided, the indicator performance rating will be adjusted to 0%.</t>
  </si>
  <si>
    <t>Completed using AU treatie data , Member State may adjust the status for domestication if evidence is provided.</t>
  </si>
  <si>
    <t>just put 1 under the current indicator value to enable clauculation of overall score 
No data provided. Indicator pefrormance to be set to 0% if data is not provided</t>
  </si>
  <si>
    <t xml:space="preserve">Not applicable. </t>
  </si>
  <si>
    <t>The Indicator does not have a baseline value. IF the baseline value  is not provided, the indicator performance rating will be maintained at 0%.</t>
  </si>
  <si>
    <t>Basline MICs 2014, MICS6 2019 IS PENDING</t>
  </si>
  <si>
    <t>No Data. MICS6 2019 IS PENDING</t>
  </si>
  <si>
    <t>Fedral Ministry of Heath, current data is 2018</t>
  </si>
  <si>
    <t>The Indicator does not have a baseline value. IF the baseline value  is not provided, the indicator performance rating will be set to 0%.</t>
  </si>
  <si>
    <t>Completed based on the AU Web-Portal</t>
  </si>
  <si>
    <t>Indicator status can only be updated if the country has provided evidence of domesticating African Charter on Democracy</t>
  </si>
  <si>
    <t>the strategic repot 2018, current data is 2017</t>
  </si>
  <si>
    <t>MOH</t>
  </si>
  <si>
    <t>UBOS-DBIS</t>
  </si>
  <si>
    <t>ERA (2018)</t>
  </si>
  <si>
    <t>Report on the National Governance Peace Survey (UNGPS) 2018</t>
  </si>
  <si>
    <t xml:space="preserve"> Imdicator performnce rating of  (-2413%). Computation muted for this indicator.</t>
  </si>
  <si>
    <t>MOFPED- Macroeconomice Department</t>
  </si>
  <si>
    <t>Goal 19</t>
  </si>
  <si>
    <t>Goal 20</t>
  </si>
  <si>
    <t>East Africa Dashboard</t>
  </si>
  <si>
    <t>Overall Performance Rating</t>
  </si>
  <si>
    <t>Wieghted average by population</t>
  </si>
  <si>
    <t>Only mainland data. Zanzibar data has no baseline</t>
  </si>
  <si>
    <t>Data for mainland not provided. Only using Zanzibar data</t>
  </si>
  <si>
    <t>Only using mainland data. Zanzibar has no baseline</t>
  </si>
  <si>
    <t>mainland data providsed as absolute values and Zanzibar data has no baseline</t>
  </si>
  <si>
    <t>Only mainland data, Zanzibar has not prvided data</t>
  </si>
  <si>
    <t xml:space="preserve">No data provided by mainland, only using Zanzibar data </t>
  </si>
  <si>
    <t xml:space="preserve">No data provided by mainland and Zanzibar only provided current data. </t>
  </si>
  <si>
    <t>mainland on provided current value no basline and Zanzibar not data provided</t>
  </si>
  <si>
    <t>Data only based on mainland. Regional, Continental and International agreement signed at National Level</t>
  </si>
  <si>
    <t>Data based on mainland, no data provided by Zanzibar</t>
  </si>
  <si>
    <t>Only mainland data but no basline data. Indicator performance tp be set tp 0% if data is not provided</t>
  </si>
  <si>
    <t xml:space="preserve">The data provided does not seem to be a correct interpretation of the indicator as indicated in the handbook. Baseline 911 and current value 726. Data is currently a peaceful country  and this needs follow up. </t>
  </si>
  <si>
    <t xml:space="preserve">Only Zanzibar current data used, No basline value provided and indicator performance to be set to 0%. No mainland data provided. </t>
  </si>
  <si>
    <t xml:space="preserve">Only Zanzibar data used. No mainland data provided. </t>
  </si>
  <si>
    <t xml:space="preserve">Only mainland data used. Only Zanzibar current value provided. </t>
  </si>
  <si>
    <t>Only mainland data used. No Zanzibar data provided. Legislation passed at national level.</t>
  </si>
  <si>
    <t>Only mainland data used. No Zanzibar data provided. But the data needs to be validated because seem too high.</t>
  </si>
  <si>
    <t>Baseline  Value has been taken from SDGS INDEX REPORT (2019) for 2013 . Therefore, for regular update, indicator has been developed to be tracked starting from next year. 
The performance rating for indicators without current values or baslines to be set to 0%</t>
  </si>
  <si>
    <t xml:space="preserve">There is no direct contribution tourism in GDP calculated. The reason is the Toursim sector in the International Standard Industrial Classification (ISIC) is not an activity. Hence, there should be a tourism sattelite account that will be implemented by in collaboration with PDC and Ministry of Tourism, Culture and Sport. 
No data provided for this indicator, the performance rating for this indicator will be set to zero if data is not provided.
   </t>
  </si>
  <si>
    <t xml:space="preserve">This needs baseline survey and should be completed by AU
</t>
  </si>
  <si>
    <t>Ethiopia seems to be among few countries that properly completed data for this Indicator</t>
  </si>
  <si>
    <t>This needs to be verified given that there are 6-7 agreements to be signed</t>
  </si>
  <si>
    <t xml:space="preserve">Amended as requested. Current data is 4,554.8 Megawatt entered. </t>
  </si>
  <si>
    <t>Updated based on the AU Web-portal data</t>
  </si>
  <si>
    <t>The final status is note affected whether the baseline is 0 or 100% but affects performance. Member State did not confirm baseline data.</t>
  </si>
  <si>
    <t>Could be better if the Member State can provide more information</t>
  </si>
  <si>
    <t>Basline MICs 2014, MICS6 2019 IS PENDING, the current data from economic report 2017</t>
  </si>
  <si>
    <t>The current data 2017 but baseline data not provided, the indcatot will be set to 0%</t>
  </si>
  <si>
    <t>MICS 2014( the base value), strategic report for ( current value )</t>
  </si>
  <si>
    <t xml:space="preserve">the current data 2017 </t>
  </si>
  <si>
    <t xml:space="preserve">MICS 2014 (the base value), strategic report for cureent value) </t>
  </si>
  <si>
    <t>the current value 2017</t>
  </si>
  <si>
    <t>2018 data , total export( total import 104 for 2013 , 134 for 2018). The data could be in millions. Needs verification.</t>
  </si>
  <si>
    <t>The strategic repot 2018, current data is 2014</t>
  </si>
  <si>
    <t>Member State need to indicate the reference periods for the data report. What is the baseline if the current data is 2014?</t>
  </si>
  <si>
    <t>the numbers are correct and do not accumulated form the previous years, in 2011 the number of conflicts  is 20, in 2012 is 33, in 2013 is 47, in 2017 is 5 ( the current indicator value)</t>
  </si>
  <si>
    <t>No baseline data provided. Indicator pefrormance to be set to 0% if data is not provided</t>
  </si>
  <si>
    <t>economic report, 2017</t>
  </si>
  <si>
    <t xml:space="preserve">strategic report, 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</si>
</sst>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 #,##0.00_ ;_ * \-#,##0.00_ ;_ * &quot;-&quot;??_ ;_ @_ "/>
    <numFmt numFmtId="165" formatCode="0.0"/>
    <numFmt numFmtId="166" formatCode="#,##0.0"/>
    <numFmt numFmtId="167" formatCode="#,##0.000"/>
    <numFmt numFmtId="168" formatCode="_ * #,##0_ ;_ * \-#,##0_ ;_ * &quot;-&quot;??_ ;_ @_ "/>
    <numFmt numFmtId="169" formatCode="#,##0_ ;\-#,##0\ "/>
  </numFmts>
  <fonts count="63"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Arial"/>
      <family val="2"/>
    </font>
    <font>
      <b/>
      <sz val="8"/>
      <color theme="1"/>
      <name val="Arial"/>
      <family val="2"/>
    </font>
    <font>
      <sz val="8"/>
      <color rgb="FF000000"/>
      <name val="Arial"/>
      <family val="2"/>
    </font>
    <font>
      <b/>
      <sz val="8"/>
      <color rgb="FF1F3864"/>
      <name val="Arial"/>
      <family val="2"/>
    </font>
    <font>
      <sz val="14"/>
      <color rgb="FFFF0000"/>
      <name val="Calibri"/>
      <family val="2"/>
      <scheme val="minor"/>
    </font>
    <font>
      <sz val="16"/>
      <color rgb="FFFF0000"/>
      <name val="Calibri"/>
      <family val="2"/>
      <scheme val="minor"/>
    </font>
    <font>
      <u/>
      <sz val="11"/>
      <color theme="10"/>
      <name val="Calibri"/>
      <family val="2"/>
      <scheme val="minor"/>
    </font>
    <font>
      <b/>
      <sz val="8"/>
      <name val="Arial"/>
      <family val="2"/>
    </font>
    <font>
      <b/>
      <sz val="12"/>
      <color theme="1"/>
      <name val="Calibri"/>
      <family val="2"/>
      <scheme val="minor"/>
    </font>
    <font>
      <b/>
      <sz val="8"/>
      <color rgb="FF000000"/>
      <name val="Arial"/>
      <family val="2"/>
    </font>
    <font>
      <b/>
      <i/>
      <sz val="11"/>
      <color theme="1"/>
      <name val="Calibri"/>
      <family val="2"/>
      <scheme val="minor"/>
    </font>
    <font>
      <b/>
      <sz val="10"/>
      <color theme="1"/>
      <name val="Arial Narrow"/>
      <family val="2"/>
    </font>
    <font>
      <sz val="9"/>
      <color theme="1"/>
      <name val="Calibri"/>
      <family val="2"/>
      <scheme val="minor"/>
    </font>
    <font>
      <sz val="11"/>
      <name val="Calibri"/>
      <family val="2"/>
      <scheme val="minor"/>
    </font>
    <font>
      <sz val="11"/>
      <color theme="0" tint="-4.9989318521683403E-2"/>
      <name val="Calibri"/>
      <family val="2"/>
      <scheme val="minor"/>
    </font>
    <font>
      <b/>
      <sz val="16"/>
      <name val="Calibri"/>
      <family val="2"/>
      <scheme val="minor"/>
    </font>
    <font>
      <b/>
      <sz val="16"/>
      <color theme="1"/>
      <name val="Calibri"/>
      <family val="2"/>
      <scheme val="minor"/>
    </font>
    <font>
      <sz val="11"/>
      <color theme="8" tint="-0.249977111117893"/>
      <name val="Calibri"/>
      <family val="2"/>
      <scheme val="minor"/>
    </font>
    <font>
      <sz val="20"/>
      <color theme="0"/>
      <name val="Arial Black"/>
      <family val="2"/>
    </font>
    <font>
      <sz val="9"/>
      <color theme="1"/>
      <name val="Arial"/>
      <family val="2"/>
    </font>
    <font>
      <b/>
      <sz val="9"/>
      <color theme="1"/>
      <name val="Arial"/>
      <family val="2"/>
    </font>
    <font>
      <sz val="9"/>
      <color rgb="FF000000"/>
      <name val="Arial"/>
      <family val="2"/>
    </font>
    <font>
      <b/>
      <sz val="9"/>
      <color rgb="FF000000"/>
      <name val="Arial"/>
      <family val="2"/>
    </font>
    <font>
      <b/>
      <sz val="9"/>
      <name val="Arial"/>
      <family val="2"/>
    </font>
    <font>
      <sz val="9"/>
      <name val="Arial"/>
      <family val="2"/>
    </font>
    <font>
      <b/>
      <sz val="9"/>
      <color theme="1"/>
      <name val="Calibri"/>
      <family val="2"/>
      <scheme val="minor"/>
    </font>
    <font>
      <b/>
      <sz val="14"/>
      <name val="Calibri"/>
      <family val="2"/>
      <scheme val="minor"/>
    </font>
    <font>
      <b/>
      <sz val="9"/>
      <color rgb="FF1F3864"/>
      <name val="Arial"/>
      <family val="2"/>
    </font>
    <font>
      <sz val="8"/>
      <color rgb="FF1F3864"/>
      <name val="Arial"/>
      <family val="2"/>
    </font>
    <font>
      <sz val="8"/>
      <name val="Arial"/>
      <family val="2"/>
    </font>
    <font>
      <b/>
      <sz val="11"/>
      <name val="Calibri"/>
      <family val="2"/>
      <scheme val="minor"/>
    </font>
    <font>
      <u/>
      <sz val="8"/>
      <color theme="10"/>
      <name val="Calibri"/>
      <family val="2"/>
      <scheme val="minor"/>
    </font>
    <font>
      <u/>
      <sz val="9"/>
      <color theme="10"/>
      <name val="Calibri"/>
      <family val="2"/>
      <scheme val="minor"/>
    </font>
    <font>
      <b/>
      <u/>
      <sz val="9"/>
      <color theme="10"/>
      <name val="Calibri"/>
      <family val="2"/>
      <scheme val="minor"/>
    </font>
    <font>
      <b/>
      <sz val="16"/>
      <color theme="1"/>
      <name val="Arial"/>
      <family val="2"/>
    </font>
    <font>
      <b/>
      <sz val="9"/>
      <color rgb="FFFF0000"/>
      <name val="Arial"/>
      <family val="2"/>
    </font>
    <font>
      <sz val="8"/>
      <color theme="1"/>
      <name val="Calibri"/>
      <family val="2"/>
      <scheme val="minor"/>
    </font>
    <font>
      <sz val="9"/>
      <name val="Calibri"/>
      <family val="2"/>
      <scheme val="minor"/>
    </font>
    <font>
      <b/>
      <sz val="9"/>
      <name val="Calibri"/>
      <family val="2"/>
      <scheme val="minor"/>
    </font>
    <font>
      <sz val="9"/>
      <color rgb="FF000000"/>
      <name val="Calibri"/>
      <family val="2"/>
    </font>
    <font>
      <u/>
      <sz val="8"/>
      <color rgb="FF0463C1"/>
      <name val="Calibri"/>
      <family val="2"/>
    </font>
    <font>
      <sz val="11"/>
      <color rgb="FF000000"/>
      <name val="Calibri"/>
      <family val="2"/>
    </font>
    <font>
      <sz val="8"/>
      <color rgb="FF000000"/>
      <name val="Calibri"/>
      <family val="2"/>
    </font>
    <font>
      <u/>
      <sz val="9"/>
      <color rgb="FF0463C1"/>
      <name val="Calibri"/>
      <family val="2"/>
    </font>
    <font>
      <b/>
      <sz val="9"/>
      <color rgb="FF000000"/>
      <name val="Calibri"/>
      <family val="2"/>
    </font>
    <font>
      <sz val="11"/>
      <name val="Calibri"/>
      <family val="2"/>
    </font>
    <font>
      <b/>
      <sz val="11"/>
      <name val="Calibri"/>
      <family val="2"/>
    </font>
    <font>
      <b/>
      <sz val="11"/>
      <color rgb="FF000000"/>
      <name val="Calibri"/>
      <family val="2"/>
    </font>
    <font>
      <b/>
      <u/>
      <sz val="9"/>
      <color rgb="FF0463C1"/>
      <name val="Calibri"/>
      <family val="2"/>
    </font>
    <font>
      <sz val="8"/>
      <name val="Calibri"/>
      <family val="2"/>
      <scheme val="minor"/>
    </font>
    <font>
      <b/>
      <sz val="20"/>
      <color theme="1"/>
      <name val="Calibri"/>
      <family val="2"/>
      <scheme val="minor"/>
    </font>
    <font>
      <sz val="20"/>
      <color theme="1"/>
      <name val="Calibri"/>
      <family val="2"/>
      <scheme val="minor"/>
    </font>
    <font>
      <b/>
      <sz val="18"/>
      <color theme="1"/>
      <name val="Calibri"/>
      <family val="2"/>
      <scheme val="minor"/>
    </font>
    <font>
      <b/>
      <sz val="14"/>
      <color theme="1"/>
      <name val="Calibri"/>
      <family val="2"/>
      <scheme val="minor"/>
    </font>
    <font>
      <sz val="9"/>
      <color rgb="FF000099"/>
      <name val="Calibri"/>
      <family val="2"/>
    </font>
    <font>
      <u/>
      <sz val="9"/>
      <name val="Calibri"/>
      <family val="2"/>
      <scheme val="minor"/>
    </font>
    <font>
      <b/>
      <u/>
      <sz val="9"/>
      <name val="Calibri"/>
      <family val="2"/>
      <scheme val="minor"/>
    </font>
    <font>
      <sz val="14"/>
      <color theme="1"/>
      <name val="Calibri"/>
      <family val="2"/>
      <scheme val="minor"/>
    </font>
    <font>
      <b/>
      <sz val="11"/>
      <color theme="1"/>
      <name val="Arial"/>
      <family val="2"/>
    </font>
    <font>
      <b/>
      <sz val="11"/>
      <color rgb="FF000000"/>
      <name val="Arial"/>
      <family val="2"/>
    </font>
  </fonts>
  <fills count="33">
    <fill>
      <patternFill patternType="none"/>
    </fill>
    <fill>
      <patternFill patternType="gray125"/>
    </fill>
    <fill>
      <patternFill patternType="solid">
        <fgColor rgb="FFF2F2F2"/>
        <bgColor indexed="64"/>
      </patternFill>
    </fill>
    <fill>
      <patternFill patternType="solid">
        <fgColor rgb="FFBDD6EE"/>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92FB4B"/>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33CCFF"/>
        <bgColor indexed="64"/>
      </patternFill>
    </fill>
    <fill>
      <patternFill patternType="solid">
        <fgColor rgb="FF002060"/>
        <bgColor indexed="64"/>
      </patternFill>
    </fill>
    <fill>
      <patternFill patternType="solid">
        <fgColor rgb="FFFFFF00"/>
        <bgColor indexed="64"/>
      </patternFill>
    </fill>
    <fill>
      <patternFill patternType="solid">
        <fgColor rgb="FFFF0000"/>
        <bgColor indexed="64"/>
      </patternFill>
    </fill>
    <fill>
      <patternFill patternType="solid">
        <fgColor rgb="FFFFFFFF"/>
        <bgColor indexed="64"/>
      </patternFill>
    </fill>
    <fill>
      <patternFill patternType="solid">
        <fgColor rgb="FFBED7EE"/>
        <bgColor indexed="64"/>
      </patternFill>
    </fill>
    <fill>
      <patternFill patternType="solid">
        <fgColor rgb="FF000066"/>
        <bgColor indexed="64"/>
      </patternFill>
    </fill>
    <fill>
      <patternFill patternType="solid">
        <fgColor theme="9" tint="0.39997558519241921"/>
        <bgColor indexed="64"/>
      </patternFill>
    </fill>
    <fill>
      <patternFill patternType="solid">
        <fgColor rgb="FFFF99FF"/>
        <bgColor indexed="64"/>
      </patternFill>
    </fill>
    <fill>
      <patternFill patternType="solid">
        <fgColor rgb="FFCCFF66"/>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top style="medium">
        <color indexed="64"/>
      </top>
      <bottom style="thin">
        <color auto="1"/>
      </bottom>
      <diagonal/>
    </border>
    <border>
      <left/>
      <right/>
      <top style="thin">
        <color auto="1"/>
      </top>
      <bottom style="thin">
        <color auto="1"/>
      </bottom>
      <diagonal/>
    </border>
    <border>
      <left/>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auto="1"/>
      </left>
      <right style="medium">
        <color indexed="64"/>
      </right>
      <top style="thin">
        <color auto="1"/>
      </top>
      <bottom/>
      <diagonal/>
    </border>
    <border>
      <left/>
      <right/>
      <top style="thin">
        <color auto="1"/>
      </top>
      <bottom/>
      <diagonal/>
    </border>
    <border>
      <left style="medium">
        <color indexed="64"/>
      </left>
      <right style="medium">
        <color indexed="64"/>
      </right>
      <top style="thin">
        <color auto="1"/>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right style="thin">
        <color auto="1"/>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bottom style="thin">
        <color auto="1"/>
      </bottom>
      <diagonal/>
    </border>
    <border>
      <left style="medium">
        <color indexed="64"/>
      </left>
      <right style="thin">
        <color auto="1"/>
      </right>
      <top/>
      <bottom style="thin">
        <color auto="1"/>
      </bottom>
      <diagonal/>
    </border>
    <border>
      <left style="thin">
        <color auto="1"/>
      </left>
      <right/>
      <top style="thin">
        <color auto="1"/>
      </top>
      <bottom/>
      <diagonal/>
    </border>
    <border>
      <left style="medium">
        <color indexed="64"/>
      </left>
      <right style="thin">
        <color indexed="64"/>
      </right>
      <top/>
      <bottom style="medium">
        <color indexed="64"/>
      </bottom>
      <diagonal/>
    </border>
    <border>
      <left style="thin">
        <color auto="1"/>
      </left>
      <right style="medium">
        <color indexed="64"/>
      </right>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top/>
      <bottom style="thin">
        <color indexed="64"/>
      </bottom>
      <diagonal/>
    </border>
    <border>
      <left/>
      <right style="medium">
        <color indexed="64"/>
      </right>
      <top/>
      <bottom style="thin">
        <color auto="1"/>
      </bottom>
      <diagonal/>
    </border>
    <border>
      <left/>
      <right style="thin">
        <color indexed="64"/>
      </right>
      <top style="thin">
        <color indexed="64"/>
      </top>
      <bottom/>
      <diagonal/>
    </border>
    <border>
      <left/>
      <right style="medium">
        <color indexed="64"/>
      </right>
      <top style="thin">
        <color auto="1"/>
      </top>
      <bottom/>
      <diagonal/>
    </border>
    <border>
      <left style="thin">
        <color auto="1"/>
      </left>
      <right/>
      <top/>
      <bottom style="medium">
        <color indexed="64"/>
      </bottom>
      <diagonal/>
    </border>
    <border>
      <left style="medium">
        <color indexed="64"/>
      </left>
      <right/>
      <top/>
      <bottom style="thin">
        <color auto="1"/>
      </bottom>
      <diagonal/>
    </border>
    <border>
      <left style="thin">
        <color auto="1"/>
      </left>
      <right style="thin">
        <color auto="1"/>
      </right>
      <top/>
      <bottom style="medium">
        <color indexed="64"/>
      </bottom>
      <diagonal/>
    </border>
    <border>
      <left style="thin">
        <color auto="1"/>
      </left>
      <right style="thin">
        <color auto="1"/>
      </right>
      <top/>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style="medium">
        <color indexed="64"/>
      </top>
      <bottom/>
      <diagonal/>
    </border>
    <border>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0" fontId="9" fillId="0" borderId="0" applyNumberFormat="0" applyFill="0" applyBorder="0" applyAlignment="0" applyProtection="0"/>
  </cellStyleXfs>
  <cellXfs count="1647">
    <xf numFmtId="0" fontId="0" fillId="0" borderId="0" xfId="0"/>
    <xf numFmtId="0" fontId="0" fillId="24" borderId="0" xfId="0" applyFill="1" applyProtection="1">
      <protection locked="0"/>
    </xf>
    <xf numFmtId="0" fontId="20" fillId="24" borderId="42" xfId="0" applyFont="1" applyFill="1" applyBorder="1" applyProtection="1">
      <protection locked="0"/>
    </xf>
    <xf numFmtId="0" fontId="20" fillId="24" borderId="44" xfId="0" applyFont="1" applyFill="1" applyBorder="1" applyProtection="1">
      <protection locked="0"/>
    </xf>
    <xf numFmtId="0" fontId="20" fillId="24" borderId="45" xfId="0" applyFont="1" applyFill="1" applyBorder="1" applyProtection="1">
      <protection locked="0"/>
    </xf>
    <xf numFmtId="0" fontId="0" fillId="0" borderId="0" xfId="0" applyProtection="1">
      <protection locked="0"/>
    </xf>
    <xf numFmtId="0" fontId="20" fillId="24" borderId="9" xfId="0" applyFont="1" applyFill="1" applyBorder="1" applyProtection="1">
      <protection locked="0"/>
    </xf>
    <xf numFmtId="0" fontId="17" fillId="24" borderId="9" xfId="0" applyFont="1" applyFill="1" applyBorder="1" applyProtection="1">
      <protection locked="0"/>
    </xf>
    <xf numFmtId="0" fontId="18" fillId="12" borderId="1" xfId="0" applyFont="1" applyFill="1" applyBorder="1" applyAlignment="1" applyProtection="1">
      <alignment horizontal="center" vertical="center"/>
      <protection locked="0"/>
    </xf>
    <xf numFmtId="0" fontId="17" fillId="24" borderId="6" xfId="0" applyFont="1" applyFill="1" applyBorder="1" applyProtection="1">
      <protection locked="0"/>
    </xf>
    <xf numFmtId="0" fontId="17" fillId="24" borderId="7" xfId="0" applyFont="1" applyFill="1" applyBorder="1" applyProtection="1">
      <protection locked="0"/>
    </xf>
    <xf numFmtId="0" fontId="0" fillId="2" borderId="3" xfId="0" applyFill="1" applyBorder="1" applyAlignment="1" applyProtection="1">
      <alignment vertical="center" wrapText="1"/>
      <protection locked="0"/>
    </xf>
    <xf numFmtId="0" fontId="0" fillId="9" borderId="3" xfId="0" applyFill="1" applyBorder="1" applyProtection="1">
      <protection locked="0"/>
    </xf>
    <xf numFmtId="0" fontId="0" fillId="9" borderId="1" xfId="0" applyFill="1" applyBorder="1" applyProtection="1">
      <protection locked="0"/>
    </xf>
    <xf numFmtId="0" fontId="8" fillId="0" borderId="0" xfId="0" applyFont="1" applyProtection="1">
      <protection locked="0"/>
    </xf>
    <xf numFmtId="0" fontId="0" fillId="11" borderId="8" xfId="0" applyFill="1" applyBorder="1" applyProtection="1">
      <protection locked="0"/>
    </xf>
    <xf numFmtId="0" fontId="0" fillId="11" borderId="10" xfId="0" applyFill="1" applyBorder="1" applyProtection="1">
      <protection locked="0"/>
    </xf>
    <xf numFmtId="0" fontId="0" fillId="11" borderId="1" xfId="0" applyFill="1" applyBorder="1" applyProtection="1">
      <protection locked="0"/>
    </xf>
    <xf numFmtId="0" fontId="0" fillId="11" borderId="42" xfId="0" applyFill="1" applyBorder="1" applyProtection="1">
      <protection locked="0"/>
    </xf>
    <xf numFmtId="0" fontId="0" fillId="0" borderId="5" xfId="0" applyBorder="1" applyProtection="1">
      <protection locked="0"/>
    </xf>
    <xf numFmtId="0" fontId="7"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0" fillId="0" borderId="1" xfId="0" applyBorder="1" applyProtection="1">
      <protection locked="0"/>
    </xf>
    <xf numFmtId="0" fontId="16" fillId="11" borderId="10" xfId="0" applyFont="1" applyFill="1" applyBorder="1" applyProtection="1">
      <protection locked="0"/>
    </xf>
    <xf numFmtId="0" fontId="0" fillId="14" borderId="3" xfId="0" applyFill="1" applyBorder="1" applyProtection="1">
      <protection locked="0"/>
    </xf>
    <xf numFmtId="0" fontId="0" fillId="14" borderId="4" xfId="0" applyFill="1" applyBorder="1" applyProtection="1">
      <protection locked="0"/>
    </xf>
    <xf numFmtId="0" fontId="11" fillId="0" borderId="0" xfId="0" applyFont="1" applyProtection="1">
      <protection locked="0"/>
    </xf>
    <xf numFmtId="0" fontId="9" fillId="0" borderId="0" xfId="3" applyProtection="1">
      <protection locked="0"/>
    </xf>
    <xf numFmtId="0" fontId="0" fillId="0" borderId="0" xfId="0" applyProtection="1"/>
    <xf numFmtId="0" fontId="2" fillId="5" borderId="15" xfId="0" applyFont="1" applyFill="1" applyBorder="1" applyProtection="1"/>
    <xf numFmtId="2" fontId="2" fillId="5" borderId="11" xfId="0" applyNumberFormat="1" applyFont="1" applyFill="1" applyBorder="1" applyProtection="1"/>
    <xf numFmtId="0" fontId="0" fillId="5" borderId="11" xfId="0" applyFill="1" applyBorder="1" applyProtection="1"/>
    <xf numFmtId="0" fontId="0" fillId="5" borderId="20" xfId="0" applyFill="1" applyBorder="1" applyProtection="1"/>
    <xf numFmtId="0" fontId="13" fillId="5" borderId="15" xfId="0" applyFont="1" applyFill="1" applyBorder="1" applyAlignment="1" applyProtection="1">
      <alignment vertical="center"/>
    </xf>
    <xf numFmtId="2" fontId="14" fillId="5" borderId="11" xfId="0" applyNumberFormat="1" applyFont="1" applyFill="1" applyBorder="1" applyAlignment="1" applyProtection="1">
      <alignment horizontal="center" vertical="center"/>
    </xf>
    <xf numFmtId="9" fontId="0" fillId="5" borderId="11" xfId="1" applyFont="1" applyFill="1" applyBorder="1" applyProtection="1"/>
    <xf numFmtId="0" fontId="13" fillId="5" borderId="21" xfId="0" applyFont="1" applyFill="1" applyBorder="1" applyAlignment="1" applyProtection="1">
      <alignment vertical="center"/>
    </xf>
    <xf numFmtId="2" fontId="14" fillId="5" borderId="22" xfId="0" applyNumberFormat="1" applyFont="1" applyFill="1" applyBorder="1" applyAlignment="1" applyProtection="1">
      <alignment horizontal="center" vertical="center"/>
    </xf>
    <xf numFmtId="2" fontId="0" fillId="5" borderId="22" xfId="0" applyNumberFormat="1" applyFill="1" applyBorder="1" applyProtection="1"/>
    <xf numFmtId="0" fontId="0" fillId="5" borderId="23" xfId="0" applyFill="1" applyBorder="1" applyProtection="1"/>
    <xf numFmtId="0" fontId="3" fillId="3" borderId="0" xfId="0" applyFont="1" applyFill="1" applyBorder="1" applyAlignment="1" applyProtection="1">
      <alignment vertical="center" wrapText="1"/>
    </xf>
    <xf numFmtId="0" fontId="3" fillId="3" borderId="2" xfId="0" applyFont="1" applyFill="1" applyBorder="1" applyAlignment="1" applyProtection="1">
      <alignment vertical="center" wrapText="1"/>
    </xf>
    <xf numFmtId="0" fontId="3" fillId="3" borderId="3" xfId="0" applyFont="1" applyFill="1" applyBorder="1" applyAlignment="1" applyProtection="1">
      <alignment vertical="center" wrapText="1"/>
    </xf>
    <xf numFmtId="0" fontId="6" fillId="3" borderId="2" xfId="0" applyFont="1" applyFill="1" applyBorder="1" applyAlignment="1" applyProtection="1">
      <alignment vertical="center" wrapText="1"/>
    </xf>
    <xf numFmtId="0" fontId="6" fillId="3" borderId="3" xfId="0" applyFont="1" applyFill="1" applyBorder="1" applyAlignment="1" applyProtection="1">
      <alignment vertical="center" wrapText="1"/>
    </xf>
    <xf numFmtId="0" fontId="0" fillId="2" borderId="16" xfId="0" applyFill="1" applyBorder="1" applyAlignment="1" applyProtection="1">
      <alignment vertical="center" wrapText="1"/>
    </xf>
    <xf numFmtId="0" fontId="0" fillId="3" borderId="0" xfId="0" applyFill="1" applyBorder="1" applyAlignment="1" applyProtection="1">
      <alignment vertical="center" wrapText="1"/>
    </xf>
    <xf numFmtId="0" fontId="0" fillId="9" borderId="3" xfId="0" applyFill="1" applyBorder="1" applyAlignment="1" applyProtection="1">
      <alignment vertical="center" wrapText="1"/>
    </xf>
    <xf numFmtId="0" fontId="0" fillId="2" borderId="2" xfId="0" applyFill="1" applyBorder="1" applyAlignment="1" applyProtection="1">
      <alignment vertical="center" wrapText="1"/>
    </xf>
    <xf numFmtId="0" fontId="3" fillId="3" borderId="44" xfId="0" applyFont="1" applyFill="1" applyBorder="1" applyAlignment="1" applyProtection="1">
      <alignment vertical="center" wrapText="1"/>
    </xf>
    <xf numFmtId="0" fontId="2" fillId="5" borderId="17" xfId="0" applyFont="1" applyFill="1" applyBorder="1" applyProtection="1"/>
    <xf numFmtId="0" fontId="0" fillId="5" borderId="18" xfId="0" applyFill="1" applyBorder="1" applyProtection="1"/>
    <xf numFmtId="0" fontId="0" fillId="5" borderId="19" xfId="0" applyFill="1" applyBorder="1" applyProtection="1"/>
    <xf numFmtId="0" fontId="3" fillId="3" borderId="16" xfId="0" applyFont="1" applyFill="1" applyBorder="1" applyAlignment="1" applyProtection="1">
      <alignment vertical="center" wrapText="1"/>
    </xf>
    <xf numFmtId="0" fontId="24" fillId="0" borderId="31" xfId="0" applyFont="1" applyFill="1" applyBorder="1" applyAlignment="1" applyProtection="1">
      <alignment vertical="center" wrapText="1"/>
    </xf>
    <xf numFmtId="0" fontId="15" fillId="0" borderId="34" xfId="0" applyFont="1" applyBorder="1" applyProtection="1">
      <protection locked="0"/>
    </xf>
    <xf numFmtId="0" fontId="24" fillId="0" borderId="32" xfId="0" applyFont="1" applyFill="1" applyBorder="1" applyAlignment="1" applyProtection="1">
      <alignment vertical="center" wrapText="1"/>
    </xf>
    <xf numFmtId="0" fontId="24" fillId="0" borderId="19" xfId="0" applyFont="1" applyFill="1" applyBorder="1" applyAlignment="1" applyProtection="1">
      <alignment vertical="center" wrapText="1"/>
    </xf>
    <xf numFmtId="0" fontId="15" fillId="0" borderId="32" xfId="0" applyFont="1" applyBorder="1" applyProtection="1">
      <protection locked="0"/>
    </xf>
    <xf numFmtId="0" fontId="24" fillId="0" borderId="20" xfId="0" applyFont="1" applyFill="1" applyBorder="1" applyAlignment="1" applyProtection="1">
      <alignment vertical="center" wrapText="1"/>
    </xf>
    <xf numFmtId="0" fontId="15" fillId="0" borderId="33" xfId="0" applyFont="1" applyBorder="1" applyProtection="1">
      <protection locked="0"/>
    </xf>
    <xf numFmtId="0" fontId="3" fillId="3" borderId="42" xfId="0" applyFont="1" applyFill="1" applyBorder="1" applyAlignment="1" applyProtection="1">
      <alignment vertical="center" wrapText="1"/>
    </xf>
    <xf numFmtId="0" fontId="24" fillId="0" borderId="34" xfId="0" applyFont="1" applyFill="1" applyBorder="1" applyAlignment="1" applyProtection="1">
      <alignment vertical="center" wrapText="1"/>
    </xf>
    <xf numFmtId="0" fontId="24" fillId="0" borderId="2" xfId="0" applyFont="1" applyFill="1" applyBorder="1" applyAlignment="1" applyProtection="1">
      <alignment vertical="center" wrapText="1"/>
    </xf>
    <xf numFmtId="0" fontId="24" fillId="12" borderId="2" xfId="0" applyFont="1" applyFill="1" applyBorder="1" applyAlignment="1" applyProtection="1">
      <alignment vertical="center" wrapText="1"/>
    </xf>
    <xf numFmtId="0" fontId="22" fillId="0" borderId="2" xfId="0" applyFont="1" applyFill="1" applyBorder="1" applyAlignment="1" applyProtection="1">
      <alignment vertical="center" wrapText="1"/>
    </xf>
    <xf numFmtId="0" fontId="16" fillId="24" borderId="6" xfId="0" applyFont="1" applyFill="1" applyBorder="1" applyProtection="1">
      <protection locked="0"/>
    </xf>
    <xf numFmtId="0" fontId="15" fillId="0" borderId="24" xfId="0" applyFont="1" applyBorder="1" applyProtection="1">
      <protection locked="0"/>
    </xf>
    <xf numFmtId="0" fontId="27" fillId="0" borderId="32" xfId="0" applyFont="1" applyBorder="1" applyAlignment="1" applyProtection="1">
      <alignment vertical="center" wrapText="1"/>
    </xf>
    <xf numFmtId="0" fontId="24" fillId="12" borderId="32" xfId="0" applyFont="1" applyFill="1" applyBorder="1" applyAlignment="1" applyProtection="1">
      <alignment vertical="center" wrapText="1"/>
    </xf>
    <xf numFmtId="0" fontId="24" fillId="12" borderId="29" xfId="0" applyFont="1" applyFill="1" applyBorder="1" applyAlignment="1" applyProtection="1">
      <alignment vertical="center" wrapText="1"/>
    </xf>
    <xf numFmtId="0" fontId="24" fillId="0" borderId="30" xfId="0" applyFont="1" applyFill="1" applyBorder="1" applyAlignment="1" applyProtection="1">
      <alignment vertical="center" wrapText="1"/>
    </xf>
    <xf numFmtId="0" fontId="22" fillId="0" borderId="33" xfId="0" applyFont="1" applyBorder="1" applyAlignment="1" applyProtection="1">
      <alignment vertical="center" wrapText="1"/>
    </xf>
    <xf numFmtId="0" fontId="22" fillId="0" borderId="34" xfId="0" applyFont="1" applyBorder="1" applyAlignment="1" applyProtection="1">
      <alignment vertical="center" wrapText="1"/>
    </xf>
    <xf numFmtId="0" fontId="22" fillId="0" borderId="1" xfId="0" applyFont="1" applyBorder="1" applyAlignment="1" applyProtection="1">
      <alignment vertical="center" wrapText="1"/>
    </xf>
    <xf numFmtId="9" fontId="24" fillId="6" borderId="1" xfId="1" applyFont="1" applyFill="1" applyBorder="1" applyAlignment="1" applyProtection="1">
      <alignment horizontal="center" vertical="center" wrapText="1"/>
    </xf>
    <xf numFmtId="0" fontId="24" fillId="0" borderId="1" xfId="0" applyFont="1" applyFill="1" applyBorder="1" applyAlignment="1" applyProtection="1">
      <alignment vertical="center" wrapText="1"/>
    </xf>
    <xf numFmtId="0" fontId="24" fillId="12" borderId="1" xfId="0" applyFont="1" applyFill="1" applyBorder="1" applyAlignment="1" applyProtection="1">
      <alignment vertical="center" wrapText="1"/>
    </xf>
    <xf numFmtId="0" fontId="24" fillId="0" borderId="5" xfId="0" applyFont="1" applyBorder="1" applyAlignment="1" applyProtection="1">
      <alignment vertical="center" wrapText="1"/>
    </xf>
    <xf numFmtId="0" fontId="24" fillId="12" borderId="7" xfId="0" applyFont="1" applyFill="1" applyBorder="1" applyAlignment="1" applyProtection="1">
      <alignment vertical="center" wrapText="1"/>
    </xf>
    <xf numFmtId="0" fontId="15" fillId="0" borderId="0" xfId="0" applyFont="1" applyProtection="1">
      <protection locked="0"/>
    </xf>
    <xf numFmtId="0" fontId="24" fillId="0" borderId="7" xfId="0" applyFont="1" applyBorder="1" applyAlignment="1" applyProtection="1">
      <alignment vertical="center" wrapText="1"/>
    </xf>
    <xf numFmtId="0" fontId="24" fillId="12" borderId="30" xfId="0" applyFont="1" applyFill="1" applyBorder="1" applyAlignment="1" applyProtection="1">
      <alignment vertical="center" wrapText="1"/>
    </xf>
    <xf numFmtId="0" fontId="24" fillId="12" borderId="31" xfId="0" applyFont="1" applyFill="1" applyBorder="1" applyAlignment="1" applyProtection="1">
      <alignment vertical="center" wrapText="1"/>
    </xf>
    <xf numFmtId="0" fontId="24" fillId="0" borderId="26" xfId="0" applyFont="1" applyFill="1" applyBorder="1" applyAlignment="1" applyProtection="1">
      <alignment vertical="center" wrapText="1"/>
    </xf>
    <xf numFmtId="0" fontId="24" fillId="0" borderId="23" xfId="0" applyFont="1" applyFill="1" applyBorder="1" applyAlignment="1" applyProtection="1">
      <alignment vertical="center" wrapText="1"/>
    </xf>
    <xf numFmtId="0" fontId="24" fillId="0" borderId="2" xfId="0" applyFont="1" applyBorder="1" applyAlignment="1" applyProtection="1">
      <alignment vertical="center" wrapText="1"/>
    </xf>
    <xf numFmtId="0" fontId="24" fillId="0" borderId="1" xfId="0" applyFont="1" applyBorder="1" applyAlignment="1" applyProtection="1">
      <alignment vertical="center" wrapText="1"/>
    </xf>
    <xf numFmtId="0" fontId="24" fillId="0" borderId="24" xfId="0" applyFont="1" applyFill="1" applyBorder="1" applyAlignment="1" applyProtection="1">
      <alignment vertical="center" wrapText="1"/>
    </xf>
    <xf numFmtId="0" fontId="24" fillId="0" borderId="58" xfId="0" applyFont="1" applyFill="1" applyBorder="1" applyAlignment="1" applyProtection="1">
      <alignment vertical="center" wrapText="1"/>
    </xf>
    <xf numFmtId="0" fontId="24" fillId="12" borderId="45" xfId="0" applyFont="1" applyFill="1" applyBorder="1" applyAlignment="1" applyProtection="1">
      <alignment vertical="center" wrapText="1"/>
    </xf>
    <xf numFmtId="0" fontId="22" fillId="0" borderId="52" xfId="0" applyFont="1" applyBorder="1" applyAlignment="1" applyProtection="1">
      <alignment horizontal="left" vertical="center" wrapText="1"/>
    </xf>
    <xf numFmtId="9" fontId="22" fillId="11" borderId="1" xfId="1" applyFont="1" applyFill="1" applyBorder="1" applyAlignment="1" applyProtection="1">
      <alignment horizontal="center" vertical="center" wrapText="1"/>
    </xf>
    <xf numFmtId="0" fontId="24" fillId="12" borderId="33" xfId="0" applyFont="1" applyFill="1" applyBorder="1" applyAlignment="1" applyProtection="1">
      <alignment vertical="center" wrapText="1"/>
    </xf>
    <xf numFmtId="0" fontId="24" fillId="12" borderId="34" xfId="0" applyFont="1" applyFill="1" applyBorder="1" applyAlignment="1" applyProtection="1">
      <alignment vertical="center" wrapText="1"/>
    </xf>
    <xf numFmtId="0" fontId="15" fillId="0" borderId="34" xfId="0" applyFont="1" applyBorder="1" applyAlignment="1" applyProtection="1">
      <alignment horizontal="left" vertical="center" wrapText="1"/>
      <protection locked="0"/>
    </xf>
    <xf numFmtId="0" fontId="0" fillId="11" borderId="0" xfId="0" applyFill="1" applyProtection="1">
      <protection locked="0"/>
    </xf>
    <xf numFmtId="0" fontId="15" fillId="0" borderId="1" xfId="0" applyFont="1" applyBorder="1" applyAlignment="1" applyProtection="1">
      <alignment vertical="top" wrapText="1"/>
      <protection locked="0"/>
    </xf>
    <xf numFmtId="0" fontId="16" fillId="9" borderId="4" xfId="0" applyFont="1" applyFill="1" applyBorder="1" applyAlignment="1" applyProtection="1">
      <alignment vertical="center" wrapText="1"/>
      <protection locked="0"/>
    </xf>
    <xf numFmtId="0" fontId="15" fillId="0" borderId="32" xfId="0" applyFont="1" applyBorder="1" applyAlignment="1" applyProtection="1">
      <alignment horizontal="left" vertical="center" wrapText="1"/>
      <protection locked="0"/>
    </xf>
    <xf numFmtId="0" fontId="15" fillId="0" borderId="32" xfId="0" applyFont="1" applyBorder="1" applyAlignment="1" applyProtection="1">
      <alignment vertical="center" wrapText="1"/>
      <protection locked="0"/>
    </xf>
    <xf numFmtId="0" fontId="35" fillId="0" borderId="58" xfId="3" applyFont="1" applyBorder="1" applyAlignment="1" applyProtection="1">
      <alignment vertical="top" wrapText="1"/>
      <protection locked="0"/>
    </xf>
    <xf numFmtId="0" fontId="15" fillId="0" borderId="2" xfId="0" applyFont="1" applyBorder="1" applyProtection="1">
      <protection locked="0"/>
    </xf>
    <xf numFmtId="0" fontId="35" fillId="0" borderId="2" xfId="3" applyFont="1" applyBorder="1" applyAlignment="1" applyProtection="1">
      <alignment wrapText="1"/>
      <protection locked="0"/>
    </xf>
    <xf numFmtId="0" fontId="15" fillId="0" borderId="26" xfId="0" applyFont="1" applyBorder="1" applyProtection="1">
      <protection locked="0"/>
    </xf>
    <xf numFmtId="0" fontId="0" fillId="0" borderId="24" xfId="0" applyBorder="1" applyProtection="1">
      <protection locked="0"/>
    </xf>
    <xf numFmtId="0" fontId="0" fillId="0" borderId="32" xfId="0" applyBorder="1" applyProtection="1">
      <protection locked="0"/>
    </xf>
    <xf numFmtId="0" fontId="0" fillId="0" borderId="26" xfId="0" applyBorder="1" applyProtection="1">
      <protection locked="0"/>
    </xf>
    <xf numFmtId="0" fontId="0" fillId="0" borderId="34" xfId="0" applyBorder="1" applyProtection="1">
      <protection locked="0"/>
    </xf>
    <xf numFmtId="0" fontId="35" fillId="0" borderId="25" xfId="3" applyFont="1" applyBorder="1" applyProtection="1">
      <protection locked="0"/>
    </xf>
    <xf numFmtId="0" fontId="15" fillId="0" borderId="25" xfId="0" applyFont="1" applyBorder="1" applyProtection="1">
      <protection locked="0"/>
    </xf>
    <xf numFmtId="0" fontId="35" fillId="0" borderId="48" xfId="3" applyFont="1" applyBorder="1" applyAlignment="1" applyProtection="1">
      <alignment vertical="top" wrapText="1"/>
      <protection locked="0"/>
    </xf>
    <xf numFmtId="0" fontId="15" fillId="12" borderId="25" xfId="0" applyFont="1" applyFill="1" applyBorder="1" applyProtection="1">
      <protection locked="0"/>
    </xf>
    <xf numFmtId="0" fontId="15" fillId="12" borderId="33" xfId="0" applyFont="1" applyFill="1" applyBorder="1" applyProtection="1">
      <protection locked="0"/>
    </xf>
    <xf numFmtId="0" fontId="28" fillId="0" borderId="66" xfId="0" applyFont="1" applyBorder="1" applyAlignment="1" applyProtection="1">
      <alignment vertical="top" wrapText="1"/>
      <protection locked="0"/>
    </xf>
    <xf numFmtId="0" fontId="36" fillId="0" borderId="25" xfId="3" applyFont="1" applyBorder="1" applyAlignment="1" applyProtection="1">
      <alignment vertical="top" wrapText="1"/>
      <protection locked="0"/>
    </xf>
    <xf numFmtId="0" fontId="36" fillId="0" borderId="26" xfId="3" applyFont="1" applyBorder="1" applyAlignment="1" applyProtection="1">
      <alignment vertical="top" wrapText="1"/>
      <protection locked="0"/>
    </xf>
    <xf numFmtId="0" fontId="0" fillId="0" borderId="2" xfId="0" applyBorder="1" applyProtection="1">
      <protection locked="0"/>
    </xf>
    <xf numFmtId="0" fontId="34" fillId="0" borderId="26" xfId="3" applyFont="1" applyBorder="1" applyAlignment="1" applyProtection="1">
      <alignment vertical="top" wrapText="1"/>
      <protection locked="0"/>
    </xf>
    <xf numFmtId="0" fontId="22" fillId="12" borderId="1" xfId="0" applyFont="1" applyFill="1" applyBorder="1" applyAlignment="1" applyProtection="1">
      <alignment vertical="center" wrapText="1"/>
    </xf>
    <xf numFmtId="0" fontId="24" fillId="12" borderId="6" xfId="0" applyFont="1" applyFill="1" applyBorder="1" applyAlignment="1" applyProtection="1">
      <alignment vertical="center" wrapText="1"/>
    </xf>
    <xf numFmtId="0" fontId="4" fillId="0" borderId="44" xfId="0" applyFont="1" applyBorder="1" applyAlignment="1" applyProtection="1">
      <alignment vertical="center" wrapText="1"/>
    </xf>
    <xf numFmtId="0" fontId="2" fillId="5" borderId="54" xfId="0" applyFont="1" applyFill="1" applyBorder="1" applyProtection="1"/>
    <xf numFmtId="0" fontId="0" fillId="5" borderId="14" xfId="0" applyFill="1" applyBorder="1" applyProtection="1"/>
    <xf numFmtId="0" fontId="0" fillId="5" borderId="74" xfId="0" applyFill="1" applyBorder="1" applyProtection="1"/>
    <xf numFmtId="0" fontId="4" fillId="11" borderId="44" xfId="0" applyFont="1" applyFill="1" applyBorder="1" applyAlignment="1" applyProtection="1">
      <alignment vertical="center" wrapText="1"/>
    </xf>
    <xf numFmtId="0" fontId="0" fillId="11" borderId="0" xfId="0" applyFill="1" applyProtection="1"/>
    <xf numFmtId="0" fontId="2" fillId="11" borderId="54" xfId="0" applyFont="1" applyFill="1" applyBorder="1" applyProtection="1"/>
    <xf numFmtId="0" fontId="0" fillId="11" borderId="14" xfId="0" applyFill="1" applyBorder="1" applyProtection="1"/>
    <xf numFmtId="0" fontId="0" fillId="11" borderId="74" xfId="0" applyFill="1" applyBorder="1" applyProtection="1"/>
    <xf numFmtId="0" fontId="15" fillId="25" borderId="1" xfId="0" applyFont="1" applyFill="1" applyBorder="1" applyAlignment="1" applyProtection="1">
      <alignment vertical="top" wrapText="1"/>
      <protection locked="0"/>
    </xf>
    <xf numFmtId="9" fontId="23" fillId="11" borderId="1" xfId="1" applyFont="1" applyFill="1" applyBorder="1" applyAlignment="1" applyProtection="1">
      <alignment horizontal="center" vertical="center" wrapText="1"/>
    </xf>
    <xf numFmtId="9" fontId="37" fillId="11" borderId="1" xfId="1" applyFont="1" applyFill="1" applyBorder="1" applyAlignment="1" applyProtection="1">
      <alignment horizontal="center" vertical="center" wrapText="1"/>
    </xf>
    <xf numFmtId="0" fontId="2" fillId="2" borderId="16"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33" xfId="0" applyFont="1" applyBorder="1" applyAlignment="1" applyProtection="1">
      <alignment vertical="center" wrapText="1"/>
    </xf>
    <xf numFmtId="0" fontId="8" fillId="0" borderId="0" xfId="0" applyFont="1" applyBorder="1" applyAlignment="1" applyProtection="1">
      <alignment horizontal="center" vertical="center"/>
      <protection locked="0"/>
    </xf>
    <xf numFmtId="0" fontId="24" fillId="0" borderId="32"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0" fontId="24" fillId="0" borderId="33" xfId="0" applyFont="1" applyFill="1" applyBorder="1" applyAlignment="1" applyProtection="1">
      <alignment vertical="center" wrapText="1"/>
    </xf>
    <xf numFmtId="0" fontId="0" fillId="9" borderId="0" xfId="0" applyFill="1" applyProtection="1">
      <protection locked="0"/>
    </xf>
    <xf numFmtId="0" fontId="35" fillId="0" borderId="60" xfId="3" applyFont="1" applyBorder="1" applyAlignment="1" applyProtection="1">
      <alignment vertical="top" wrapText="1"/>
      <protection locked="0"/>
    </xf>
    <xf numFmtId="0" fontId="35" fillId="0" borderId="25" xfId="3" applyFont="1" applyBorder="1" applyAlignment="1" applyProtection="1">
      <alignment vertical="top" wrapText="1"/>
      <protection locked="0"/>
    </xf>
    <xf numFmtId="0" fontId="35" fillId="0" borderId="2" xfId="3" applyFont="1" applyBorder="1" applyAlignment="1" applyProtection="1">
      <alignment horizontal="left" vertical="center" wrapText="1"/>
      <protection locked="0"/>
    </xf>
    <xf numFmtId="0" fontId="35" fillId="0" borderId="24" xfId="3" applyFont="1" applyBorder="1" applyAlignment="1" applyProtection="1">
      <alignment wrapText="1"/>
      <protection locked="0"/>
    </xf>
    <xf numFmtId="0" fontId="2" fillId="0" borderId="5" xfId="0" applyFont="1" applyBorder="1" applyProtection="1">
      <protection locked="0"/>
    </xf>
    <xf numFmtId="0" fontId="0" fillId="2" borderId="5" xfId="0" applyFill="1" applyBorder="1" applyAlignment="1" applyProtection="1">
      <alignment vertical="center" wrapText="1"/>
      <protection locked="0"/>
    </xf>
    <xf numFmtId="0" fontId="35" fillId="0" borderId="46" xfId="3" applyFont="1" applyBorder="1" applyAlignment="1" applyProtection="1">
      <alignment vertical="top" wrapText="1"/>
      <protection locked="0"/>
    </xf>
    <xf numFmtId="0" fontId="35" fillId="12" borderId="66" xfId="3" applyFont="1" applyFill="1" applyBorder="1" applyAlignment="1" applyProtection="1">
      <alignment vertical="top" wrapText="1"/>
      <protection locked="0"/>
    </xf>
    <xf numFmtId="0" fontId="10" fillId="11" borderId="2" xfId="0" applyFont="1" applyFill="1" applyBorder="1" applyAlignment="1" applyProtection="1">
      <alignment vertical="center" wrapText="1"/>
    </xf>
    <xf numFmtId="0" fontId="39" fillId="0" borderId="2" xfId="0" applyFont="1" applyBorder="1" applyAlignment="1" applyProtection="1">
      <alignment vertical="top" wrapText="1"/>
      <protection locked="0"/>
    </xf>
    <xf numFmtId="0" fontId="34" fillId="0" borderId="24" xfId="3" applyFont="1" applyBorder="1" applyProtection="1">
      <protection locked="0"/>
    </xf>
    <xf numFmtId="0" fontId="34" fillId="0" borderId="53" xfId="3" applyFont="1" applyBorder="1" applyAlignment="1" applyProtection="1">
      <alignment vertical="top" wrapText="1"/>
      <protection locked="0"/>
    </xf>
    <xf numFmtId="0" fontId="39" fillId="0" borderId="30" xfId="0" applyFont="1" applyBorder="1" applyAlignment="1" applyProtection="1">
      <alignment horizontal="left" vertical="center" wrapText="1"/>
      <protection locked="0"/>
    </xf>
    <xf numFmtId="0" fontId="0" fillId="0" borderId="31" xfId="0" applyBorder="1" applyProtection="1">
      <protection locked="0"/>
    </xf>
    <xf numFmtId="0" fontId="35" fillId="0" borderId="24" xfId="3" applyFont="1" applyBorder="1" applyProtection="1">
      <protection locked="0"/>
    </xf>
    <xf numFmtId="0" fontId="15" fillId="0" borderId="25" xfId="0" applyFont="1" applyBorder="1" applyAlignment="1" applyProtection="1">
      <alignment vertical="top" wrapText="1"/>
      <protection locked="0"/>
    </xf>
    <xf numFmtId="0" fontId="35" fillId="0" borderId="26" xfId="3" applyFont="1" applyBorder="1" applyAlignment="1" applyProtection="1">
      <alignment vertical="top" wrapText="1"/>
      <protection locked="0"/>
    </xf>
    <xf numFmtId="0" fontId="35" fillId="0" borderId="2" xfId="3" applyFont="1" applyBorder="1" applyAlignment="1" applyProtection="1">
      <alignment vertical="top" wrapText="1"/>
      <protection locked="0"/>
    </xf>
    <xf numFmtId="0" fontId="15" fillId="12" borderId="37" xfId="0" applyFont="1" applyFill="1" applyBorder="1" applyProtection="1">
      <protection locked="0"/>
    </xf>
    <xf numFmtId="0" fontId="15" fillId="12" borderId="34" xfId="0" applyFont="1" applyFill="1" applyBorder="1" applyProtection="1">
      <protection locked="0"/>
    </xf>
    <xf numFmtId="0" fontId="15" fillId="0" borderId="53" xfId="0" applyFont="1" applyBorder="1" applyProtection="1">
      <protection locked="0"/>
    </xf>
    <xf numFmtId="0" fontId="15" fillId="0" borderId="32" xfId="0" applyFont="1" applyBorder="1" applyAlignment="1" applyProtection="1">
      <alignment vertical="top" wrapText="1"/>
      <protection locked="0"/>
    </xf>
    <xf numFmtId="0" fontId="40" fillId="0" borderId="53" xfId="3" applyFont="1" applyBorder="1" applyAlignment="1" applyProtection="1">
      <alignment vertical="top" wrapText="1"/>
      <protection locked="0"/>
    </xf>
    <xf numFmtId="0" fontId="40" fillId="0" borderId="33" xfId="0" applyFont="1" applyBorder="1" applyAlignment="1" applyProtection="1">
      <alignment vertical="top" wrapText="1"/>
      <protection locked="0"/>
    </xf>
    <xf numFmtId="0" fontId="42" fillId="0" borderId="32" xfId="0" applyFont="1" applyBorder="1" applyAlignment="1" applyProtection="1">
      <alignment horizontal="left" vertical="top" wrapText="1"/>
      <protection locked="0"/>
    </xf>
    <xf numFmtId="0" fontId="42" fillId="0" borderId="32" xfId="0" applyFont="1" applyBorder="1" applyAlignment="1" applyProtection="1">
      <alignment vertical="top" wrapText="1"/>
      <protection locked="0"/>
    </xf>
    <xf numFmtId="0" fontId="42" fillId="0" borderId="34" xfId="0" applyFont="1" applyBorder="1" applyAlignment="1" applyProtection="1">
      <alignment horizontal="left" vertical="top" wrapText="1"/>
      <protection locked="0"/>
    </xf>
    <xf numFmtId="0" fontId="42" fillId="0" borderId="34" xfId="0" applyFont="1" applyBorder="1" applyAlignment="1" applyProtection="1">
      <alignment vertical="top" wrapText="1"/>
      <protection locked="0"/>
    </xf>
    <xf numFmtId="0" fontId="43" fillId="0" borderId="53" xfId="3" applyFont="1" applyBorder="1" applyAlignment="1" applyProtection="1">
      <alignment vertical="top" wrapText="1"/>
      <protection locked="0"/>
    </xf>
    <xf numFmtId="0" fontId="44" fillId="0" borderId="62" xfId="0" applyFont="1" applyBorder="1" applyAlignment="1" applyProtection="1">
      <alignment vertical="top" wrapText="1"/>
      <protection locked="0"/>
    </xf>
    <xf numFmtId="0" fontId="43" fillId="0" borderId="41" xfId="3" applyFont="1" applyBorder="1" applyAlignment="1" applyProtection="1">
      <alignment vertical="top" wrapText="1"/>
      <protection locked="0"/>
    </xf>
    <xf numFmtId="0" fontId="44" fillId="0" borderId="64" xfId="0" applyFont="1" applyBorder="1" applyAlignment="1" applyProtection="1">
      <alignment vertical="top" wrapText="1"/>
      <protection locked="0"/>
    </xf>
    <xf numFmtId="0" fontId="45" fillId="0" borderId="29" xfId="0" applyFont="1" applyBorder="1" applyAlignment="1" applyProtection="1">
      <alignment vertical="top" wrapText="1"/>
      <protection locked="0"/>
    </xf>
    <xf numFmtId="0" fontId="44" fillId="0" borderId="32" xfId="0" applyFont="1" applyBorder="1" applyAlignment="1" applyProtection="1">
      <alignment vertical="top" wrapText="1"/>
      <protection locked="0"/>
    </xf>
    <xf numFmtId="0" fontId="45" fillId="0" borderId="30" xfId="0" applyFont="1" applyBorder="1" applyAlignment="1" applyProtection="1">
      <alignment horizontal="left" vertical="top" wrapText="1"/>
      <protection locked="0"/>
    </xf>
    <xf numFmtId="0" fontId="44" fillId="0" borderId="33" xfId="0" applyFont="1" applyBorder="1" applyAlignment="1" applyProtection="1">
      <alignment vertical="top" wrapText="1"/>
      <protection locked="0"/>
    </xf>
    <xf numFmtId="0" fontId="44" fillId="0" borderId="31" xfId="0" applyFont="1" applyBorder="1" applyAlignment="1" applyProtection="1">
      <alignment vertical="top" wrapText="1"/>
      <protection locked="0"/>
    </xf>
    <xf numFmtId="0" fontId="44" fillId="28" borderId="5" xfId="0" applyFont="1" applyFill="1" applyBorder="1" applyAlignment="1" applyProtection="1">
      <alignment vertical="top" wrapText="1"/>
      <protection locked="0"/>
    </xf>
    <xf numFmtId="0" fontId="44" fillId="28" borderId="8" xfId="0" applyFont="1" applyFill="1" applyBorder="1" applyAlignment="1" applyProtection="1">
      <alignment vertical="top" wrapText="1"/>
      <protection locked="0"/>
    </xf>
    <xf numFmtId="0" fontId="46" fillId="0" borderId="58" xfId="3" applyFont="1" applyBorder="1" applyAlignment="1" applyProtection="1">
      <alignment vertical="top" wrapText="1"/>
      <protection locked="0"/>
    </xf>
    <xf numFmtId="0" fontId="42" fillId="0" borderId="59" xfId="0" applyFont="1" applyBorder="1" applyAlignment="1" applyProtection="1">
      <alignment vertical="top" wrapText="1"/>
      <protection locked="0"/>
    </xf>
    <xf numFmtId="0" fontId="42" fillId="0" borderId="33" xfId="0" applyFont="1" applyBorder="1" applyAlignment="1" applyProtection="1">
      <alignment vertical="top" wrapText="1"/>
      <protection locked="0"/>
    </xf>
    <xf numFmtId="0" fontId="46" fillId="0" borderId="60" xfId="3" applyFont="1" applyBorder="1" applyAlignment="1" applyProtection="1">
      <alignment vertical="top" wrapText="1"/>
      <protection locked="0"/>
    </xf>
    <xf numFmtId="0" fontId="44" fillId="28" borderId="10" xfId="0" applyFont="1" applyFill="1" applyBorder="1" applyAlignment="1" applyProtection="1">
      <alignment vertical="top" wrapText="1"/>
      <protection locked="0"/>
    </xf>
    <xf numFmtId="0" fontId="46" fillId="0" borderId="24" xfId="3" applyFont="1" applyBorder="1" applyAlignment="1" applyProtection="1">
      <alignment vertical="top" wrapText="1"/>
      <protection locked="0"/>
    </xf>
    <xf numFmtId="0" fontId="46" fillId="0" borderId="25" xfId="3" applyFont="1" applyBorder="1" applyAlignment="1" applyProtection="1">
      <alignment vertical="top" wrapText="1"/>
      <protection locked="0"/>
    </xf>
    <xf numFmtId="0" fontId="42" fillId="0" borderId="25" xfId="0" applyFont="1" applyBorder="1" applyAlignment="1" applyProtection="1">
      <alignment vertical="top" wrapText="1"/>
      <protection locked="0"/>
    </xf>
    <xf numFmtId="0" fontId="46" fillId="0" borderId="26" xfId="3" applyFont="1" applyBorder="1" applyAlignment="1" applyProtection="1">
      <alignment vertical="top" wrapText="1"/>
      <protection locked="0"/>
    </xf>
    <xf numFmtId="0" fontId="46" fillId="0" borderId="2" xfId="3" applyFont="1" applyBorder="1" applyAlignment="1" applyProtection="1">
      <alignment horizontal="left" vertical="top" wrapText="1"/>
      <protection locked="0"/>
    </xf>
    <xf numFmtId="0" fontId="46" fillId="0" borderId="2" xfId="3" applyFont="1" applyBorder="1" applyAlignment="1" applyProtection="1">
      <alignment vertical="top" wrapText="1"/>
      <protection locked="0"/>
    </xf>
    <xf numFmtId="0" fontId="42" fillId="0" borderId="24" xfId="0" applyFont="1" applyBorder="1" applyAlignment="1" applyProtection="1">
      <alignment vertical="top" wrapText="1"/>
      <protection locked="0"/>
    </xf>
    <xf numFmtId="0" fontId="44" fillId="28" borderId="42" xfId="0" applyFont="1" applyFill="1" applyBorder="1" applyAlignment="1" applyProtection="1">
      <alignment vertical="top" wrapText="1"/>
      <protection locked="0"/>
    </xf>
    <xf numFmtId="0" fontId="42" fillId="0" borderId="26" xfId="0" applyFont="1" applyBorder="1" applyAlignment="1" applyProtection="1">
      <alignment vertical="top" wrapText="1"/>
      <protection locked="0"/>
    </xf>
    <xf numFmtId="0" fontId="44" fillId="0" borderId="24" xfId="0" applyFont="1" applyBorder="1" applyAlignment="1" applyProtection="1">
      <alignment vertical="top" wrapText="1"/>
      <protection locked="0"/>
    </xf>
    <xf numFmtId="0" fontId="44" fillId="0" borderId="26" xfId="0" applyFont="1" applyBorder="1" applyAlignment="1" applyProtection="1">
      <alignment vertical="top" wrapText="1"/>
      <protection locked="0"/>
    </xf>
    <xf numFmtId="0" fontId="44" fillId="0" borderId="34" xfId="0" applyFont="1" applyBorder="1" applyAlignment="1" applyProtection="1">
      <alignment vertical="top" wrapText="1"/>
      <protection locked="0"/>
    </xf>
    <xf numFmtId="0" fontId="44" fillId="0" borderId="5" xfId="0" applyFont="1" applyBorder="1" applyAlignment="1" applyProtection="1">
      <alignment vertical="top" wrapText="1"/>
      <protection locked="0"/>
    </xf>
    <xf numFmtId="0" fontId="44" fillId="28" borderId="1" xfId="0" applyFont="1" applyFill="1" applyBorder="1" applyAlignment="1" applyProtection="1">
      <alignment vertical="top" wrapText="1"/>
      <protection locked="0"/>
    </xf>
    <xf numFmtId="0" fontId="44" fillId="27" borderId="10" xfId="0" applyFont="1" applyFill="1" applyBorder="1" applyAlignment="1" applyProtection="1">
      <alignment vertical="top" wrapText="1"/>
      <protection locked="0"/>
    </xf>
    <xf numFmtId="0" fontId="50" fillId="0" borderId="5" xfId="0" applyFont="1" applyBorder="1" applyAlignment="1" applyProtection="1">
      <alignment vertical="top" wrapText="1"/>
      <protection locked="0"/>
    </xf>
    <xf numFmtId="0" fontId="50" fillId="0" borderId="7" xfId="0" applyFont="1" applyBorder="1" applyAlignment="1" applyProtection="1">
      <alignment vertical="top" wrapText="1"/>
      <protection locked="0"/>
    </xf>
    <xf numFmtId="0" fontId="42" fillId="0" borderId="1" xfId="0" applyFont="1" applyBorder="1" applyAlignment="1" applyProtection="1">
      <alignment vertical="top" wrapText="1"/>
      <protection locked="0"/>
    </xf>
    <xf numFmtId="0" fontId="44" fillId="28" borderId="0" xfId="0" applyFont="1" applyFill="1" applyAlignment="1" applyProtection="1">
      <alignment vertical="top" wrapText="1"/>
      <protection locked="0"/>
    </xf>
    <xf numFmtId="0" fontId="42" fillId="25" borderId="1" xfId="0" applyFont="1" applyFill="1" applyBorder="1" applyAlignment="1" applyProtection="1">
      <alignment vertical="top" wrapText="1"/>
      <protection locked="0"/>
    </xf>
    <xf numFmtId="0" fontId="44" fillId="2" borderId="3" xfId="0" applyFont="1" applyFill="1" applyBorder="1" applyAlignment="1" applyProtection="1">
      <alignment vertical="top" wrapText="1"/>
      <protection locked="0"/>
    </xf>
    <xf numFmtId="0" fontId="44" fillId="2" borderId="1" xfId="0" applyFont="1" applyFill="1" applyBorder="1" applyAlignment="1" applyProtection="1">
      <alignment vertical="top" wrapText="1"/>
      <protection locked="0"/>
    </xf>
    <xf numFmtId="0" fontId="42" fillId="0" borderId="0" xfId="0" applyFont="1" applyAlignment="1" applyProtection="1">
      <alignment vertical="top" wrapText="1"/>
      <protection locked="0"/>
    </xf>
    <xf numFmtId="0" fontId="44" fillId="0" borderId="1" xfId="0" applyFont="1" applyBorder="1" applyAlignment="1" applyProtection="1">
      <alignment vertical="top" wrapText="1"/>
      <protection locked="0"/>
    </xf>
    <xf numFmtId="0" fontId="46" fillId="0" borderId="46" xfId="3" applyFont="1" applyBorder="1" applyAlignment="1" applyProtection="1">
      <alignment vertical="top" wrapText="1"/>
      <protection locked="0"/>
    </xf>
    <xf numFmtId="0" fontId="46" fillId="0" borderId="48" xfId="3" applyFont="1" applyBorder="1" applyAlignment="1" applyProtection="1">
      <alignment vertical="top" wrapText="1"/>
      <protection locked="0"/>
    </xf>
    <xf numFmtId="0" fontId="46" fillId="27" borderId="66" xfId="3" applyFont="1" applyFill="1" applyBorder="1" applyAlignment="1" applyProtection="1">
      <alignment vertical="top" wrapText="1"/>
      <protection locked="0"/>
    </xf>
    <xf numFmtId="0" fontId="42" fillId="27" borderId="32" xfId="0" applyFont="1" applyFill="1" applyBorder="1" applyAlignment="1" applyProtection="1">
      <alignment vertical="top" wrapText="1"/>
      <protection locked="0"/>
    </xf>
    <xf numFmtId="0" fontId="42" fillId="27" borderId="25" xfId="0" applyFont="1" applyFill="1" applyBorder="1" applyAlignment="1" applyProtection="1">
      <alignment vertical="top" wrapText="1"/>
      <protection locked="0"/>
    </xf>
    <xf numFmtId="0" fontId="42" fillId="27" borderId="37" xfId="0" applyFont="1" applyFill="1" applyBorder="1" applyAlignment="1" applyProtection="1">
      <alignment vertical="top" wrapText="1"/>
      <protection locked="0"/>
    </xf>
    <xf numFmtId="0" fontId="47" fillId="0" borderId="66" xfId="0" applyFont="1" applyBorder="1" applyAlignment="1" applyProtection="1">
      <alignment vertical="top" wrapText="1"/>
      <protection locked="0"/>
    </xf>
    <xf numFmtId="0" fontId="42" fillId="0" borderId="53" xfId="0" applyFont="1" applyBorder="1" applyAlignment="1" applyProtection="1">
      <alignment vertical="top" wrapText="1"/>
      <protection locked="0"/>
    </xf>
    <xf numFmtId="0" fontId="51" fillId="0" borderId="25" xfId="3" applyFont="1" applyBorder="1" applyAlignment="1" applyProtection="1">
      <alignment vertical="top" wrapText="1"/>
      <protection locked="0"/>
    </xf>
    <xf numFmtId="0" fontId="51" fillId="0" borderId="26" xfId="3" applyFont="1" applyBorder="1" applyAlignment="1" applyProtection="1">
      <alignment vertical="top" wrapText="1"/>
      <protection locked="0"/>
    </xf>
    <xf numFmtId="0" fontId="48" fillId="28" borderId="10" xfId="0" applyFont="1" applyFill="1" applyBorder="1" applyAlignment="1" applyProtection="1">
      <alignment vertical="top" wrapText="1"/>
      <protection locked="0"/>
    </xf>
    <xf numFmtId="0" fontId="44" fillId="0" borderId="2" xfId="0" applyFont="1" applyBorder="1" applyAlignment="1" applyProtection="1">
      <alignment vertical="top" wrapText="1"/>
      <protection locked="0"/>
    </xf>
    <xf numFmtId="0" fontId="45" fillId="0" borderId="2" xfId="0" applyFont="1" applyBorder="1" applyAlignment="1" applyProtection="1">
      <alignment vertical="top" wrapText="1"/>
      <protection locked="0"/>
    </xf>
    <xf numFmtId="0" fontId="43" fillId="0" borderId="24" xfId="3" applyFont="1" applyBorder="1" applyAlignment="1" applyProtection="1">
      <alignment vertical="top" wrapText="1"/>
      <protection locked="0"/>
    </xf>
    <xf numFmtId="0" fontId="43" fillId="0" borderId="26" xfId="3" applyFont="1" applyBorder="1" applyAlignment="1" applyProtection="1">
      <alignment vertical="top" wrapText="1"/>
      <protection locked="0"/>
    </xf>
    <xf numFmtId="0" fontId="15" fillId="0" borderId="32" xfId="0" applyFont="1" applyBorder="1" applyAlignment="1" applyProtection="1">
      <alignment horizontal="left" vertical="top" wrapText="1"/>
      <protection locked="0"/>
    </xf>
    <xf numFmtId="0" fontId="15" fillId="0" borderId="34" xfId="0" applyFont="1" applyBorder="1" applyAlignment="1" applyProtection="1">
      <alignment vertical="top" wrapText="1"/>
      <protection locked="0"/>
    </xf>
    <xf numFmtId="0" fontId="15" fillId="0" borderId="33" xfId="0" applyFont="1" applyBorder="1" applyAlignment="1" applyProtection="1">
      <alignment vertical="top" wrapText="1"/>
      <protection locked="0"/>
    </xf>
    <xf numFmtId="0" fontId="15" fillId="25" borderId="34" xfId="0" applyFont="1" applyFill="1" applyBorder="1" applyAlignment="1" applyProtection="1">
      <alignment vertical="top" wrapText="1"/>
      <protection locked="0"/>
    </xf>
    <xf numFmtId="0" fontId="15" fillId="0" borderId="33" xfId="0" applyFont="1" applyBorder="1" applyAlignment="1" applyProtection="1">
      <alignment wrapText="1"/>
      <protection locked="0"/>
    </xf>
    <xf numFmtId="0" fontId="15" fillId="0" borderId="34" xfId="0" applyFont="1" applyBorder="1" applyAlignment="1" applyProtection="1">
      <alignment wrapText="1"/>
      <protection locked="0"/>
    </xf>
    <xf numFmtId="0" fontId="15" fillId="12" borderId="25" xfId="0" applyFont="1" applyFill="1" applyBorder="1" applyAlignment="1" applyProtection="1">
      <alignment vertical="top" wrapText="1"/>
      <protection locked="0"/>
    </xf>
    <xf numFmtId="0" fontId="15" fillId="12" borderId="34" xfId="0" applyFont="1" applyFill="1" applyBorder="1" applyAlignment="1" applyProtection="1">
      <alignment vertical="top" wrapText="1"/>
      <protection locked="0"/>
    </xf>
    <xf numFmtId="0" fontId="15" fillId="0" borderId="53" xfId="0" applyFont="1" applyBorder="1" applyAlignment="1" applyProtection="1">
      <alignment vertical="top" wrapText="1"/>
      <protection locked="0"/>
    </xf>
    <xf numFmtId="0" fontId="15" fillId="0" borderId="2" xfId="0" applyFont="1" applyBorder="1" applyAlignment="1" applyProtection="1">
      <alignment vertical="top" wrapText="1"/>
      <protection locked="0"/>
    </xf>
    <xf numFmtId="0" fontId="15" fillId="0" borderId="0" xfId="0" applyFont="1" applyAlignment="1" applyProtection="1">
      <alignment vertical="top" wrapText="1"/>
      <protection locked="0"/>
    </xf>
    <xf numFmtId="0" fontId="0" fillId="12" borderId="32" xfId="0" applyFill="1" applyBorder="1" applyAlignment="1" applyProtection="1">
      <alignment vertical="top" wrapText="1"/>
      <protection locked="0"/>
    </xf>
    <xf numFmtId="0" fontId="40" fillId="0" borderId="32"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34" xfId="0" applyFont="1" applyBorder="1" applyAlignment="1" applyProtection="1">
      <alignment horizontal="left" vertical="center" wrapText="1"/>
      <protection locked="0"/>
    </xf>
    <xf numFmtId="0" fontId="16" fillId="0" borderId="32" xfId="0" applyFont="1" applyBorder="1" applyAlignment="1" applyProtection="1">
      <alignment vertical="center" wrapText="1"/>
      <protection locked="0"/>
    </xf>
    <xf numFmtId="0" fontId="16" fillId="0" borderId="34" xfId="0" applyFont="1" applyBorder="1" applyAlignment="1" applyProtection="1">
      <alignment vertical="center" wrapText="1"/>
      <protection locked="0"/>
    </xf>
    <xf numFmtId="0" fontId="16" fillId="11" borderId="5" xfId="0" applyFont="1" applyFill="1" applyBorder="1" applyAlignment="1" applyProtection="1">
      <alignment vertical="center" wrapText="1"/>
      <protection locked="0"/>
    </xf>
    <xf numFmtId="0" fontId="16" fillId="11" borderId="8" xfId="0" applyFont="1" applyFill="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16" fillId="11" borderId="10" xfId="0" applyFont="1" applyFill="1" applyBorder="1" applyAlignment="1" applyProtection="1">
      <alignment vertical="center" wrapText="1"/>
      <protection locked="0"/>
    </xf>
    <xf numFmtId="0" fontId="40" fillId="0" borderId="34"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6" fillId="11" borderId="1" xfId="0" applyFont="1" applyFill="1" applyBorder="1" applyAlignment="1" applyProtection="1">
      <alignment vertical="center" wrapText="1"/>
      <protection locked="0"/>
    </xf>
    <xf numFmtId="0" fontId="16" fillId="12" borderId="10" xfId="0" applyFont="1" applyFill="1" applyBorder="1" applyAlignment="1" applyProtection="1">
      <alignment vertical="center" wrapText="1"/>
      <protection locked="0"/>
    </xf>
    <xf numFmtId="0" fontId="33" fillId="0" borderId="5"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16" fillId="9" borderId="1" xfId="0" applyFont="1" applyFill="1" applyBorder="1" applyAlignment="1" applyProtection="1">
      <alignment vertical="center" wrapText="1"/>
      <protection locked="0"/>
    </xf>
    <xf numFmtId="0" fontId="16" fillId="0" borderId="1" xfId="0" applyFont="1" applyBorder="1" applyAlignment="1" applyProtection="1">
      <alignment vertical="center" wrapText="1"/>
      <protection locked="0"/>
    </xf>
    <xf numFmtId="0" fontId="0" fillId="11" borderId="5" xfId="0" applyFill="1" applyBorder="1" applyAlignment="1" applyProtection="1">
      <alignment wrapText="1"/>
      <protection locked="0"/>
    </xf>
    <xf numFmtId="0" fontId="0" fillId="11" borderId="8" xfId="0" applyFill="1" applyBorder="1" applyAlignment="1" applyProtection="1">
      <alignment wrapText="1"/>
      <protection locked="0"/>
    </xf>
    <xf numFmtId="0" fontId="15" fillId="0" borderId="32" xfId="0" applyFont="1" applyBorder="1" applyAlignment="1" applyProtection="1">
      <alignment wrapText="1"/>
      <protection locked="0"/>
    </xf>
    <xf numFmtId="0" fontId="0" fillId="11" borderId="10" xfId="0" applyFill="1" applyBorder="1" applyAlignment="1" applyProtection="1">
      <alignment wrapText="1"/>
      <protection locked="0"/>
    </xf>
    <xf numFmtId="0" fontId="15" fillId="0" borderId="0" xfId="0" applyFont="1" applyAlignment="1">
      <alignment horizontal="right" readingOrder="2"/>
    </xf>
    <xf numFmtId="0" fontId="15" fillId="0" borderId="2" xfId="0" applyFont="1" applyBorder="1" applyAlignment="1" applyProtection="1">
      <alignment wrapText="1"/>
      <protection locked="0"/>
    </xf>
    <xf numFmtId="0" fontId="15" fillId="0" borderId="24" xfId="0" applyFont="1" applyBorder="1" applyAlignment="1" applyProtection="1">
      <alignment wrapText="1"/>
      <protection locked="0"/>
    </xf>
    <xf numFmtId="0" fontId="15" fillId="0" borderId="25" xfId="0" applyFont="1" applyBorder="1" applyAlignment="1" applyProtection="1">
      <alignment wrapText="1"/>
      <protection locked="0"/>
    </xf>
    <xf numFmtId="0" fontId="0" fillId="11" borderId="42" xfId="0" applyFill="1" applyBorder="1" applyAlignment="1" applyProtection="1">
      <alignment wrapText="1"/>
      <protection locked="0"/>
    </xf>
    <xf numFmtId="0" fontId="15" fillId="0" borderId="26" xfId="0" applyFont="1" applyBorder="1" applyAlignment="1" applyProtection="1">
      <alignment wrapText="1"/>
      <protection locked="0"/>
    </xf>
    <xf numFmtId="0" fontId="0" fillId="0" borderId="24" xfId="0" applyBorder="1" applyAlignment="1" applyProtection="1">
      <alignment wrapText="1"/>
      <protection locked="0"/>
    </xf>
    <xf numFmtId="0" fontId="0" fillId="0" borderId="26" xfId="0" applyBorder="1" applyAlignment="1" applyProtection="1">
      <alignment wrapText="1"/>
      <protection locked="0"/>
    </xf>
    <xf numFmtId="0" fontId="0" fillId="0" borderId="5" xfId="0" applyBorder="1" applyAlignment="1" applyProtection="1">
      <alignment wrapText="1"/>
      <protection locked="0"/>
    </xf>
    <xf numFmtId="0" fontId="0" fillId="11" borderId="1" xfId="0" applyFill="1" applyBorder="1" applyAlignment="1" applyProtection="1">
      <alignment wrapText="1"/>
      <protection locked="0"/>
    </xf>
    <xf numFmtId="0" fontId="0" fillId="12" borderId="10" xfId="0" applyFill="1" applyBorder="1" applyAlignment="1" applyProtection="1">
      <alignment wrapText="1"/>
      <protection locked="0"/>
    </xf>
    <xf numFmtId="0" fontId="0" fillId="12" borderId="32" xfId="0" applyFill="1" applyBorder="1" applyAlignment="1" applyProtection="1">
      <alignment wrapText="1"/>
      <protection locked="0"/>
    </xf>
    <xf numFmtId="0" fontId="0" fillId="0" borderId="33" xfId="0" applyBorder="1" applyAlignment="1" applyProtection="1">
      <alignment wrapText="1"/>
      <protection locked="0"/>
    </xf>
    <xf numFmtId="0" fontId="0" fillId="0" borderId="34" xfId="0" applyBorder="1" applyAlignment="1" applyProtection="1">
      <alignment wrapText="1"/>
      <protection locked="0"/>
    </xf>
    <xf numFmtId="0" fontId="2" fillId="0" borderId="5" xfId="0" applyFont="1" applyBorder="1" applyAlignment="1" applyProtection="1">
      <alignment wrapText="1"/>
      <protection locked="0"/>
    </xf>
    <xf numFmtId="0" fontId="2" fillId="0" borderId="7" xfId="0" applyFont="1" applyBorder="1" applyAlignment="1" applyProtection="1">
      <alignment wrapText="1"/>
      <protection locked="0"/>
    </xf>
    <xf numFmtId="0" fontId="35" fillId="0" borderId="25" xfId="3" applyFont="1" applyBorder="1" applyAlignment="1" applyProtection="1">
      <alignment wrapText="1"/>
      <protection locked="0"/>
    </xf>
    <xf numFmtId="0" fontId="0" fillId="11" borderId="0" xfId="0" applyFill="1" applyAlignment="1" applyProtection="1">
      <alignment wrapText="1"/>
      <protection locked="0"/>
    </xf>
    <xf numFmtId="0" fontId="0" fillId="9" borderId="3" xfId="0" applyFill="1" applyBorder="1" applyAlignment="1" applyProtection="1">
      <alignment wrapText="1"/>
      <protection locked="0"/>
    </xf>
    <xf numFmtId="0" fontId="0" fillId="9" borderId="1" xfId="0" applyFill="1" applyBorder="1" applyAlignment="1" applyProtection="1">
      <alignment wrapText="1"/>
      <protection locked="0"/>
    </xf>
    <xf numFmtId="0" fontId="15" fillId="0" borderId="1" xfId="0" applyFont="1" applyBorder="1" applyAlignment="1" applyProtection="1">
      <alignment wrapText="1"/>
      <protection locked="0"/>
    </xf>
    <xf numFmtId="0" fontId="15" fillId="0" borderId="0" xfId="0" applyFont="1" applyAlignment="1" applyProtection="1">
      <alignment wrapText="1"/>
      <protection locked="0"/>
    </xf>
    <xf numFmtId="0" fontId="0" fillId="0" borderId="1" xfId="0" applyBorder="1" applyAlignment="1" applyProtection="1">
      <alignment wrapText="1"/>
      <protection locked="0"/>
    </xf>
    <xf numFmtId="0" fontId="16" fillId="11" borderId="10" xfId="0" applyFont="1" applyFill="1" applyBorder="1" applyAlignment="1" applyProtection="1">
      <alignment wrapText="1"/>
      <protection locked="0"/>
    </xf>
    <xf numFmtId="0" fontId="0" fillId="0" borderId="2" xfId="0" applyBorder="1" applyAlignment="1" applyProtection="1">
      <alignment wrapText="1"/>
      <protection locked="0"/>
    </xf>
    <xf numFmtId="0" fontId="34" fillId="0" borderId="24" xfId="3" applyFont="1" applyBorder="1" applyAlignment="1" applyProtection="1">
      <alignment wrapText="1"/>
      <protection locked="0"/>
    </xf>
    <xf numFmtId="0" fontId="17" fillId="29" borderId="43" xfId="0" applyFont="1" applyFill="1" applyBorder="1" applyProtection="1"/>
    <xf numFmtId="0" fontId="17" fillId="29" borderId="0" xfId="0" applyFont="1" applyFill="1" applyBorder="1" applyProtection="1"/>
    <xf numFmtId="0" fontId="17" fillId="29" borderId="0" xfId="0" applyFont="1" applyFill="1" applyBorder="1" applyProtection="1">
      <protection locked="0"/>
    </xf>
    <xf numFmtId="0" fontId="17" fillId="29" borderId="9" xfId="0" applyFont="1" applyFill="1" applyBorder="1" applyProtection="1">
      <protection locked="0"/>
    </xf>
    <xf numFmtId="9" fontId="37" fillId="29" borderId="9" xfId="1" applyFont="1" applyFill="1" applyBorder="1" applyAlignment="1" applyProtection="1">
      <alignment horizontal="center" vertical="center" wrapText="1"/>
    </xf>
    <xf numFmtId="0" fontId="29" fillId="29" borderId="43" xfId="0" applyFont="1" applyFill="1" applyBorder="1" applyAlignment="1" applyProtection="1">
      <alignment horizontal="center"/>
      <protection locked="0"/>
    </xf>
    <xf numFmtId="0" fontId="29" fillId="29" borderId="0" xfId="0" applyFont="1" applyFill="1" applyBorder="1" applyAlignment="1" applyProtection="1">
      <alignment horizontal="center"/>
      <protection locked="0"/>
    </xf>
    <xf numFmtId="0" fontId="29" fillId="29" borderId="16" xfId="0" applyFont="1" applyFill="1" applyBorder="1" applyAlignment="1" applyProtection="1">
      <alignment horizontal="center"/>
      <protection locked="0"/>
    </xf>
    <xf numFmtId="0" fontId="29" fillId="29" borderId="6" xfId="0" applyFont="1" applyFill="1" applyBorder="1" applyAlignment="1" applyProtection="1">
      <alignment horizontal="center"/>
      <protection locked="0"/>
    </xf>
    <xf numFmtId="0" fontId="17" fillId="29" borderId="6" xfId="0" applyFont="1" applyFill="1" applyBorder="1" applyProtection="1"/>
    <xf numFmtId="0" fontId="17" fillId="29" borderId="7" xfId="0" applyFont="1" applyFill="1" applyBorder="1" applyProtection="1">
      <protection locked="0"/>
    </xf>
    <xf numFmtId="0" fontId="55" fillId="9" borderId="0" xfId="0" applyFont="1" applyFill="1" applyBorder="1" applyAlignment="1" applyProtection="1">
      <alignment horizontal="center"/>
    </xf>
    <xf numFmtId="0" fontId="56" fillId="0" borderId="1" xfId="0" applyFont="1" applyBorder="1" applyAlignment="1" applyProtection="1">
      <alignment horizontal="center" vertical="center" wrapText="1"/>
    </xf>
    <xf numFmtId="0" fontId="56" fillId="0" borderId="1" xfId="0" applyFont="1" applyBorder="1" applyAlignment="1" applyProtection="1">
      <alignment horizontal="center" vertical="center"/>
    </xf>
    <xf numFmtId="0" fontId="0" fillId="30" borderId="6" xfId="0" applyFill="1" applyBorder="1" applyAlignment="1" applyProtection="1">
      <alignment vertical="center" wrapText="1"/>
    </xf>
    <xf numFmtId="0" fontId="0" fillId="29" borderId="42" xfId="0" applyFill="1" applyBorder="1" applyProtection="1">
      <protection locked="0"/>
    </xf>
    <xf numFmtId="0" fontId="0" fillId="29" borderId="44" xfId="0" applyFill="1" applyBorder="1" applyProtection="1">
      <protection locked="0"/>
    </xf>
    <xf numFmtId="0" fontId="0" fillId="29" borderId="44" xfId="0" applyFill="1" applyBorder="1" applyProtection="1"/>
    <xf numFmtId="0" fontId="0" fillId="29" borderId="45" xfId="0" applyFill="1" applyBorder="1" applyProtection="1">
      <protection locked="0"/>
    </xf>
    <xf numFmtId="0" fontId="0" fillId="30" borderId="7" xfId="0" applyFill="1" applyBorder="1" applyAlignment="1" applyProtection="1">
      <alignment vertical="center" wrapText="1"/>
    </xf>
    <xf numFmtId="0" fontId="22" fillId="0" borderId="43" xfId="0" applyFont="1" applyBorder="1" applyAlignment="1" applyProtection="1">
      <alignment wrapText="1"/>
    </xf>
    <xf numFmtId="0" fontId="22" fillId="0" borderId="0" xfId="0" applyFont="1" applyBorder="1" applyAlignment="1" applyProtection="1">
      <alignment vertical="center"/>
    </xf>
    <xf numFmtId="0" fontId="24" fillId="10" borderId="24" xfId="0" applyFont="1" applyFill="1" applyBorder="1" applyAlignment="1" applyProtection="1">
      <alignment vertical="center" wrapText="1"/>
    </xf>
    <xf numFmtId="0" fontId="24" fillId="10" borderId="26" xfId="0" applyFont="1" applyFill="1" applyBorder="1" applyAlignment="1" applyProtection="1">
      <alignment vertical="center" wrapText="1"/>
    </xf>
    <xf numFmtId="0" fontId="27" fillId="22" borderId="24" xfId="0" applyFont="1" applyFill="1" applyBorder="1" applyAlignment="1" applyProtection="1">
      <alignment vertical="center" wrapText="1"/>
    </xf>
    <xf numFmtId="0" fontId="27" fillId="22" borderId="25" xfId="0" applyFont="1" applyFill="1" applyBorder="1" applyAlignment="1" applyProtection="1">
      <alignment vertical="center" wrapText="1"/>
    </xf>
    <xf numFmtId="0" fontId="27" fillId="22" borderId="26" xfId="0" applyFont="1" applyFill="1" applyBorder="1" applyAlignment="1" applyProtection="1">
      <alignment vertical="center" wrapText="1"/>
    </xf>
    <xf numFmtId="0" fontId="24" fillId="8" borderId="24" xfId="0" applyFont="1" applyFill="1" applyBorder="1" applyAlignment="1" applyProtection="1">
      <alignment vertical="center" wrapText="1"/>
    </xf>
    <xf numFmtId="0" fontId="24" fillId="8" borderId="25" xfId="0" applyFont="1" applyFill="1" applyBorder="1" applyAlignment="1" applyProtection="1">
      <alignment vertical="center" wrapText="1"/>
    </xf>
    <xf numFmtId="0" fontId="24" fillId="8" borderId="26" xfId="0" applyFont="1" applyFill="1" applyBorder="1" applyAlignment="1" applyProtection="1">
      <alignment vertical="center" wrapText="1"/>
    </xf>
    <xf numFmtId="0" fontId="24" fillId="4" borderId="52" xfId="0" applyFont="1" applyFill="1" applyBorder="1" applyAlignment="1" applyProtection="1">
      <alignment vertical="center" wrapText="1"/>
    </xf>
    <xf numFmtId="0" fontId="22" fillId="4" borderId="52" xfId="0" applyFont="1" applyFill="1" applyBorder="1" applyAlignment="1" applyProtection="1">
      <alignment vertical="center" wrapText="1"/>
    </xf>
    <xf numFmtId="0" fontId="24" fillId="22" borderId="24" xfId="0" applyFont="1" applyFill="1" applyBorder="1" applyAlignment="1" applyProtection="1">
      <alignment vertical="center" wrapText="1"/>
    </xf>
    <xf numFmtId="0" fontId="24" fillId="22" borderId="25" xfId="0" applyFont="1" applyFill="1" applyBorder="1" applyAlignment="1" applyProtection="1">
      <alignment vertical="center" wrapText="1"/>
    </xf>
    <xf numFmtId="0" fontId="5" fillId="12" borderId="42" xfId="0" applyFont="1" applyFill="1" applyBorder="1" applyAlignment="1" applyProtection="1">
      <alignment vertical="center" wrapText="1"/>
    </xf>
    <xf numFmtId="0" fontId="24" fillId="19" borderId="24" xfId="0" applyFont="1" applyFill="1" applyBorder="1" applyAlignment="1" applyProtection="1">
      <alignment vertical="center" wrapText="1"/>
    </xf>
    <xf numFmtId="0" fontId="24" fillId="19" borderId="25" xfId="0" applyFont="1" applyFill="1" applyBorder="1" applyAlignment="1" applyProtection="1">
      <alignment vertical="center" wrapText="1"/>
    </xf>
    <xf numFmtId="0" fontId="24" fillId="19" borderId="26" xfId="0" applyFont="1" applyFill="1" applyBorder="1" applyAlignment="1" applyProtection="1">
      <alignment vertical="center" wrapText="1"/>
    </xf>
    <xf numFmtId="0" fontId="24" fillId="22" borderId="26" xfId="0" applyFont="1" applyFill="1" applyBorder="1" applyAlignment="1" applyProtection="1">
      <alignment vertical="center" wrapText="1"/>
    </xf>
    <xf numFmtId="0" fontId="22" fillId="9" borderId="47" xfId="0" applyFont="1" applyFill="1" applyBorder="1" applyAlignment="1" applyProtection="1">
      <alignment vertical="center" wrapText="1"/>
    </xf>
    <xf numFmtId="0" fontId="24" fillId="21" borderId="2" xfId="0" applyFont="1" applyFill="1" applyBorder="1" applyAlignment="1" applyProtection="1">
      <alignment vertical="center" wrapText="1"/>
    </xf>
    <xf numFmtId="0" fontId="24" fillId="17" borderId="47" xfId="0" applyFont="1" applyFill="1" applyBorder="1" applyAlignment="1" applyProtection="1">
      <alignment vertical="center" wrapText="1"/>
    </xf>
    <xf numFmtId="0" fontId="24" fillId="8" borderId="47" xfId="0" applyFont="1" applyFill="1" applyBorder="1" applyAlignment="1" applyProtection="1">
      <alignment vertical="center" wrapText="1"/>
    </xf>
    <xf numFmtId="0" fontId="3" fillId="11" borderId="42" xfId="0" applyFont="1" applyFill="1" applyBorder="1" applyAlignment="1" applyProtection="1">
      <alignment vertical="center" wrapText="1"/>
    </xf>
    <xf numFmtId="0" fontId="24" fillId="9" borderId="46" xfId="0" applyFont="1" applyFill="1" applyBorder="1" applyAlignment="1" applyProtection="1">
      <alignment vertical="center" wrapText="1"/>
    </xf>
    <xf numFmtId="0" fontId="24" fillId="9" borderId="48" xfId="0" applyFont="1" applyFill="1" applyBorder="1" applyAlignment="1" applyProtection="1">
      <alignment vertical="center" wrapText="1"/>
    </xf>
    <xf numFmtId="0" fontId="24" fillId="9" borderId="24" xfId="0" applyFont="1" applyFill="1" applyBorder="1" applyAlignment="1" applyProtection="1">
      <alignment vertical="center" wrapText="1"/>
    </xf>
    <xf numFmtId="0" fontId="24" fillId="9" borderId="25" xfId="0" applyFont="1" applyFill="1" applyBorder="1" applyAlignment="1" applyProtection="1">
      <alignment vertical="center" wrapText="1"/>
    </xf>
    <xf numFmtId="0" fontId="24" fillId="9" borderId="26" xfId="0" applyFont="1" applyFill="1" applyBorder="1" applyAlignment="1" applyProtection="1">
      <alignment vertical="center" wrapText="1"/>
    </xf>
    <xf numFmtId="0" fontId="24" fillId="16" borderId="25" xfId="0" applyFont="1" applyFill="1" applyBorder="1" applyAlignment="1" applyProtection="1">
      <alignment vertical="center" wrapText="1"/>
    </xf>
    <xf numFmtId="0" fontId="22" fillId="16" borderId="25" xfId="0" applyFont="1" applyFill="1" applyBorder="1" applyAlignment="1" applyProtection="1">
      <alignment vertical="center" wrapText="1"/>
    </xf>
    <xf numFmtId="0" fontId="24" fillId="16" borderId="26" xfId="0" applyFont="1" applyFill="1" applyBorder="1" applyAlignment="1" applyProtection="1">
      <alignment vertical="center" wrapText="1"/>
    </xf>
    <xf numFmtId="0" fontId="24" fillId="18" borderId="24" xfId="0" applyFont="1" applyFill="1" applyBorder="1" applyAlignment="1" applyProtection="1">
      <alignment vertical="center" wrapText="1"/>
    </xf>
    <xf numFmtId="0" fontId="24" fillId="18" borderId="25" xfId="0" applyFont="1" applyFill="1" applyBorder="1" applyAlignment="1" applyProtection="1">
      <alignment vertical="center" wrapText="1"/>
    </xf>
    <xf numFmtId="0" fontId="24" fillId="18" borderId="26" xfId="0" applyFont="1" applyFill="1" applyBorder="1" applyAlignment="1" applyProtection="1">
      <alignment vertical="center" wrapText="1"/>
    </xf>
    <xf numFmtId="0" fontId="5" fillId="5" borderId="2" xfId="0" applyFont="1" applyFill="1" applyBorder="1" applyAlignment="1" applyProtection="1">
      <alignment vertical="center" wrapText="1"/>
    </xf>
    <xf numFmtId="0" fontId="5" fillId="5" borderId="24" xfId="0" applyFont="1" applyFill="1" applyBorder="1" applyAlignment="1" applyProtection="1">
      <alignment vertical="center" wrapText="1"/>
    </xf>
    <xf numFmtId="0" fontId="5" fillId="5" borderId="26" xfId="0" applyFont="1" applyFill="1" applyBorder="1" applyAlignment="1" applyProtection="1">
      <alignment vertical="center" wrapText="1"/>
    </xf>
    <xf numFmtId="0" fontId="24" fillId="0" borderId="60" xfId="0" applyFont="1" applyFill="1" applyBorder="1" applyAlignment="1" applyProtection="1">
      <alignment vertical="center" wrapText="1"/>
    </xf>
    <xf numFmtId="0" fontId="24" fillId="5" borderId="46" xfId="0" applyFont="1" applyFill="1" applyBorder="1" applyAlignment="1" applyProtection="1">
      <alignment vertical="center" wrapText="1"/>
    </xf>
    <xf numFmtId="0" fontId="24" fillId="5" borderId="48" xfId="0" applyFont="1" applyFill="1" applyBorder="1" applyAlignment="1" applyProtection="1">
      <alignment vertical="center" wrapText="1"/>
    </xf>
    <xf numFmtId="0" fontId="24" fillId="0" borderId="29" xfId="0" applyFont="1" applyBorder="1" applyAlignment="1" applyProtection="1">
      <alignment vertical="center" wrapText="1"/>
    </xf>
    <xf numFmtId="0" fontId="24" fillId="16" borderId="24" xfId="0" applyFont="1" applyFill="1" applyBorder="1" applyAlignment="1" applyProtection="1">
      <alignment vertical="center" wrapText="1"/>
    </xf>
    <xf numFmtId="0" fontId="0" fillId="12" borderId="10" xfId="0" applyFill="1" applyBorder="1" applyAlignment="1" applyProtection="1">
      <alignment vertical="top" wrapText="1"/>
      <protection locked="0"/>
    </xf>
    <xf numFmtId="9" fontId="23" fillId="11" borderId="23" xfId="1" applyFont="1" applyFill="1" applyBorder="1" applyAlignment="1" applyProtection="1">
      <alignment horizontal="center" vertical="center" wrapText="1"/>
    </xf>
    <xf numFmtId="0" fontId="0" fillId="0" borderId="64" xfId="0" applyBorder="1" applyAlignment="1" applyProtection="1">
      <alignment vertical="top" wrapText="1"/>
      <protection locked="0"/>
    </xf>
    <xf numFmtId="0" fontId="0" fillId="0" borderId="33" xfId="0" applyBorder="1" applyAlignment="1" applyProtection="1">
      <alignment vertical="top" wrapText="1"/>
      <protection locked="0"/>
    </xf>
    <xf numFmtId="0" fontId="0" fillId="0" borderId="34" xfId="0" applyBorder="1" applyAlignment="1" applyProtection="1">
      <alignment vertical="top" wrapText="1"/>
      <protection locked="0"/>
    </xf>
    <xf numFmtId="0" fontId="0" fillId="0" borderId="24" xfId="0" applyBorder="1" applyAlignment="1" applyProtection="1">
      <alignment vertical="top"/>
      <protection locked="0"/>
    </xf>
    <xf numFmtId="0" fontId="0" fillId="0" borderId="26" xfId="0" applyBorder="1" applyAlignment="1" applyProtection="1">
      <alignment vertical="top"/>
      <protection locked="0"/>
    </xf>
    <xf numFmtId="0" fontId="15" fillId="0" borderId="24" xfId="0" applyFont="1" applyBorder="1" applyAlignment="1" applyProtection="1">
      <alignment horizontal="left" vertical="center" wrapText="1"/>
      <protection locked="0"/>
    </xf>
    <xf numFmtId="0" fontId="15" fillId="0" borderId="26" xfId="0" applyFont="1" applyBorder="1" applyAlignment="1" applyProtection="1">
      <alignment horizontal="left" vertical="center" wrapText="1"/>
      <protection locked="0"/>
    </xf>
    <xf numFmtId="0" fontId="34" fillId="0" borderId="66" xfId="3" applyFont="1" applyBorder="1" applyAlignment="1" applyProtection="1">
      <alignment vertical="top" wrapText="1"/>
      <protection locked="0"/>
    </xf>
    <xf numFmtId="0" fontId="34" fillId="0" borderId="37" xfId="3" applyFont="1" applyBorder="1" applyAlignment="1" applyProtection="1">
      <alignment wrapText="1"/>
      <protection locked="0"/>
    </xf>
    <xf numFmtId="0" fontId="0" fillId="11" borderId="16" xfId="0" applyFill="1" applyBorder="1" applyProtection="1">
      <protection locked="0"/>
    </xf>
    <xf numFmtId="0" fontId="35" fillId="0" borderId="29" xfId="3" applyFont="1" applyBorder="1" applyAlignment="1" applyProtection="1">
      <alignment vertical="top" wrapText="1"/>
      <protection locked="0"/>
    </xf>
    <xf numFmtId="0" fontId="35" fillId="0" borderId="31" xfId="3" applyFont="1" applyBorder="1" applyAlignment="1" applyProtection="1">
      <alignment vertical="top" wrapText="1"/>
      <protection locked="0"/>
    </xf>
    <xf numFmtId="0" fontId="0" fillId="11" borderId="43" xfId="0" applyFill="1" applyBorder="1" applyProtection="1">
      <protection locked="0"/>
    </xf>
    <xf numFmtId="0" fontId="0" fillId="0" borderId="16" xfId="0" applyBorder="1" applyProtection="1">
      <protection locked="0"/>
    </xf>
    <xf numFmtId="0" fontId="0" fillId="11" borderId="2" xfId="0" applyFill="1" applyBorder="1" applyProtection="1">
      <protection locked="0"/>
    </xf>
    <xf numFmtId="0" fontId="0" fillId="12" borderId="42" xfId="0" applyFill="1" applyBorder="1" applyProtection="1">
      <protection locked="0"/>
    </xf>
    <xf numFmtId="0" fontId="0" fillId="12" borderId="24" xfId="0" applyFill="1" applyBorder="1" applyProtection="1">
      <protection locked="0"/>
    </xf>
    <xf numFmtId="0" fontId="0" fillId="0" borderId="25" xfId="0" applyBorder="1" applyProtection="1">
      <protection locked="0"/>
    </xf>
    <xf numFmtId="0" fontId="2" fillId="0" borderId="16" xfId="0" applyFont="1" applyBorder="1" applyProtection="1">
      <protection locked="0"/>
    </xf>
    <xf numFmtId="0" fontId="16" fillId="11" borderId="42" xfId="0" applyFont="1" applyFill="1" applyBorder="1" applyProtection="1">
      <protection locked="0"/>
    </xf>
    <xf numFmtId="0" fontId="0" fillId="0" borderId="41" xfId="0" applyBorder="1" applyProtection="1">
      <protection locked="0"/>
    </xf>
    <xf numFmtId="0" fontId="15" fillId="12" borderId="33" xfId="0" applyFont="1" applyFill="1" applyBorder="1" applyAlignment="1" applyProtection="1">
      <alignment vertical="top" wrapText="1"/>
      <protection locked="0"/>
    </xf>
    <xf numFmtId="0" fontId="15" fillId="31" borderId="32" xfId="0" applyFont="1" applyFill="1" applyBorder="1" applyAlignment="1" applyProtection="1">
      <alignment vertical="top"/>
      <protection locked="0"/>
    </xf>
    <xf numFmtId="0" fontId="0" fillId="31" borderId="32" xfId="0" applyFill="1" applyBorder="1" applyAlignment="1" applyProtection="1">
      <alignment wrapText="1"/>
      <protection locked="0"/>
    </xf>
    <xf numFmtId="0" fontId="15" fillId="31" borderId="34" xfId="0" applyFont="1" applyFill="1" applyBorder="1" applyAlignment="1" applyProtection="1">
      <alignment vertical="center" wrapText="1"/>
      <protection locked="0"/>
    </xf>
    <xf numFmtId="0" fontId="42" fillId="25" borderId="34" xfId="0" applyFont="1" applyFill="1" applyBorder="1" applyAlignment="1" applyProtection="1">
      <alignment vertical="top" wrapText="1"/>
      <protection locked="0"/>
    </xf>
    <xf numFmtId="0" fontId="11" fillId="0" borderId="10" xfId="0" applyFont="1" applyBorder="1" applyProtection="1">
      <protection locked="0"/>
    </xf>
    <xf numFmtId="0" fontId="0" fillId="0" borderId="0" xfId="0" applyBorder="1" applyAlignment="1" applyProtection="1">
      <alignment vertical="top" wrapText="1"/>
      <protection locked="0"/>
    </xf>
    <xf numFmtId="0" fontId="0" fillId="0" borderId="0" xfId="0" applyBorder="1" applyProtection="1">
      <protection locked="0"/>
    </xf>
    <xf numFmtId="0" fontId="0" fillId="0" borderId="32" xfId="0" applyBorder="1" applyAlignment="1" applyProtection="1">
      <alignment vertical="top" wrapText="1"/>
      <protection locked="0"/>
    </xf>
    <xf numFmtId="0" fontId="2" fillId="0" borderId="2" xfId="0" applyFont="1" applyBorder="1" applyProtection="1">
      <protection locked="0"/>
    </xf>
    <xf numFmtId="0" fontId="2" fillId="0" borderId="2" xfId="0" applyFont="1" applyBorder="1" applyAlignment="1" applyProtection="1">
      <alignment vertical="top"/>
      <protection locked="0"/>
    </xf>
    <xf numFmtId="0" fontId="0" fillId="0" borderId="12" xfId="0" applyBorder="1" applyAlignment="1" applyProtection="1">
      <alignment vertical="top"/>
      <protection locked="0"/>
    </xf>
    <xf numFmtId="0" fontId="0" fillId="0" borderId="47" xfId="0" applyBorder="1" applyAlignment="1" applyProtection="1">
      <alignment vertical="top"/>
      <protection locked="0"/>
    </xf>
    <xf numFmtId="0" fontId="0" fillId="0" borderId="55" xfId="0" applyBorder="1" applyAlignment="1" applyProtection="1">
      <alignment vertical="top"/>
      <protection locked="0"/>
    </xf>
    <xf numFmtId="0" fontId="0" fillId="0" borderId="76" xfId="0" applyBorder="1" applyAlignment="1" applyProtection="1">
      <alignment vertical="top"/>
      <protection locked="0"/>
    </xf>
    <xf numFmtId="0" fontId="11" fillId="0" borderId="44" xfId="0" applyFont="1" applyBorder="1" applyProtection="1">
      <protection locked="0"/>
    </xf>
    <xf numFmtId="0" fontId="2" fillId="0" borderId="1" xfId="0" applyFont="1" applyBorder="1" applyAlignment="1" applyProtection="1">
      <alignment vertical="top" wrapText="1"/>
      <protection locked="0"/>
    </xf>
    <xf numFmtId="0" fontId="0" fillId="0" borderId="53" xfId="0" applyBorder="1" applyAlignment="1" applyProtection="1">
      <alignment vertical="top" wrapText="1"/>
      <protection locked="0"/>
    </xf>
    <xf numFmtId="0" fontId="0" fillId="0" borderId="41" xfId="0" applyBorder="1" applyAlignment="1" applyProtection="1">
      <alignment vertical="top" wrapText="1"/>
      <protection locked="0"/>
    </xf>
    <xf numFmtId="0" fontId="0" fillId="0" borderId="8" xfId="0" applyBorder="1" applyAlignment="1" applyProtection="1">
      <alignment vertical="top" wrapText="1"/>
      <protection locked="0"/>
    </xf>
    <xf numFmtId="0" fontId="29" fillId="29" borderId="43" xfId="0" applyFont="1" applyFill="1" applyBorder="1" applyAlignment="1" applyProtection="1">
      <alignment horizontal="center"/>
      <protection locked="0"/>
    </xf>
    <xf numFmtId="0" fontId="29" fillId="29" borderId="0" xfId="0" applyFont="1" applyFill="1" applyBorder="1" applyAlignment="1" applyProtection="1">
      <alignment horizontal="center"/>
      <protection locked="0"/>
    </xf>
    <xf numFmtId="0" fontId="8" fillId="0" borderId="0" xfId="0" applyFont="1" applyBorder="1" applyAlignment="1" applyProtection="1">
      <alignment horizontal="center" vertical="center"/>
      <protection locked="0"/>
    </xf>
    <xf numFmtId="0" fontId="24" fillId="0" borderId="33" xfId="0" applyFont="1" applyBorder="1" applyAlignment="1" applyProtection="1">
      <alignment vertical="center" wrapText="1"/>
    </xf>
    <xf numFmtId="0" fontId="24" fillId="0" borderId="33"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 fillId="2" borderId="16" xfId="0" applyFont="1" applyFill="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0" fontId="24" fillId="8" borderId="31" xfId="0" applyFont="1" applyFill="1" applyBorder="1" applyAlignment="1" applyProtection="1">
      <alignment vertical="center" wrapText="1"/>
    </xf>
    <xf numFmtId="0" fontId="24" fillId="9" borderId="29" xfId="0" applyFont="1" applyFill="1" applyBorder="1" applyAlignment="1" applyProtection="1">
      <alignment vertical="center" wrapText="1"/>
    </xf>
    <xf numFmtId="0" fontId="24" fillId="9" borderId="31" xfId="0" applyFont="1" applyFill="1" applyBorder="1" applyAlignment="1" applyProtection="1">
      <alignment vertical="center" wrapText="1"/>
    </xf>
    <xf numFmtId="0" fontId="55" fillId="29" borderId="0" xfId="0" applyFont="1" applyFill="1" applyBorder="1" applyAlignment="1" applyProtection="1">
      <alignment horizontal="center"/>
    </xf>
    <xf numFmtId="0" fontId="4" fillId="11" borderId="11" xfId="0" applyFont="1" applyFill="1" applyBorder="1" applyAlignment="1" applyProtection="1">
      <alignment vertical="center" wrapText="1"/>
    </xf>
    <xf numFmtId="0" fontId="24" fillId="8" borderId="61" xfId="0" applyFont="1" applyFill="1" applyBorder="1" applyAlignment="1" applyProtection="1">
      <alignment vertical="center" wrapText="1"/>
    </xf>
    <xf numFmtId="0" fontId="24" fillId="10" borderId="29" xfId="0" applyFont="1" applyFill="1" applyBorder="1" applyAlignment="1" applyProtection="1">
      <alignment vertical="center" wrapText="1"/>
    </xf>
    <xf numFmtId="0" fontId="24" fillId="10" borderId="30" xfId="0" applyFont="1" applyFill="1" applyBorder="1" applyAlignment="1" applyProtection="1">
      <alignment vertical="center" wrapText="1"/>
    </xf>
    <xf numFmtId="0" fontId="24" fillId="10" borderId="31" xfId="0" applyFont="1" applyFill="1" applyBorder="1" applyAlignment="1" applyProtection="1">
      <alignment vertical="center" wrapText="1"/>
    </xf>
    <xf numFmtId="0" fontId="22" fillId="0" borderId="17" xfId="0" applyFont="1" applyFill="1" applyBorder="1" applyAlignment="1" applyProtection="1">
      <alignment vertical="center" wrapText="1"/>
    </xf>
    <xf numFmtId="0" fontId="22" fillId="0" borderId="15" xfId="0" applyFont="1" applyFill="1" applyBorder="1" applyAlignment="1" applyProtection="1">
      <alignment vertical="center" wrapText="1"/>
    </xf>
    <xf numFmtId="0" fontId="22" fillId="0" borderId="15" xfId="0" applyFont="1" applyBorder="1" applyAlignment="1" applyProtection="1">
      <alignment vertical="center" wrapText="1"/>
    </xf>
    <xf numFmtId="0" fontId="24" fillId="0" borderId="20" xfId="0" applyFont="1" applyBorder="1" applyAlignment="1" applyProtection="1">
      <alignment vertical="center" wrapText="1"/>
    </xf>
    <xf numFmtId="0" fontId="22" fillId="0" borderId="15" xfId="0" applyFont="1" applyBorder="1" applyAlignment="1" applyProtection="1">
      <alignment vertical="center" wrapText="1"/>
    </xf>
    <xf numFmtId="0" fontId="24" fillId="0" borderId="23" xfId="0" applyFont="1" applyBorder="1" applyAlignment="1" applyProtection="1">
      <alignment vertical="center" wrapText="1"/>
    </xf>
    <xf numFmtId="0" fontId="15" fillId="25" borderId="34" xfId="0" applyFont="1" applyFill="1" applyBorder="1" applyAlignment="1" applyProtection="1">
      <alignment vertical="center" wrapText="1"/>
      <protection locked="0"/>
    </xf>
    <xf numFmtId="0" fontId="40" fillId="0" borderId="34" xfId="0" applyFont="1" applyBorder="1" applyAlignment="1" applyProtection="1">
      <alignment wrapText="1"/>
      <protection locked="0"/>
    </xf>
    <xf numFmtId="0" fontId="40" fillId="0" borderId="62" xfId="0" applyFont="1" applyBorder="1" applyAlignment="1" applyProtection="1">
      <alignment wrapText="1"/>
      <protection locked="0"/>
    </xf>
    <xf numFmtId="0" fontId="40" fillId="0" borderId="41" xfId="3" applyFont="1" applyBorder="1" applyAlignment="1" applyProtection="1">
      <alignment wrapText="1"/>
      <protection locked="0"/>
    </xf>
    <xf numFmtId="0" fontId="40" fillId="0" borderId="64" xfId="0" applyFont="1" applyBorder="1" applyAlignment="1" applyProtection="1">
      <alignment wrapText="1"/>
      <protection locked="0"/>
    </xf>
    <xf numFmtId="0" fontId="40" fillId="0" borderId="32" xfId="0" applyFont="1" applyBorder="1" applyAlignment="1" applyProtection="1">
      <alignment wrapText="1"/>
      <protection locked="0"/>
    </xf>
    <xf numFmtId="0" fontId="40" fillId="0" borderId="33" xfId="0" applyFont="1" applyBorder="1" applyAlignment="1" applyProtection="1">
      <alignment wrapText="1"/>
      <protection locked="0"/>
    </xf>
    <xf numFmtId="0" fontId="40" fillId="0" borderId="59" xfId="0" applyFont="1" applyBorder="1" applyAlignment="1" applyProtection="1">
      <alignment wrapText="1"/>
      <protection locked="0"/>
    </xf>
    <xf numFmtId="0" fontId="40" fillId="12" borderId="32" xfId="0" applyFont="1" applyFill="1" applyBorder="1" applyAlignment="1" applyProtection="1">
      <alignment wrapText="1"/>
      <protection locked="0"/>
    </xf>
    <xf numFmtId="0" fontId="40" fillId="12" borderId="33" xfId="0" applyFont="1" applyFill="1" applyBorder="1" applyAlignment="1" applyProtection="1">
      <alignment wrapText="1"/>
      <protection locked="0"/>
    </xf>
    <xf numFmtId="0" fontId="15" fillId="0" borderId="34" xfId="0" applyFont="1" applyBorder="1" applyAlignment="1" applyProtection="1">
      <alignment horizontal="left" vertical="top" wrapText="1"/>
      <protection locked="0"/>
    </xf>
    <xf numFmtId="0" fontId="0" fillId="0" borderId="62" xfId="0" applyBorder="1" applyAlignment="1" applyProtection="1">
      <alignment vertical="top" wrapText="1"/>
      <protection locked="0"/>
    </xf>
    <xf numFmtId="0" fontId="34" fillId="0" borderId="41" xfId="3" applyFont="1" applyBorder="1" applyAlignment="1" applyProtection="1">
      <alignment vertical="top" wrapText="1"/>
      <protection locked="0"/>
    </xf>
    <xf numFmtId="0" fontId="39" fillId="0" borderId="29" xfId="0" applyFont="1" applyBorder="1" applyAlignment="1" applyProtection="1">
      <alignment vertical="top" wrapText="1"/>
      <protection locked="0"/>
    </xf>
    <xf numFmtId="0" fontId="0" fillId="0" borderId="31" xfId="0" applyBorder="1" applyAlignment="1" applyProtection="1">
      <alignment vertical="top" wrapText="1"/>
      <protection locked="0"/>
    </xf>
    <xf numFmtId="0" fontId="35" fillId="0" borderId="24" xfId="3" applyFont="1" applyBorder="1" applyAlignment="1" applyProtection="1">
      <alignment vertical="top" wrapText="1"/>
      <protection locked="0"/>
    </xf>
    <xf numFmtId="0" fontId="34" fillId="0" borderId="24" xfId="3" applyFont="1" applyBorder="1" applyAlignment="1" applyProtection="1">
      <alignment vertical="top" wrapText="1"/>
      <protection locked="0"/>
    </xf>
    <xf numFmtId="0" fontId="0" fillId="12" borderId="0" xfId="0" applyFill="1" applyProtection="1"/>
    <xf numFmtId="0" fontId="28" fillId="0" borderId="1" xfId="0" applyFont="1" applyBorder="1" applyAlignment="1" applyProtection="1">
      <alignment vertical="top" wrapText="1"/>
      <protection locked="0"/>
    </xf>
    <xf numFmtId="0" fontId="15" fillId="0" borderId="41" xfId="0" applyFont="1" applyBorder="1" applyAlignment="1" applyProtection="1">
      <alignment vertical="top" wrapText="1"/>
      <protection locked="0"/>
    </xf>
    <xf numFmtId="0" fontId="15" fillId="0" borderId="8" xfId="0" applyFont="1" applyBorder="1" applyAlignment="1" applyProtection="1">
      <alignment vertical="top" wrapText="1"/>
      <protection locked="0"/>
    </xf>
    <xf numFmtId="0" fontId="15" fillId="0" borderId="0" xfId="0" applyFont="1" applyAlignment="1">
      <alignment wrapText="1"/>
    </xf>
    <xf numFmtId="9" fontId="0" fillId="0" borderId="0" xfId="1" applyFont="1" applyAlignment="1">
      <alignment horizontal="center" vertical="center"/>
    </xf>
    <xf numFmtId="0" fontId="0" fillId="0" borderId="66" xfId="0" applyBorder="1" applyAlignment="1" applyProtection="1">
      <alignment vertical="top"/>
      <protection locked="0"/>
    </xf>
    <xf numFmtId="9" fontId="23" fillId="11" borderId="5" xfId="1" applyFont="1" applyFill="1" applyBorder="1" applyAlignment="1" applyProtection="1">
      <alignment horizontal="center" vertical="center" wrapText="1"/>
    </xf>
    <xf numFmtId="0" fontId="0" fillId="0" borderId="11" xfId="0" applyBorder="1" applyAlignment="1" applyProtection="1">
      <alignment vertical="top" wrapText="1"/>
      <protection locked="0"/>
    </xf>
    <xf numFmtId="0" fontId="15" fillId="0" borderId="11" xfId="0" applyFont="1" applyBorder="1" applyAlignment="1" applyProtection="1">
      <alignment vertical="top" wrapText="1"/>
      <protection locked="0"/>
    </xf>
    <xf numFmtId="0" fontId="0" fillId="0" borderId="17" xfId="0" applyBorder="1" applyAlignment="1" applyProtection="1">
      <alignment vertical="top"/>
      <protection locked="0"/>
    </xf>
    <xf numFmtId="0" fontId="0" fillId="0" borderId="18" xfId="0" applyBorder="1" applyAlignment="1" applyProtection="1">
      <alignment vertical="top" wrapText="1"/>
      <protection locked="0"/>
    </xf>
    <xf numFmtId="0" fontId="15" fillId="0" borderId="18" xfId="0" applyFont="1" applyBorder="1" applyAlignment="1" applyProtection="1">
      <alignment vertical="top" wrapText="1"/>
      <protection locked="0"/>
    </xf>
    <xf numFmtId="9" fontId="23" fillId="11" borderId="19" xfId="1" applyFont="1" applyFill="1" applyBorder="1" applyAlignment="1" applyProtection="1">
      <alignment horizontal="center" vertical="center" wrapText="1"/>
    </xf>
    <xf numFmtId="0" fontId="0" fillId="0" borderId="15" xfId="0" applyBorder="1" applyAlignment="1" applyProtection="1">
      <alignment vertical="top"/>
      <protection locked="0"/>
    </xf>
    <xf numFmtId="9" fontId="23" fillId="11" borderId="20" xfId="1" applyFont="1" applyFill="1" applyBorder="1" applyAlignment="1" applyProtection="1">
      <alignment horizontal="center" vertical="center" wrapText="1"/>
    </xf>
    <xf numFmtId="0" fontId="0" fillId="0" borderId="21" xfId="0" applyBorder="1" applyAlignment="1" applyProtection="1">
      <alignment vertical="top"/>
      <protection locked="0"/>
    </xf>
    <xf numFmtId="0" fontId="0" fillId="0" borderId="22" xfId="0" applyBorder="1" applyAlignment="1" applyProtection="1">
      <alignment vertical="top" wrapText="1"/>
      <protection locked="0"/>
    </xf>
    <xf numFmtId="0" fontId="15" fillId="0" borderId="22" xfId="0" applyFont="1" applyBorder="1" applyAlignment="1" applyProtection="1">
      <alignment vertical="top" wrapText="1"/>
      <protection locked="0"/>
    </xf>
    <xf numFmtId="0" fontId="2" fillId="0" borderId="42" xfId="0" applyFont="1" applyBorder="1" applyProtection="1">
      <protection locked="0"/>
    </xf>
    <xf numFmtId="2" fontId="17" fillId="24" borderId="6" xfId="0" applyNumberFormat="1" applyFont="1" applyFill="1" applyBorder="1" applyProtection="1">
      <protection locked="0"/>
    </xf>
    <xf numFmtId="0" fontId="39" fillId="0" borderId="30" xfId="0" applyFont="1" applyBorder="1" applyAlignment="1" applyProtection="1">
      <alignment horizontal="left" vertical="top" wrapText="1"/>
      <protection locked="0"/>
    </xf>
    <xf numFmtId="0" fontId="15" fillId="12" borderId="59" xfId="0" applyFont="1" applyFill="1" applyBorder="1" applyAlignment="1" applyProtection="1">
      <alignment vertical="top" wrapText="1"/>
      <protection locked="0"/>
    </xf>
    <xf numFmtId="0" fontId="15" fillId="12" borderId="34" xfId="0" applyFont="1" applyFill="1" applyBorder="1" applyAlignment="1" applyProtection="1">
      <alignment vertical="center" wrapText="1"/>
      <protection locked="0"/>
    </xf>
    <xf numFmtId="0" fontId="42" fillId="12" borderId="34" xfId="0" applyFont="1" applyFill="1" applyBorder="1" applyAlignment="1" applyProtection="1">
      <alignment vertical="top" wrapText="1"/>
      <protection locked="0"/>
    </xf>
    <xf numFmtId="0" fontId="42" fillId="12" borderId="1" xfId="0" applyFont="1" applyFill="1" applyBorder="1" applyAlignment="1" applyProtection="1">
      <alignment vertical="top" wrapText="1"/>
      <protection locked="0"/>
    </xf>
    <xf numFmtId="0" fontId="42" fillId="12" borderId="32" xfId="0" applyFont="1" applyFill="1" applyBorder="1" applyAlignment="1" applyProtection="1">
      <alignment vertical="top" wrapText="1"/>
      <protection locked="0"/>
    </xf>
    <xf numFmtId="0" fontId="42" fillId="12" borderId="33" xfId="0" applyFont="1" applyFill="1" applyBorder="1" applyAlignment="1" applyProtection="1">
      <alignment vertical="top" wrapText="1"/>
      <protection locked="0"/>
    </xf>
    <xf numFmtId="0" fontId="44" fillId="31" borderId="5" xfId="0" applyFont="1" applyFill="1" applyBorder="1" applyAlignment="1" applyProtection="1">
      <alignment vertical="top" wrapText="1"/>
      <protection locked="0"/>
    </xf>
    <xf numFmtId="0" fontId="44" fillId="12" borderId="1" xfId="0" applyFont="1" applyFill="1" applyBorder="1" applyAlignment="1" applyProtection="1">
      <alignment vertical="top" wrapText="1"/>
      <protection locked="0"/>
    </xf>
    <xf numFmtId="0" fontId="15" fillId="0" borderId="24" xfId="0" applyFont="1" applyBorder="1" applyAlignment="1" applyProtection="1">
      <alignment vertical="top" wrapText="1"/>
      <protection locked="0"/>
    </xf>
    <xf numFmtId="0" fontId="0" fillId="0" borderId="1" xfId="0" applyBorder="1" applyAlignment="1" applyProtection="1">
      <alignment vertical="top" wrapText="1"/>
      <protection locked="0"/>
    </xf>
    <xf numFmtId="0" fontId="0" fillId="11" borderId="42" xfId="0" applyFill="1" applyBorder="1" applyAlignment="1" applyProtection="1">
      <alignment vertical="top" wrapText="1"/>
      <protection locked="0"/>
    </xf>
    <xf numFmtId="0" fontId="0" fillId="11" borderId="10" xfId="0" applyFill="1" applyBorder="1" applyAlignment="1" applyProtection="1">
      <alignment vertical="top" wrapText="1"/>
      <protection locked="0"/>
    </xf>
    <xf numFmtId="0" fontId="15" fillId="0" borderId="26" xfId="0" applyFont="1" applyBorder="1" applyAlignment="1" applyProtection="1">
      <alignment vertical="top" wrapText="1"/>
      <protection locked="0"/>
    </xf>
    <xf numFmtId="0" fontId="0" fillId="0" borderId="24" xfId="0" applyBorder="1" applyAlignment="1" applyProtection="1">
      <alignment vertical="top" wrapText="1"/>
      <protection locked="0"/>
    </xf>
    <xf numFmtId="0" fontId="0" fillId="0" borderId="26" xfId="0" applyBorder="1" applyAlignment="1" applyProtection="1">
      <alignment vertical="top" wrapText="1"/>
      <protection locked="0"/>
    </xf>
    <xf numFmtId="0" fontId="0" fillId="0" borderId="5" xfId="0" applyBorder="1" applyAlignment="1" applyProtection="1">
      <alignment vertical="top" wrapText="1"/>
      <protection locked="0"/>
    </xf>
    <xf numFmtId="0" fontId="10" fillId="11" borderId="43" xfId="0" applyFont="1" applyFill="1" applyBorder="1" applyAlignment="1" applyProtection="1">
      <alignment vertical="center" wrapText="1"/>
    </xf>
    <xf numFmtId="0" fontId="0" fillId="11" borderId="5" xfId="0" applyFill="1" applyBorder="1" applyAlignment="1" applyProtection="1">
      <alignment vertical="top" wrapText="1"/>
      <protection locked="0"/>
    </xf>
    <xf numFmtId="0" fontId="0" fillId="11" borderId="8" xfId="0" applyFill="1" applyBorder="1" applyAlignment="1" applyProtection="1">
      <alignment vertical="top" wrapText="1"/>
      <protection locked="0"/>
    </xf>
    <xf numFmtId="0" fontId="22" fillId="12" borderId="1" xfId="0" applyFont="1" applyFill="1" applyBorder="1" applyAlignment="1" applyProtection="1">
      <alignment vertical="top" wrapText="1"/>
      <protection locked="0"/>
    </xf>
    <xf numFmtId="0" fontId="0" fillId="11" borderId="1" xfId="0" applyFill="1" applyBorder="1" applyAlignment="1" applyProtection="1">
      <alignment vertical="top" wrapText="1"/>
      <protection locked="0"/>
    </xf>
    <xf numFmtId="0" fontId="0" fillId="0" borderId="0" xfId="0" applyAlignment="1" applyProtection="1">
      <alignment vertical="top" wrapText="1"/>
      <protection locked="0"/>
    </xf>
    <xf numFmtId="0" fontId="2" fillId="0" borderId="5"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2" fillId="12" borderId="10" xfId="0" applyFont="1" applyFill="1" applyBorder="1" applyAlignment="1" applyProtection="1">
      <alignment vertical="top" wrapText="1"/>
      <protection locked="0"/>
    </xf>
    <xf numFmtId="0" fontId="15" fillId="12" borderId="11" xfId="0" applyFont="1" applyFill="1" applyBorder="1" applyAlignment="1" applyProtection="1">
      <alignment vertical="top" wrapText="1"/>
      <protection locked="0"/>
    </xf>
    <xf numFmtId="0" fontId="0" fillId="9" borderId="2" xfId="0" applyFill="1" applyBorder="1" applyAlignment="1" applyProtection="1">
      <alignment vertical="top" wrapText="1"/>
      <protection locked="0"/>
    </xf>
    <xf numFmtId="0" fontId="0" fillId="9" borderId="1" xfId="0" applyFill="1" applyBorder="1" applyAlignment="1" applyProtection="1">
      <alignment vertical="top" wrapText="1"/>
      <protection locked="0"/>
    </xf>
    <xf numFmtId="0" fontId="15" fillId="12" borderId="37" xfId="0" applyFont="1" applyFill="1" applyBorder="1" applyAlignment="1" applyProtection="1">
      <alignment vertical="top" wrapText="1"/>
      <protection locked="0"/>
    </xf>
    <xf numFmtId="0" fontId="16" fillId="11" borderId="10" xfId="0" applyFont="1" applyFill="1" applyBorder="1" applyAlignment="1" applyProtection="1">
      <alignment vertical="top" wrapText="1"/>
      <protection locked="0"/>
    </xf>
    <xf numFmtId="0" fontId="0" fillId="0" borderId="2" xfId="0" applyBorder="1" applyAlignment="1" applyProtection="1">
      <alignment vertical="top" wrapText="1"/>
      <protection locked="0"/>
    </xf>
    <xf numFmtId="0" fontId="40" fillId="0" borderId="58" xfId="0" applyFont="1" applyBorder="1" applyAlignment="1" applyProtection="1">
      <alignment vertical="center" wrapText="1"/>
      <protection locked="0"/>
    </xf>
    <xf numFmtId="0" fontId="40" fillId="0" borderId="60" xfId="0" applyFont="1" applyBorder="1" applyAlignment="1" applyProtection="1">
      <alignment wrapText="1"/>
      <protection locked="0"/>
    </xf>
    <xf numFmtId="0" fontId="40" fillId="0" borderId="58" xfId="0" applyFont="1" applyBorder="1" applyAlignment="1" applyProtection="1">
      <alignment wrapText="1"/>
      <protection locked="0"/>
    </xf>
    <xf numFmtId="0" fontId="40" fillId="0" borderId="33" xfId="0" applyFont="1" applyBorder="1" applyAlignment="1" applyProtection="1">
      <alignment horizontal="left" vertical="center" wrapText="1"/>
      <protection locked="0"/>
    </xf>
    <xf numFmtId="0" fontId="16" fillId="11" borderId="9" xfId="0" applyFont="1" applyFill="1" applyBorder="1" applyAlignment="1" applyProtection="1">
      <alignment vertical="center" wrapText="1"/>
      <protection locked="0"/>
    </xf>
    <xf numFmtId="0" fontId="58" fillId="0" borderId="32" xfId="3" applyFont="1" applyBorder="1" applyAlignment="1" applyProtection="1">
      <alignment vertical="top" wrapText="1"/>
      <protection locked="0"/>
    </xf>
    <xf numFmtId="0" fontId="15" fillId="12" borderId="4" xfId="0" applyFont="1" applyFill="1" applyBorder="1" applyAlignment="1" applyProtection="1">
      <alignment vertical="top" wrapText="1"/>
      <protection locked="0"/>
    </xf>
    <xf numFmtId="0" fontId="16" fillId="11" borderId="45" xfId="0" applyFont="1" applyFill="1" applyBorder="1" applyAlignment="1" applyProtection="1">
      <alignment vertical="center" wrapText="1"/>
      <protection locked="0"/>
    </xf>
    <xf numFmtId="0" fontId="58" fillId="0" borderId="32" xfId="3" applyFont="1" applyBorder="1" applyAlignment="1" applyProtection="1">
      <alignment wrapText="1"/>
      <protection locked="0"/>
    </xf>
    <xf numFmtId="0" fontId="58" fillId="0" borderId="33" xfId="3" applyFont="1" applyBorder="1" applyAlignment="1" applyProtection="1">
      <alignment vertical="top" wrapText="1"/>
      <protection locked="0"/>
    </xf>
    <xf numFmtId="0" fontId="58" fillId="0" borderId="34" xfId="3" applyFont="1" applyBorder="1" applyAlignment="1" applyProtection="1">
      <alignment vertical="top" wrapText="1"/>
      <protection locked="0"/>
    </xf>
    <xf numFmtId="0" fontId="40" fillId="0" borderId="1" xfId="0" applyFont="1" applyBorder="1" applyAlignment="1" applyProtection="1">
      <alignment wrapText="1"/>
      <protection locked="0"/>
    </xf>
    <xf numFmtId="0" fontId="16" fillId="12" borderId="45" xfId="0" applyFont="1" applyFill="1" applyBorder="1" applyAlignment="1" applyProtection="1">
      <alignment vertical="center" wrapText="1"/>
      <protection locked="0"/>
    </xf>
    <xf numFmtId="0" fontId="40" fillId="12" borderId="58" xfId="0" applyFont="1" applyFill="1" applyBorder="1" applyAlignment="1" applyProtection="1">
      <alignment wrapText="1"/>
      <protection locked="0"/>
    </xf>
    <xf numFmtId="0" fontId="16" fillId="0" borderId="7" xfId="0" applyFont="1" applyBorder="1" applyAlignment="1" applyProtection="1">
      <alignment vertical="center" wrapText="1"/>
      <protection locked="0"/>
    </xf>
    <xf numFmtId="0" fontId="16" fillId="11" borderId="4" xfId="0" applyFont="1" applyFill="1" applyBorder="1" applyAlignment="1" applyProtection="1">
      <alignment vertical="center" wrapText="1"/>
      <protection locked="0"/>
    </xf>
    <xf numFmtId="0" fontId="40" fillId="12" borderId="4" xfId="0" applyFont="1" applyFill="1" applyBorder="1" applyAlignment="1" applyProtection="1">
      <alignment vertical="top" wrapText="1"/>
      <protection locked="0"/>
    </xf>
    <xf numFmtId="0" fontId="0" fillId="0" borderId="8" xfId="0" applyBorder="1" applyProtection="1">
      <protection locked="0"/>
    </xf>
    <xf numFmtId="0" fontId="40" fillId="12" borderId="59" xfId="0" applyFont="1" applyFill="1" applyBorder="1" applyAlignment="1" applyProtection="1">
      <alignment wrapText="1"/>
      <protection locked="0"/>
    </xf>
    <xf numFmtId="0" fontId="58" fillId="0" borderId="33" xfId="3" applyFont="1" applyBorder="1" applyAlignment="1" applyProtection="1">
      <alignment wrapText="1"/>
      <protection locked="0"/>
    </xf>
    <xf numFmtId="0" fontId="40" fillId="0" borderId="8" xfId="0" applyFont="1" applyBorder="1" applyAlignment="1" applyProtection="1">
      <alignment vertical="center" wrapText="1"/>
      <protection locked="0"/>
    </xf>
    <xf numFmtId="0" fontId="40" fillId="0" borderId="4" xfId="0" applyFont="1" applyBorder="1" applyAlignment="1" applyProtection="1">
      <alignment vertical="center" wrapText="1"/>
      <protection locked="0"/>
    </xf>
    <xf numFmtId="0" fontId="16" fillId="0" borderId="4" xfId="0" applyFont="1" applyBorder="1" applyAlignment="1" applyProtection="1">
      <alignment vertical="center" wrapText="1"/>
      <protection locked="0"/>
    </xf>
    <xf numFmtId="0" fontId="15" fillId="12" borderId="60" xfId="0" applyFont="1" applyFill="1" applyBorder="1" applyAlignment="1" applyProtection="1">
      <alignment vertical="top" wrapText="1"/>
      <protection locked="0"/>
    </xf>
    <xf numFmtId="0" fontId="58" fillId="12" borderId="53" xfId="3" applyFont="1" applyFill="1" applyBorder="1" applyAlignment="1" applyProtection="1">
      <alignment vertical="top" wrapText="1"/>
      <protection locked="0"/>
    </xf>
    <xf numFmtId="0" fontId="40" fillId="12" borderId="41" xfId="0" applyFont="1" applyFill="1" applyBorder="1" applyAlignment="1" applyProtection="1">
      <alignment wrapText="1"/>
      <protection locked="0"/>
    </xf>
    <xf numFmtId="0" fontId="40" fillId="12" borderId="60" xfId="0" applyFont="1" applyFill="1" applyBorder="1" applyAlignment="1" applyProtection="1">
      <alignment wrapText="1"/>
      <protection locked="0"/>
    </xf>
    <xf numFmtId="0" fontId="41" fillId="0" borderId="8" xfId="0" applyFont="1" applyBorder="1" applyAlignment="1" applyProtection="1">
      <alignment vertical="top" wrapText="1"/>
      <protection locked="0"/>
    </xf>
    <xf numFmtId="0" fontId="40" fillId="12" borderId="45" xfId="0" applyFont="1" applyFill="1" applyBorder="1" applyAlignment="1" applyProtection="1">
      <alignment vertical="top" wrapText="1"/>
      <protection locked="0"/>
    </xf>
    <xf numFmtId="0" fontId="59" fillId="0" borderId="32" xfId="3" applyFont="1" applyBorder="1" applyAlignment="1" applyProtection="1">
      <alignment vertical="top" wrapText="1"/>
      <protection locked="0"/>
    </xf>
    <xf numFmtId="0" fontId="15" fillId="12" borderId="58" xfId="0" applyFont="1" applyFill="1" applyBorder="1" applyAlignment="1" applyProtection="1">
      <alignment vertical="top" wrapText="1"/>
      <protection locked="0"/>
    </xf>
    <xf numFmtId="0" fontId="59" fillId="0" borderId="33" xfId="3" applyFont="1" applyBorder="1" applyAlignment="1" applyProtection="1">
      <alignment vertical="top" wrapText="1"/>
      <protection locked="0"/>
    </xf>
    <xf numFmtId="0" fontId="59" fillId="0" borderId="34" xfId="3" applyFont="1" applyBorder="1" applyAlignment="1" applyProtection="1">
      <alignment vertical="top" wrapText="1"/>
      <protection locked="0"/>
    </xf>
    <xf numFmtId="0" fontId="40" fillId="0" borderId="60" xfId="0" applyFont="1" applyBorder="1" applyAlignment="1" applyProtection="1">
      <alignment vertical="center" wrapText="1"/>
      <protection locked="0"/>
    </xf>
    <xf numFmtId="0" fontId="52" fillId="0" borderId="1" xfId="0" applyFont="1" applyBorder="1" applyAlignment="1" applyProtection="1">
      <alignment vertical="center" wrapText="1"/>
      <protection locked="0"/>
    </xf>
    <xf numFmtId="0" fontId="52" fillId="0" borderId="32" xfId="3" applyFont="1" applyBorder="1" applyAlignment="1" applyProtection="1">
      <alignment vertical="center" wrapText="1"/>
      <protection locked="0"/>
    </xf>
    <xf numFmtId="0" fontId="52" fillId="0" borderId="34" xfId="3" applyFont="1" applyBorder="1" applyAlignment="1" applyProtection="1">
      <alignment vertical="center" wrapText="1"/>
      <protection locked="0"/>
    </xf>
    <xf numFmtId="0" fontId="4" fillId="11" borderId="47" xfId="0" applyFont="1" applyFill="1" applyBorder="1" applyAlignment="1" applyProtection="1">
      <alignment vertical="center" wrapText="1"/>
    </xf>
    <xf numFmtId="9" fontId="23" fillId="11" borderId="32" xfId="1" applyFont="1" applyFill="1" applyBorder="1" applyAlignment="1" applyProtection="1">
      <alignment horizontal="center" vertical="center" wrapText="1"/>
    </xf>
    <xf numFmtId="9" fontId="23" fillId="11" borderId="33" xfId="1" applyFont="1" applyFill="1" applyBorder="1" applyAlignment="1" applyProtection="1">
      <alignment horizontal="center" vertical="center" wrapText="1"/>
    </xf>
    <xf numFmtId="9" fontId="23" fillId="11" borderId="34" xfId="1" applyFont="1" applyFill="1" applyBorder="1" applyAlignment="1" applyProtection="1">
      <alignment horizontal="center" vertical="center" wrapText="1"/>
    </xf>
    <xf numFmtId="0" fontId="6" fillId="3" borderId="43" xfId="0" applyFont="1" applyFill="1" applyBorder="1" applyAlignment="1" applyProtection="1">
      <alignment vertical="center" wrapText="1"/>
    </xf>
    <xf numFmtId="0" fontId="6" fillId="3" borderId="0" xfId="0" applyFont="1" applyFill="1" applyBorder="1" applyAlignment="1" applyProtection="1">
      <alignment vertical="center" wrapText="1"/>
    </xf>
    <xf numFmtId="9" fontId="23" fillId="11" borderId="10" xfId="1" applyFont="1" applyFill="1" applyBorder="1" applyAlignment="1" applyProtection="1">
      <alignment horizontal="center" vertical="center" wrapText="1"/>
    </xf>
    <xf numFmtId="0" fontId="15" fillId="0" borderId="24" xfId="0" applyFont="1" applyBorder="1" applyAlignment="1" applyProtection="1">
      <alignment horizontal="left" vertical="top" wrapText="1"/>
      <protection locked="0"/>
    </xf>
    <xf numFmtId="0" fontId="15" fillId="0" borderId="26" xfId="0" applyFont="1" applyBorder="1" applyAlignment="1" applyProtection="1">
      <alignment horizontal="left" vertical="top" wrapText="1"/>
      <protection locked="0"/>
    </xf>
    <xf numFmtId="0" fontId="34" fillId="0" borderId="37" xfId="3" applyFont="1" applyBorder="1" applyAlignment="1" applyProtection="1">
      <alignment vertical="top" wrapText="1"/>
      <protection locked="0"/>
    </xf>
    <xf numFmtId="0" fontId="0" fillId="25" borderId="34" xfId="0" applyFill="1" applyBorder="1" applyAlignment="1" applyProtection="1">
      <alignment vertical="top" wrapText="1"/>
      <protection locked="0"/>
    </xf>
    <xf numFmtId="0" fontId="35" fillId="0" borderId="32" xfId="3" applyFont="1" applyBorder="1" applyAlignment="1" applyProtection="1">
      <alignment vertical="top" wrapText="1"/>
      <protection locked="0"/>
    </xf>
    <xf numFmtId="0" fontId="22" fillId="25" borderId="1" xfId="0" applyFont="1" applyFill="1" applyBorder="1" applyAlignment="1" applyProtection="1">
      <alignment vertical="top" wrapText="1"/>
      <protection locked="0"/>
    </xf>
    <xf numFmtId="0" fontId="35" fillId="0" borderId="33" xfId="3" applyFont="1" applyBorder="1" applyAlignment="1" applyProtection="1">
      <alignment vertical="top" wrapText="1"/>
      <protection locked="0"/>
    </xf>
    <xf numFmtId="0" fontId="15" fillId="25" borderId="59" xfId="0" applyFont="1" applyFill="1" applyBorder="1" applyAlignment="1" applyProtection="1">
      <alignment vertical="top" wrapText="1"/>
      <protection locked="0"/>
    </xf>
    <xf numFmtId="0" fontId="35" fillId="0" borderId="34" xfId="3" applyFont="1" applyBorder="1" applyAlignment="1" applyProtection="1">
      <alignment vertical="top" wrapText="1"/>
      <protection locked="0"/>
    </xf>
    <xf numFmtId="0" fontId="15" fillId="25" borderId="60" xfId="0" applyFont="1" applyFill="1" applyBorder="1" applyAlignment="1" applyProtection="1">
      <alignment vertical="top" wrapText="1"/>
      <protection locked="0"/>
    </xf>
    <xf numFmtId="0" fontId="0" fillId="26" borderId="4" xfId="0" applyFill="1" applyBorder="1" applyAlignment="1" applyProtection="1">
      <alignment vertical="top" wrapText="1"/>
      <protection locked="0"/>
    </xf>
    <xf numFmtId="0" fontId="36" fillId="0" borderId="32" xfId="3" applyFont="1" applyBorder="1" applyAlignment="1" applyProtection="1">
      <alignment vertical="top" wrapText="1"/>
      <protection locked="0"/>
    </xf>
    <xf numFmtId="0" fontId="36" fillId="0" borderId="33" xfId="3" applyFont="1" applyBorder="1" applyAlignment="1" applyProtection="1">
      <alignment vertical="top" wrapText="1"/>
      <protection locked="0"/>
    </xf>
    <xf numFmtId="0" fontId="22" fillId="25" borderId="59" xfId="0" applyFont="1" applyFill="1" applyBorder="1" applyAlignment="1" applyProtection="1">
      <alignment vertical="top" wrapText="1"/>
      <protection locked="0"/>
    </xf>
    <xf numFmtId="0" fontId="36" fillId="0" borderId="34" xfId="3" applyFont="1" applyBorder="1" applyAlignment="1" applyProtection="1">
      <alignment vertical="top" wrapText="1"/>
      <protection locked="0"/>
    </xf>
    <xf numFmtId="0" fontId="22" fillId="25" borderId="60" xfId="0" applyFont="1" applyFill="1" applyBorder="1" applyAlignment="1" applyProtection="1">
      <alignment vertical="top" wrapText="1"/>
      <protection locked="0"/>
    </xf>
    <xf numFmtId="0" fontId="0" fillId="14" borderId="7" xfId="0" applyFill="1" applyBorder="1" applyProtection="1">
      <protection locked="0"/>
    </xf>
    <xf numFmtId="9" fontId="23" fillId="11" borderId="11" xfId="1" applyFont="1" applyFill="1" applyBorder="1" applyAlignment="1" applyProtection="1">
      <alignment horizontal="center" vertical="center" wrapText="1"/>
    </xf>
    <xf numFmtId="0" fontId="3" fillId="3" borderId="14" xfId="0" applyFont="1" applyFill="1" applyBorder="1" applyAlignment="1" applyProtection="1">
      <alignment vertical="center" wrapText="1"/>
    </xf>
    <xf numFmtId="9" fontId="23" fillId="11" borderId="41" xfId="1" applyFont="1" applyFill="1" applyBorder="1" applyAlignment="1" applyProtection="1">
      <alignment horizontal="center" vertical="center" wrapText="1"/>
    </xf>
    <xf numFmtId="9" fontId="61" fillId="11" borderId="1" xfId="1" applyFont="1" applyFill="1" applyBorder="1" applyAlignment="1" applyProtection="1">
      <alignment horizontal="center" vertical="center" wrapText="1"/>
    </xf>
    <xf numFmtId="9" fontId="61" fillId="11" borderId="4" xfId="1" applyFont="1" applyFill="1" applyBorder="1" applyAlignment="1" applyProtection="1">
      <alignment horizontal="center" vertical="center" wrapText="1"/>
    </xf>
    <xf numFmtId="0" fontId="20" fillId="24" borderId="44" xfId="0" applyFont="1" applyFill="1" applyBorder="1"/>
    <xf numFmtId="0" fontId="0" fillId="24" borderId="0" xfId="0" applyFill="1"/>
    <xf numFmtId="0" fontId="20" fillId="24" borderId="43" xfId="0" applyFont="1" applyFill="1" applyBorder="1"/>
    <xf numFmtId="0" fontId="20" fillId="24" borderId="0" xfId="0" applyFont="1" applyFill="1"/>
    <xf numFmtId="0" fontId="21" fillId="24" borderId="0" xfId="0" applyFont="1" applyFill="1"/>
    <xf numFmtId="0" fontId="20" fillId="24" borderId="0" xfId="0" applyFont="1" applyFill="1" applyProtection="1">
      <protection locked="0"/>
    </xf>
    <xf numFmtId="0" fontId="17" fillId="24" borderId="43" xfId="0" applyFont="1" applyFill="1" applyBorder="1"/>
    <xf numFmtId="0" fontId="17" fillId="24" borderId="0" xfId="0" applyFont="1" applyFill="1"/>
    <xf numFmtId="0" fontId="17" fillId="24" borderId="0" xfId="0" applyFont="1" applyFill="1" applyProtection="1">
      <protection locked="0"/>
    </xf>
    <xf numFmtId="0" fontId="19" fillId="23" borderId="1" xfId="0" applyFont="1" applyFill="1" applyBorder="1" applyAlignment="1">
      <alignment horizontal="center" vertical="center"/>
    </xf>
    <xf numFmtId="165" fontId="0" fillId="15" borderId="5" xfId="0" applyNumberFormat="1" applyFill="1" applyBorder="1" applyAlignment="1">
      <alignment horizontal="center" vertical="center"/>
    </xf>
    <xf numFmtId="0" fontId="17" fillId="24" borderId="6" xfId="0" applyFont="1" applyFill="1" applyBorder="1"/>
    <xf numFmtId="0" fontId="0" fillId="2" borderId="3" xfId="0" applyFill="1" applyBorder="1" applyAlignment="1">
      <alignment vertical="center" wrapText="1"/>
    </xf>
    <xf numFmtId="0" fontId="0" fillId="9" borderId="3" xfId="0" applyFill="1" applyBorder="1" applyAlignment="1">
      <alignment vertical="center" wrapText="1"/>
    </xf>
    <xf numFmtId="2" fontId="0" fillId="9" borderId="3" xfId="0" applyNumberFormat="1" applyFill="1" applyBorder="1" applyAlignment="1">
      <alignment vertical="center" wrapText="1"/>
    </xf>
    <xf numFmtId="0" fontId="0" fillId="11" borderId="43" xfId="0" applyFill="1" applyBorder="1" applyAlignment="1">
      <alignment vertical="center" wrapText="1"/>
    </xf>
    <xf numFmtId="0" fontId="2" fillId="11" borderId="70" xfId="0" applyFont="1" applyFill="1" applyBorder="1" applyAlignment="1">
      <alignment horizontal="center" vertical="center" wrapText="1"/>
    </xf>
    <xf numFmtId="0" fontId="2" fillId="11" borderId="71" xfId="0" applyFont="1" applyFill="1" applyBorder="1" applyAlignment="1">
      <alignment horizontal="center" vertical="center" wrapText="1"/>
    </xf>
    <xf numFmtId="0" fontId="2" fillId="11" borderId="75" xfId="0" applyFont="1" applyFill="1" applyBorder="1" applyAlignment="1">
      <alignment horizontal="center" vertical="center" wrapText="1"/>
    </xf>
    <xf numFmtId="0" fontId="2" fillId="11" borderId="68" xfId="0" applyFont="1" applyFill="1" applyBorder="1" applyAlignment="1">
      <alignment horizontal="center" vertical="center" wrapText="1"/>
    </xf>
    <xf numFmtId="2" fontId="2" fillId="11" borderId="9" xfId="0" applyNumberFormat="1" applyFont="1" applyFill="1" applyBorder="1" applyAlignment="1">
      <alignment horizontal="center" vertical="center" wrapText="1"/>
    </xf>
    <xf numFmtId="0" fontId="2" fillId="11" borderId="9" xfId="0" applyFont="1" applyFill="1" applyBorder="1" applyAlignment="1">
      <alignment horizontal="center" vertical="center"/>
    </xf>
    <xf numFmtId="0" fontId="2" fillId="9" borderId="8" xfId="0" applyFont="1" applyFill="1" applyBorder="1" applyAlignment="1">
      <alignment horizontal="center" vertical="center" wrapText="1"/>
    </xf>
    <xf numFmtId="0" fontId="2" fillId="0" borderId="8" xfId="0" applyFont="1" applyBorder="1" applyAlignment="1">
      <alignment horizontal="center"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0" fillId="0" borderId="1" xfId="0" applyBorder="1"/>
    <xf numFmtId="2" fontId="0" fillId="0" borderId="1" xfId="0" applyNumberFormat="1" applyBorder="1"/>
    <xf numFmtId="2" fontId="0" fillId="0" borderId="4" xfId="0" applyNumberFormat="1" applyBorder="1"/>
    <xf numFmtId="0" fontId="2" fillId="5" borderId="17" xfId="0" applyFont="1" applyFill="1" applyBorder="1"/>
    <xf numFmtId="0" fontId="0" fillId="5" borderId="18" xfId="0" applyFill="1" applyBorder="1"/>
    <xf numFmtId="0" fontId="0" fillId="5" borderId="19" xfId="0" applyFill="1" applyBorder="1"/>
    <xf numFmtId="0" fontId="4" fillId="9" borderId="10" xfId="0" applyFont="1" applyFill="1" applyBorder="1" applyAlignment="1">
      <alignment vertical="center" wrapText="1"/>
    </xf>
    <xf numFmtId="0" fontId="0" fillId="9" borderId="10" xfId="0" applyFill="1" applyBorder="1"/>
    <xf numFmtId="0" fontId="0" fillId="9" borderId="0" xfId="0" applyFill="1"/>
    <xf numFmtId="0" fontId="2" fillId="9" borderId="54" xfId="0" applyFont="1" applyFill="1" applyBorder="1"/>
    <xf numFmtId="0" fontId="0" fillId="9" borderId="14" xfId="0" applyFill="1" applyBorder="1"/>
    <xf numFmtId="0" fontId="0" fillId="9" borderId="74" xfId="0" applyFill="1" applyBorder="1"/>
    <xf numFmtId="0" fontId="4" fillId="11" borderId="10" xfId="0" applyFont="1" applyFill="1" applyBorder="1" applyAlignment="1">
      <alignment vertical="center" wrapText="1"/>
    </xf>
    <xf numFmtId="0" fontId="0" fillId="11" borderId="10" xfId="0" applyFill="1" applyBorder="1"/>
    <xf numFmtId="0" fontId="0" fillId="11" borderId="0" xfId="0" applyFill="1"/>
    <xf numFmtId="0" fontId="2" fillId="11" borderId="54" xfId="0" applyFont="1" applyFill="1" applyBorder="1"/>
    <xf numFmtId="0" fontId="0" fillId="11" borderId="14" xfId="0" applyFill="1" applyBorder="1"/>
    <xf numFmtId="0" fontId="0" fillId="11" borderId="74" xfId="0" applyFill="1" applyBorder="1"/>
    <xf numFmtId="0" fontId="22" fillId="0" borderId="29" xfId="0" applyFont="1" applyBorder="1" applyAlignment="1">
      <alignment vertical="center" wrapText="1"/>
    </xf>
    <xf numFmtId="165" fontId="23" fillId="20" borderId="32" xfId="0" applyNumberFormat="1" applyFont="1" applyFill="1" applyBorder="1" applyAlignment="1">
      <alignment horizontal="center" vertical="center" wrapText="1"/>
    </xf>
    <xf numFmtId="0" fontId="24" fillId="0" borderId="29" xfId="0" applyFont="1" applyBorder="1" applyAlignment="1">
      <alignment vertical="center" wrapText="1"/>
    </xf>
    <xf numFmtId="165" fontId="25" fillId="4" borderId="32" xfId="0" applyNumberFormat="1" applyFont="1" applyFill="1" applyBorder="1" applyAlignment="1">
      <alignment horizontal="center" vertical="center" wrapText="1"/>
    </xf>
    <xf numFmtId="0" fontId="2" fillId="5" borderId="15" xfId="0" applyFont="1" applyFill="1" applyBorder="1"/>
    <xf numFmtId="2" fontId="2" fillId="5" borderId="11" xfId="0" applyNumberFormat="1" applyFont="1" applyFill="1" applyBorder="1"/>
    <xf numFmtId="0" fontId="0" fillId="5" borderId="11" xfId="0" applyFill="1" applyBorder="1"/>
    <xf numFmtId="0" fontId="0" fillId="5" borderId="20" xfId="0" applyFill="1" applyBorder="1"/>
    <xf numFmtId="0" fontId="22" fillId="0" borderId="31" xfId="0" applyFont="1" applyBorder="1" applyAlignment="1">
      <alignment vertical="center" wrapText="1"/>
    </xf>
    <xf numFmtId="165" fontId="23" fillId="20" borderId="34" xfId="0" applyNumberFormat="1" applyFont="1" applyFill="1" applyBorder="1" applyAlignment="1">
      <alignment horizontal="center" vertical="center" wrapText="1"/>
    </xf>
    <xf numFmtId="0" fontId="24" fillId="0" borderId="31" xfId="0" applyFont="1" applyBorder="1" applyAlignment="1">
      <alignment vertical="center" wrapText="1"/>
    </xf>
    <xf numFmtId="165" fontId="25" fillId="4" borderId="34" xfId="0" applyNumberFormat="1" applyFont="1" applyFill="1" applyBorder="1" applyAlignment="1">
      <alignment horizontal="center" vertical="center" wrapText="1"/>
    </xf>
    <xf numFmtId="0" fontId="13" fillId="5" borderId="15" xfId="0" applyFont="1" applyFill="1" applyBorder="1" applyAlignment="1">
      <alignment vertical="center"/>
    </xf>
    <xf numFmtId="2" fontId="14" fillId="5" borderId="11" xfId="0" applyNumberFormat="1" applyFont="1" applyFill="1" applyBorder="1" applyAlignment="1">
      <alignment horizontal="center" vertical="center"/>
    </xf>
    <xf numFmtId="0" fontId="22" fillId="0" borderId="61" xfId="0" applyFont="1" applyBorder="1" applyAlignment="1">
      <alignment vertical="center" wrapText="1"/>
    </xf>
    <xf numFmtId="165" fontId="23" fillId="4" borderId="53" xfId="0" applyNumberFormat="1" applyFont="1" applyFill="1" applyBorder="1" applyAlignment="1">
      <alignment horizontal="center" vertical="center" wrapText="1"/>
    </xf>
    <xf numFmtId="0" fontId="24" fillId="0" borderId="53" xfId="0" applyFont="1" applyBorder="1" applyAlignment="1">
      <alignment vertical="center" wrapText="1"/>
    </xf>
    <xf numFmtId="165" fontId="12" fillId="4" borderId="53" xfId="0" applyNumberFormat="1" applyFont="1" applyFill="1" applyBorder="1" applyAlignment="1">
      <alignment horizontal="center" vertical="center" wrapText="1"/>
    </xf>
    <xf numFmtId="9" fontId="0" fillId="5" borderId="11" xfId="1" applyFont="1" applyFill="1" applyBorder="1"/>
    <xf numFmtId="165" fontId="23" fillId="4" borderId="33" xfId="0" applyNumberFormat="1" applyFont="1" applyFill="1" applyBorder="1" applyAlignment="1">
      <alignment horizontal="center" vertical="center" wrapText="1"/>
    </xf>
    <xf numFmtId="0" fontId="24" fillId="0" borderId="41" xfId="0" applyFont="1" applyBorder="1" applyAlignment="1">
      <alignment vertical="center" wrapText="1"/>
    </xf>
    <xf numFmtId="165" fontId="12" fillId="4" borderId="41" xfId="0" applyNumberFormat="1" applyFont="1" applyFill="1" applyBorder="1" applyAlignment="1">
      <alignment horizontal="center" vertical="center" wrapText="1"/>
    </xf>
    <xf numFmtId="0" fontId="13" fillId="5" borderId="21" xfId="0" applyFont="1" applyFill="1" applyBorder="1" applyAlignment="1">
      <alignment vertical="center"/>
    </xf>
    <xf numFmtId="2" fontId="14" fillId="5" borderId="22" xfId="0" applyNumberFormat="1" applyFont="1" applyFill="1" applyBorder="1" applyAlignment="1">
      <alignment horizontal="center" vertical="center"/>
    </xf>
    <xf numFmtId="2" fontId="0" fillId="5" borderId="22" xfId="0" applyNumberFormat="1" applyFill="1" applyBorder="1"/>
    <xf numFmtId="0" fontId="0" fillId="5" borderId="23" xfId="0" applyFill="1" applyBorder="1"/>
    <xf numFmtId="0" fontId="24" fillId="0" borderId="24" xfId="0" applyFont="1" applyBorder="1" applyAlignment="1">
      <alignment vertical="center" wrapText="1"/>
    </xf>
    <xf numFmtId="165" fontId="25" fillId="4" borderId="24" xfId="0" applyNumberFormat="1" applyFont="1" applyFill="1" applyBorder="1" applyAlignment="1">
      <alignment horizontal="center" vertical="center" wrapText="1"/>
    </xf>
    <xf numFmtId="0" fontId="24" fillId="0" borderId="25" xfId="0" applyFont="1" applyBorder="1" applyAlignment="1">
      <alignment vertical="center" wrapText="1"/>
    </xf>
    <xf numFmtId="165" fontId="25" fillId="4" borderId="25" xfId="0" applyNumberFormat="1" applyFont="1" applyFill="1" applyBorder="1" applyAlignment="1">
      <alignment horizontal="center" vertical="center" wrapText="1"/>
    </xf>
    <xf numFmtId="0" fontId="24" fillId="0" borderId="26" xfId="0" applyFont="1" applyBorder="1" applyAlignment="1">
      <alignment vertical="center" wrapText="1"/>
    </xf>
    <xf numFmtId="165" fontId="25" fillId="4" borderId="26" xfId="0" applyNumberFormat="1" applyFont="1" applyFill="1" applyBorder="1" applyAlignment="1">
      <alignment horizontal="center" vertical="center" wrapText="1"/>
    </xf>
    <xf numFmtId="0" fontId="3" fillId="3" borderId="1" xfId="0" applyFont="1" applyFill="1" applyBorder="1" applyAlignment="1">
      <alignment vertical="center" wrapText="1"/>
    </xf>
    <xf numFmtId="0" fontId="3" fillId="3" borderId="0" xfId="0" applyFont="1" applyFill="1" applyAlignment="1">
      <alignment vertical="center" wrapText="1"/>
    </xf>
    <xf numFmtId="0" fontId="24" fillId="0" borderId="32" xfId="0" applyFont="1" applyBorder="1" applyAlignment="1">
      <alignment vertical="center" wrapText="1"/>
    </xf>
    <xf numFmtId="0" fontId="24" fillId="0" borderId="19" xfId="0" applyFont="1" applyBorder="1" applyAlignment="1">
      <alignment vertical="center" wrapText="1"/>
    </xf>
    <xf numFmtId="0" fontId="24" fillId="0" borderId="33" xfId="0" applyFont="1" applyBorder="1" applyAlignment="1">
      <alignment vertical="center" wrapText="1"/>
    </xf>
    <xf numFmtId="165" fontId="25" fillId="4" borderId="33" xfId="0" applyNumberFormat="1" applyFont="1" applyFill="1" applyBorder="1" applyAlignment="1">
      <alignment horizontal="center" vertical="center" wrapText="1"/>
    </xf>
    <xf numFmtId="0" fontId="24" fillId="0" borderId="20" xfId="0" applyFont="1" applyBorder="1" applyAlignment="1">
      <alignment vertical="center" wrapText="1"/>
    </xf>
    <xf numFmtId="165" fontId="25" fillId="4" borderId="41" xfId="0" applyNumberFormat="1" applyFont="1" applyFill="1" applyBorder="1" applyAlignment="1">
      <alignment horizontal="center" vertical="center" wrapText="1"/>
    </xf>
    <xf numFmtId="0" fontId="24" fillId="0" borderId="39" xfId="0" applyFont="1" applyBorder="1" applyAlignment="1">
      <alignment vertical="center" wrapText="1"/>
    </xf>
    <xf numFmtId="165" fontId="25" fillId="4" borderId="37" xfId="0" applyNumberFormat="1" applyFont="1" applyFill="1" applyBorder="1" applyAlignment="1">
      <alignment horizontal="center" vertical="center" wrapText="1"/>
    </xf>
    <xf numFmtId="0" fontId="24" fillId="0" borderId="34" xfId="0" applyFont="1" applyBorder="1" applyAlignment="1">
      <alignment vertical="center" wrapText="1"/>
    </xf>
    <xf numFmtId="0" fontId="24" fillId="12" borderId="34" xfId="0" applyFont="1" applyFill="1" applyBorder="1" applyAlignment="1">
      <alignment vertical="center" wrapText="1"/>
    </xf>
    <xf numFmtId="0" fontId="24" fillId="0" borderId="2" xfId="0" applyFont="1" applyBorder="1" applyAlignment="1">
      <alignment vertical="center" wrapText="1"/>
    </xf>
    <xf numFmtId="165" fontId="25" fillId="4" borderId="2" xfId="0" applyNumberFormat="1" applyFont="1" applyFill="1" applyBorder="1" applyAlignment="1">
      <alignment horizontal="center" vertical="center" wrapText="1"/>
    </xf>
    <xf numFmtId="0" fontId="24" fillId="12" borderId="2" xfId="0" applyFont="1" applyFill="1" applyBorder="1" applyAlignment="1">
      <alignment vertical="center" wrapText="1"/>
    </xf>
    <xf numFmtId="165" fontId="25" fillId="4" borderId="1" xfId="0" applyNumberFormat="1" applyFont="1" applyFill="1" applyBorder="1" applyAlignment="1">
      <alignment horizontal="center" vertical="center" wrapText="1"/>
    </xf>
    <xf numFmtId="0" fontId="47" fillId="0" borderId="1" xfId="0" applyFont="1" applyBorder="1" applyAlignment="1" applyProtection="1">
      <alignment vertical="top" wrapText="1"/>
      <protection locked="0"/>
    </xf>
    <xf numFmtId="0" fontId="22" fillId="0" borderId="2" xfId="0" applyFont="1" applyBorder="1" applyAlignment="1">
      <alignment vertical="center" wrapText="1"/>
    </xf>
    <xf numFmtId="0" fontId="6" fillId="3" borderId="1" xfId="0" applyFont="1" applyFill="1" applyBorder="1" applyAlignment="1">
      <alignment vertical="center" wrapText="1"/>
    </xf>
    <xf numFmtId="0" fontId="24" fillId="0" borderId="58" xfId="0" applyFont="1" applyBorder="1" applyAlignment="1">
      <alignment vertical="center" wrapText="1"/>
    </xf>
    <xf numFmtId="0" fontId="24" fillId="0" borderId="59" xfId="0" applyFont="1" applyBorder="1" applyAlignment="1">
      <alignment vertical="center" wrapText="1"/>
    </xf>
    <xf numFmtId="0" fontId="24" fillId="0" borderId="66" xfId="0" applyFont="1" applyBorder="1" applyAlignment="1">
      <alignment vertical="center" wrapText="1"/>
    </xf>
    <xf numFmtId="165" fontId="25" fillId="4" borderId="53" xfId="0" applyNumberFormat="1" applyFont="1" applyFill="1" applyBorder="1" applyAlignment="1">
      <alignment horizontal="center" vertical="center" wrapText="1"/>
    </xf>
    <xf numFmtId="165" fontId="26" fillId="4" borderId="61" xfId="0" applyNumberFormat="1" applyFont="1" applyFill="1" applyBorder="1" applyAlignment="1">
      <alignment horizontal="center" vertical="center" wrapText="1"/>
    </xf>
    <xf numFmtId="0" fontId="24" fillId="0" borderId="37" xfId="0" applyFont="1" applyBorder="1" applyAlignment="1">
      <alignment vertical="center" wrapText="1"/>
    </xf>
    <xf numFmtId="165" fontId="26" fillId="4" borderId="40" xfId="0" applyNumberFormat="1" applyFont="1" applyFill="1" applyBorder="1" applyAlignment="1">
      <alignment horizontal="center" vertical="center" wrapText="1"/>
    </xf>
    <xf numFmtId="0" fontId="3" fillId="3" borderId="2" xfId="0" applyFont="1" applyFill="1" applyBorder="1" applyAlignment="1">
      <alignment vertical="center" wrapText="1"/>
    </xf>
    <xf numFmtId="165" fontId="25" fillId="4" borderId="49" xfId="0" applyNumberFormat="1" applyFont="1" applyFill="1" applyBorder="1" applyAlignment="1">
      <alignment horizontal="center" vertical="center" wrapText="1"/>
    </xf>
    <xf numFmtId="165" fontId="25" fillId="4" borderId="28" xfId="0" applyNumberFormat="1" applyFont="1" applyFill="1" applyBorder="1" applyAlignment="1">
      <alignment horizontal="center" vertical="center" wrapText="1"/>
    </xf>
    <xf numFmtId="0" fontId="0" fillId="2" borderId="5" xfId="0" applyFill="1" applyBorder="1" applyAlignment="1">
      <alignment vertical="center" wrapText="1"/>
    </xf>
    <xf numFmtId="0" fontId="4" fillId="3" borderId="1" xfId="0" applyFont="1" applyFill="1" applyBorder="1" applyAlignment="1">
      <alignment vertical="center" wrapText="1"/>
    </xf>
    <xf numFmtId="0" fontId="27" fillId="0" borderId="32" xfId="0" applyFont="1" applyBorder="1" applyAlignment="1">
      <alignment vertical="center" wrapText="1"/>
    </xf>
    <xf numFmtId="0" fontId="44" fillId="32" borderId="5" xfId="0" applyFont="1" applyFill="1" applyBorder="1" applyAlignment="1" applyProtection="1">
      <alignment vertical="top" wrapText="1"/>
      <protection locked="0"/>
    </xf>
    <xf numFmtId="0" fontId="0" fillId="3" borderId="1" xfId="0" applyFill="1" applyBorder="1" applyAlignment="1">
      <alignment vertical="center" wrapText="1"/>
    </xf>
    <xf numFmtId="0" fontId="22" fillId="0" borderId="0" xfId="0" applyFont="1" applyAlignment="1">
      <alignment wrapText="1"/>
    </xf>
    <xf numFmtId="165" fontId="23" fillId="4" borderId="10" xfId="0" applyNumberFormat="1" applyFont="1" applyFill="1" applyBorder="1" applyAlignment="1">
      <alignment horizontal="center" vertical="center" wrapText="1"/>
    </xf>
    <xf numFmtId="0" fontId="22" fillId="0" borderId="0" xfId="0" applyFont="1" applyAlignment="1">
      <alignment vertical="center"/>
    </xf>
    <xf numFmtId="165" fontId="25" fillId="4" borderId="10" xfId="0" applyNumberFormat="1" applyFont="1" applyFill="1" applyBorder="1" applyAlignment="1">
      <alignment horizontal="center" vertical="center" wrapText="1"/>
    </xf>
    <xf numFmtId="0" fontId="24" fillId="12" borderId="45" xfId="0" applyFont="1" applyFill="1" applyBorder="1" applyAlignment="1">
      <alignment vertical="center" wrapText="1"/>
    </xf>
    <xf numFmtId="165" fontId="25" fillId="12" borderId="42" xfId="0" applyNumberFormat="1" applyFont="1" applyFill="1" applyBorder="1" applyAlignment="1">
      <alignment horizontal="center" vertical="center" wrapText="1"/>
    </xf>
    <xf numFmtId="0" fontId="3" fillId="3" borderId="10" xfId="0" applyFont="1" applyFill="1" applyBorder="1" applyAlignment="1">
      <alignment vertical="center" wrapText="1"/>
    </xf>
    <xf numFmtId="0" fontId="24" fillId="12" borderId="32" xfId="0" applyFont="1" applyFill="1" applyBorder="1" applyAlignment="1">
      <alignment vertical="center" wrapText="1"/>
    </xf>
    <xf numFmtId="165" fontId="25" fillId="13" borderId="32" xfId="0" applyNumberFormat="1" applyFont="1" applyFill="1" applyBorder="1" applyAlignment="1">
      <alignment horizontal="center" vertical="center" wrapText="1"/>
    </xf>
    <xf numFmtId="0" fontId="24" fillId="12" borderId="29" xfId="0" applyFont="1" applyFill="1" applyBorder="1" applyAlignment="1">
      <alignment vertical="center" wrapText="1"/>
    </xf>
    <xf numFmtId="0" fontId="44" fillId="27" borderId="24" xfId="0" applyFont="1" applyFill="1" applyBorder="1" applyAlignment="1" applyProtection="1">
      <alignment vertical="top" wrapText="1"/>
      <protection locked="0"/>
    </xf>
    <xf numFmtId="0" fontId="44" fillId="12" borderId="32" xfId="0" applyFont="1" applyFill="1" applyBorder="1" applyAlignment="1" applyProtection="1">
      <alignment vertical="top" wrapText="1"/>
      <protection locked="0"/>
    </xf>
    <xf numFmtId="0" fontId="24" fillId="12" borderId="33" xfId="0" applyFont="1" applyFill="1" applyBorder="1" applyAlignment="1">
      <alignment vertical="center" wrapText="1"/>
    </xf>
    <xf numFmtId="165" fontId="25" fillId="13" borderId="33" xfId="0" applyNumberFormat="1" applyFont="1" applyFill="1" applyBorder="1" applyAlignment="1">
      <alignment horizontal="center" vertical="center" wrapText="1"/>
    </xf>
    <xf numFmtId="0" fontId="24" fillId="0" borderId="30" xfId="0" applyFont="1" applyBorder="1" applyAlignment="1">
      <alignment vertical="center" wrapText="1"/>
    </xf>
    <xf numFmtId="0" fontId="44" fillId="0" borderId="25" xfId="0" applyFont="1" applyBorder="1" applyAlignment="1" applyProtection="1">
      <alignment vertical="top" wrapText="1"/>
      <protection locked="0"/>
    </xf>
    <xf numFmtId="0" fontId="44" fillId="12" borderId="33" xfId="0" applyFont="1" applyFill="1" applyBorder="1" applyAlignment="1" applyProtection="1">
      <alignment vertical="top" wrapText="1"/>
      <protection locked="0"/>
    </xf>
    <xf numFmtId="0" fontId="44" fillId="12" borderId="25" xfId="0" applyFont="1" applyFill="1" applyBorder="1" applyAlignment="1" applyProtection="1">
      <alignment vertical="top" wrapText="1"/>
      <protection locked="0"/>
    </xf>
    <xf numFmtId="0" fontId="0" fillId="25" borderId="33" xfId="0" applyFill="1" applyBorder="1" applyAlignment="1" applyProtection="1">
      <alignment vertical="top" wrapText="1"/>
      <protection locked="0"/>
    </xf>
    <xf numFmtId="0" fontId="2" fillId="2" borderId="1" xfId="0" applyFont="1" applyFill="1" applyBorder="1" applyAlignment="1">
      <alignment vertical="center" wrapText="1"/>
    </xf>
    <xf numFmtId="0" fontId="22" fillId="0" borderId="33" xfId="0" applyFont="1" applyBorder="1" applyAlignment="1">
      <alignment vertical="center" wrapText="1"/>
    </xf>
    <xf numFmtId="165" fontId="23" fillId="4" borderId="25" xfId="0" applyNumberFormat="1" applyFont="1" applyFill="1" applyBorder="1" applyAlignment="1">
      <alignment horizontal="center" vertical="center" wrapText="1"/>
    </xf>
    <xf numFmtId="0" fontId="22" fillId="0" borderId="34" xfId="0" applyFont="1" applyBorder="1" applyAlignment="1">
      <alignment vertical="center" wrapText="1"/>
    </xf>
    <xf numFmtId="165" fontId="23" fillId="4" borderId="26" xfId="0" applyNumberFormat="1" applyFont="1" applyFill="1" applyBorder="1" applyAlignment="1">
      <alignment horizontal="center" vertical="center" wrapText="1"/>
    </xf>
    <xf numFmtId="0" fontId="22" fillId="0" borderId="1" xfId="0" applyFont="1" applyBorder="1" applyAlignment="1">
      <alignment vertical="center" wrapText="1"/>
    </xf>
    <xf numFmtId="165" fontId="23" fillId="4" borderId="1" xfId="0" applyNumberFormat="1" applyFont="1" applyFill="1" applyBorder="1" applyAlignment="1">
      <alignment horizontal="center" vertical="center" wrapText="1"/>
    </xf>
    <xf numFmtId="165" fontId="23" fillId="4" borderId="5" xfId="0" applyNumberFormat="1" applyFont="1" applyFill="1" applyBorder="1" applyAlignment="1">
      <alignment horizontal="center" vertical="center" wrapText="1"/>
    </xf>
    <xf numFmtId="0" fontId="3" fillId="3" borderId="5" xfId="0" applyFont="1" applyFill="1" applyBorder="1" applyAlignment="1">
      <alignment vertical="center" wrapText="1"/>
    </xf>
    <xf numFmtId="0" fontId="24" fillId="0" borderId="1" xfId="0" applyFont="1" applyBorder="1" applyAlignment="1">
      <alignment vertical="center" wrapText="1"/>
    </xf>
    <xf numFmtId="165" fontId="25" fillId="7" borderId="7" xfId="0" applyNumberFormat="1" applyFont="1" applyFill="1" applyBorder="1" applyAlignment="1">
      <alignment horizontal="center" vertical="center" wrapText="1"/>
    </xf>
    <xf numFmtId="0" fontId="24" fillId="12" borderId="1" xfId="0" applyFont="1" applyFill="1" applyBorder="1" applyAlignment="1">
      <alignment vertical="center" wrapText="1"/>
    </xf>
    <xf numFmtId="165" fontId="25" fillId="7" borderId="1" xfId="0" applyNumberFormat="1" applyFont="1" applyFill="1" applyBorder="1" applyAlignment="1">
      <alignment horizontal="center" vertical="center" wrapText="1"/>
    </xf>
    <xf numFmtId="0" fontId="22" fillId="12" borderId="1" xfId="0" applyFont="1" applyFill="1" applyBorder="1" applyAlignment="1">
      <alignment vertical="center" wrapText="1"/>
    </xf>
    <xf numFmtId="165" fontId="23" fillId="7" borderId="1" xfId="0" applyNumberFormat="1" applyFont="1" applyFill="1" applyBorder="1" applyAlignment="1">
      <alignment horizontal="center" vertical="center" wrapText="1"/>
    </xf>
    <xf numFmtId="0" fontId="24" fillId="0" borderId="5" xfId="0" applyFont="1" applyBorder="1" applyAlignment="1">
      <alignment vertical="center" wrapText="1"/>
    </xf>
    <xf numFmtId="165" fontId="25" fillId="14" borderId="7" xfId="0" applyNumberFormat="1" applyFont="1" applyFill="1" applyBorder="1" applyAlignment="1">
      <alignment horizontal="center" vertical="center" wrapText="1"/>
    </xf>
    <xf numFmtId="0" fontId="24" fillId="12" borderId="7" xfId="0" applyFont="1" applyFill="1" applyBorder="1" applyAlignment="1">
      <alignment vertical="center" wrapText="1"/>
    </xf>
    <xf numFmtId="0" fontId="24" fillId="12" borderId="6" xfId="0" applyFont="1" applyFill="1" applyBorder="1" applyAlignment="1">
      <alignment vertical="center" wrapText="1"/>
    </xf>
    <xf numFmtId="165" fontId="23" fillId="7" borderId="2" xfId="0" applyNumberFormat="1" applyFont="1" applyFill="1" applyBorder="1" applyAlignment="1">
      <alignment horizontal="center" vertical="center" wrapText="1"/>
    </xf>
    <xf numFmtId="165" fontId="25" fillId="4" borderId="7" xfId="0" applyNumberFormat="1" applyFont="1" applyFill="1" applyBorder="1" applyAlignment="1">
      <alignment horizontal="center" vertical="center" wrapText="1"/>
    </xf>
    <xf numFmtId="0" fontId="0" fillId="2" borderId="1" xfId="0" applyFill="1" applyBorder="1" applyAlignment="1">
      <alignment vertical="center" wrapText="1"/>
    </xf>
    <xf numFmtId="0" fontId="24" fillId="0" borderId="7" xfId="0" applyFont="1" applyBorder="1" applyAlignment="1">
      <alignment vertical="center" wrapText="1"/>
    </xf>
    <xf numFmtId="0" fontId="24" fillId="0" borderId="61" xfId="0" applyFont="1" applyBorder="1" applyAlignment="1">
      <alignment vertical="center" wrapText="1"/>
    </xf>
    <xf numFmtId="0" fontId="24" fillId="12" borderId="30" xfId="0" applyFont="1" applyFill="1" applyBorder="1" applyAlignment="1">
      <alignment vertical="center" wrapText="1"/>
    </xf>
    <xf numFmtId="0" fontId="24" fillId="12" borderId="31" xfId="0" applyFont="1" applyFill="1" applyBorder="1" applyAlignment="1">
      <alignment vertical="center" wrapText="1"/>
    </xf>
    <xf numFmtId="0" fontId="24" fillId="0" borderId="74" xfId="0" applyFont="1" applyBorder="1" applyAlignment="1">
      <alignment vertical="center" wrapText="1"/>
    </xf>
    <xf numFmtId="165" fontId="25" fillId="4" borderId="61" xfId="0" applyNumberFormat="1" applyFont="1" applyFill="1" applyBorder="1" applyAlignment="1">
      <alignment horizontal="center" vertical="center" wrapText="1"/>
    </xf>
    <xf numFmtId="165" fontId="25" fillId="4" borderId="30" xfId="0" applyNumberFormat="1" applyFont="1" applyFill="1" applyBorder="1" applyAlignment="1">
      <alignment horizontal="center" vertical="center" wrapText="1"/>
    </xf>
    <xf numFmtId="0" fontId="24" fillId="0" borderId="23" xfId="0" applyFont="1" applyBorder="1" applyAlignment="1">
      <alignment vertical="center" wrapText="1"/>
    </xf>
    <xf numFmtId="165" fontId="25" fillId="4" borderId="31" xfId="0" applyNumberFormat="1" applyFont="1" applyFill="1" applyBorder="1" applyAlignment="1">
      <alignment horizontal="center" vertical="center" wrapText="1"/>
    </xf>
    <xf numFmtId="0" fontId="57" fillId="31" borderId="33" xfId="0" applyFont="1" applyFill="1" applyBorder="1" applyAlignment="1" applyProtection="1">
      <alignment vertical="top" wrapText="1"/>
      <protection locked="0"/>
    </xf>
    <xf numFmtId="165" fontId="25" fillId="4" borderId="29" xfId="0" applyNumberFormat="1" applyFont="1" applyFill="1" applyBorder="1" applyAlignment="1">
      <alignment horizontal="center" vertical="center" wrapText="1"/>
    </xf>
    <xf numFmtId="165" fontId="25" fillId="4" borderId="27" xfId="0" applyNumberFormat="1" applyFont="1" applyFill="1" applyBorder="1" applyAlignment="1">
      <alignment horizontal="center" vertical="center" wrapText="1"/>
    </xf>
    <xf numFmtId="0" fontId="10" fillId="11" borderId="42" xfId="0" applyFont="1" applyFill="1" applyBorder="1" applyAlignment="1">
      <alignment vertical="center" wrapText="1"/>
    </xf>
    <xf numFmtId="0" fontId="2" fillId="14" borderId="2" xfId="0" applyFont="1" applyFill="1" applyBorder="1" applyAlignment="1">
      <alignment horizontal="center" vertical="center"/>
    </xf>
    <xf numFmtId="1" fontId="2" fillId="14" borderId="5" xfId="0" applyNumberFormat="1" applyFont="1" applyFill="1" applyBorder="1" applyAlignment="1">
      <alignment horizontal="center" vertical="center"/>
    </xf>
    <xf numFmtId="0" fontId="0" fillId="14" borderId="6" xfId="0" applyFill="1" applyBorder="1"/>
    <xf numFmtId="0" fontId="0" fillId="14" borderId="65" xfId="0" applyFill="1" applyBorder="1"/>
    <xf numFmtId="0" fontId="2" fillId="23" borderId="0" xfId="0" applyFont="1" applyFill="1" applyAlignment="1">
      <alignment horizontal="center"/>
    </xf>
    <xf numFmtId="0" fontId="2" fillId="0" borderId="0" xfId="0" applyFont="1"/>
    <xf numFmtId="2" fontId="17" fillId="24" borderId="6" xfId="0" applyNumberFormat="1" applyFont="1" applyFill="1" applyBorder="1"/>
    <xf numFmtId="0" fontId="22" fillId="0" borderId="1" xfId="0" applyFont="1" applyBorder="1" applyAlignment="1" applyProtection="1">
      <alignment vertical="top" wrapText="1"/>
      <protection locked="0"/>
    </xf>
    <xf numFmtId="0" fontId="0" fillId="11" borderId="0" xfId="0" applyFill="1" applyAlignment="1">
      <alignment vertical="top" wrapText="1"/>
    </xf>
    <xf numFmtId="0" fontId="0" fillId="11" borderId="5" xfId="0" applyFill="1" applyBorder="1" applyAlignment="1">
      <alignment vertical="top" wrapText="1"/>
    </xf>
    <xf numFmtId="0" fontId="0" fillId="11" borderId="1" xfId="0" applyFill="1" applyBorder="1" applyAlignment="1">
      <alignment vertical="top" wrapText="1"/>
    </xf>
    <xf numFmtId="0" fontId="28" fillId="0" borderId="1" xfId="0" applyFont="1" applyBorder="1" applyProtection="1">
      <protection locked="0"/>
    </xf>
    <xf numFmtId="0" fontId="15" fillId="0" borderId="1" xfId="0" applyFont="1" applyBorder="1" applyProtection="1">
      <protection locked="0"/>
    </xf>
    <xf numFmtId="0" fontId="0" fillId="12" borderId="34" xfId="0" applyFill="1" applyBorder="1" applyAlignment="1" applyProtection="1">
      <alignment vertical="top" wrapText="1"/>
      <protection locked="0"/>
    </xf>
    <xf numFmtId="0" fontId="0" fillId="25" borderId="32" xfId="0" applyFill="1" applyBorder="1" applyAlignment="1" applyProtection="1">
      <alignment vertical="top" wrapText="1"/>
      <protection locked="0"/>
    </xf>
    <xf numFmtId="0" fontId="15" fillId="25" borderId="58" xfId="0" applyFont="1" applyFill="1" applyBorder="1" applyAlignment="1" applyProtection="1">
      <alignment vertical="top" wrapText="1"/>
      <protection locked="0"/>
    </xf>
    <xf numFmtId="0" fontId="15" fillId="25" borderId="58" xfId="0" applyFont="1" applyFill="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25" borderId="32" xfId="0" applyFont="1" applyFill="1" applyBorder="1" applyAlignment="1" applyProtection="1">
      <alignment vertical="top" wrapText="1"/>
      <protection locked="0"/>
    </xf>
    <xf numFmtId="0" fontId="15" fillId="0" borderId="33" xfId="0" applyFont="1" applyBorder="1" applyAlignment="1" applyProtection="1">
      <alignment vertical="center" wrapText="1"/>
      <protection locked="0"/>
    </xf>
    <xf numFmtId="0" fontId="28" fillId="0" borderId="1" xfId="0" applyFont="1" applyBorder="1" applyAlignment="1" applyProtection="1">
      <alignment wrapText="1"/>
      <protection locked="0"/>
    </xf>
    <xf numFmtId="0" fontId="15" fillId="12" borderId="1" xfId="0" applyFont="1" applyFill="1" applyBorder="1" applyAlignment="1" applyProtection="1">
      <alignment wrapText="1"/>
      <protection locked="0"/>
    </xf>
    <xf numFmtId="0" fontId="15" fillId="12" borderId="32" xfId="0" applyFont="1" applyFill="1" applyBorder="1" applyAlignment="1" applyProtection="1">
      <alignment vertical="center" wrapText="1"/>
      <protection locked="0"/>
    </xf>
    <xf numFmtId="0" fontId="35" fillId="0" borderId="55" xfId="3" applyFont="1" applyBorder="1" applyAlignment="1" applyProtection="1">
      <alignment vertical="top" wrapText="1"/>
      <protection locked="0"/>
    </xf>
    <xf numFmtId="0" fontId="15" fillId="0" borderId="10" xfId="0" applyFont="1" applyBorder="1" applyAlignment="1" applyProtection="1">
      <alignment vertical="center" wrapText="1"/>
      <protection locked="0"/>
    </xf>
    <xf numFmtId="0" fontId="15" fillId="25" borderId="33" xfId="0" applyFont="1" applyFill="1" applyBorder="1" applyAlignment="1" applyProtection="1">
      <alignment vertical="top" wrapText="1"/>
      <protection locked="0"/>
    </xf>
    <xf numFmtId="0" fontId="15" fillId="12" borderId="1" xfId="0" applyFont="1" applyFill="1" applyBorder="1" applyAlignment="1" applyProtection="1">
      <alignment vertical="top" wrapText="1"/>
      <protection locked="0"/>
    </xf>
    <xf numFmtId="0" fontId="41" fillId="0" borderId="4" xfId="0" applyFont="1" applyBorder="1" applyAlignment="1" applyProtection="1">
      <alignment wrapText="1"/>
      <protection locked="0"/>
    </xf>
    <xf numFmtId="0" fontId="40" fillId="0" borderId="4" xfId="0" applyFont="1" applyBorder="1" applyAlignment="1" applyProtection="1">
      <alignment wrapText="1"/>
      <protection locked="0"/>
    </xf>
    <xf numFmtId="0" fontId="15" fillId="12" borderId="0" xfId="0" applyFont="1" applyFill="1" applyAlignment="1" applyProtection="1">
      <alignment vertical="top" wrapText="1"/>
      <protection locked="0"/>
    </xf>
    <xf numFmtId="0" fontId="22" fillId="0" borderId="32" xfId="0" applyFont="1" applyBorder="1" applyAlignment="1" applyProtection="1">
      <alignment vertical="top" wrapText="1"/>
      <protection locked="0"/>
    </xf>
    <xf numFmtId="0" fontId="22" fillId="0" borderId="41" xfId="0" applyFont="1" applyBorder="1" applyAlignment="1" applyProtection="1">
      <alignment vertical="top" wrapText="1"/>
      <protection locked="0"/>
    </xf>
    <xf numFmtId="165" fontId="12" fillId="4" borderId="66" xfId="0" applyNumberFormat="1" applyFont="1" applyFill="1" applyBorder="1" applyAlignment="1">
      <alignment horizontal="center" vertical="center" wrapText="1"/>
    </xf>
    <xf numFmtId="165" fontId="12" fillId="4" borderId="37" xfId="0" applyNumberFormat="1" applyFont="1" applyFill="1" applyBorder="1" applyAlignment="1">
      <alignment horizontal="center" vertical="center" wrapText="1"/>
    </xf>
    <xf numFmtId="0" fontId="22" fillId="0" borderId="33" xfId="0" applyFont="1" applyBorder="1" applyAlignment="1" applyProtection="1">
      <alignment vertical="top" wrapText="1"/>
      <protection locked="0"/>
    </xf>
    <xf numFmtId="0" fontId="4" fillId="9" borderId="42" xfId="0" applyFont="1" applyFill="1" applyBorder="1" applyAlignment="1" applyProtection="1">
      <alignment vertical="center" wrapText="1"/>
      <protection hidden="1"/>
    </xf>
    <xf numFmtId="0" fontId="4" fillId="9" borderId="45" xfId="0" applyFont="1" applyFill="1" applyBorder="1" applyAlignment="1" applyProtection="1">
      <alignment vertical="center" wrapText="1"/>
      <protection hidden="1"/>
    </xf>
    <xf numFmtId="0" fontId="4" fillId="9" borderId="44" xfId="0" applyFont="1" applyFill="1" applyBorder="1" applyAlignment="1" applyProtection="1">
      <alignment vertical="center" wrapText="1"/>
      <protection hidden="1"/>
    </xf>
    <xf numFmtId="0" fontId="4" fillId="9" borderId="10" xfId="0" applyFont="1" applyFill="1" applyBorder="1" applyAlignment="1" applyProtection="1">
      <alignment vertical="center" wrapText="1"/>
      <protection hidden="1"/>
    </xf>
    <xf numFmtId="9" fontId="23" fillId="11" borderId="4" xfId="1" applyFont="1" applyFill="1" applyBorder="1" applyAlignment="1" applyProtection="1">
      <alignment horizontal="center" vertical="center" wrapText="1"/>
      <protection hidden="1"/>
    </xf>
    <xf numFmtId="2" fontId="23" fillId="11" borderId="4" xfId="1" applyNumberFormat="1" applyFont="1" applyFill="1" applyBorder="1" applyAlignment="1" applyProtection="1">
      <alignment horizontal="center" vertical="center" wrapText="1"/>
      <protection hidden="1"/>
    </xf>
    <xf numFmtId="9" fontId="23" fillId="11" borderId="1" xfId="1" applyFont="1" applyFill="1" applyBorder="1" applyAlignment="1" applyProtection="1">
      <alignment horizontal="center" vertical="center" wrapText="1"/>
      <protection hidden="1"/>
    </xf>
    <xf numFmtId="0" fontId="4" fillId="11" borderId="42" xfId="0" applyFont="1" applyFill="1" applyBorder="1" applyAlignment="1" applyProtection="1">
      <alignment vertical="center" wrapText="1"/>
      <protection hidden="1"/>
    </xf>
    <xf numFmtId="0" fontId="4" fillId="11" borderId="45" xfId="0" applyFont="1" applyFill="1" applyBorder="1" applyAlignment="1" applyProtection="1">
      <alignment vertical="center" wrapText="1"/>
      <protection hidden="1"/>
    </xf>
    <xf numFmtId="0" fontId="4" fillId="11" borderId="44" xfId="0" applyFont="1" applyFill="1" applyBorder="1" applyAlignment="1" applyProtection="1">
      <alignment vertical="center" wrapText="1"/>
      <protection hidden="1"/>
    </xf>
    <xf numFmtId="0" fontId="4" fillId="11" borderId="10" xfId="0" applyFont="1" applyFill="1" applyBorder="1" applyAlignment="1" applyProtection="1">
      <alignment vertical="center" wrapText="1"/>
      <protection hidden="1"/>
    </xf>
    <xf numFmtId="165" fontId="26" fillId="0" borderId="17" xfId="1" applyNumberFormat="1" applyFont="1" applyBorder="1" applyAlignment="1" applyProtection="1">
      <alignment horizontal="center" vertical="center" wrapText="1"/>
      <protection hidden="1"/>
    </xf>
    <xf numFmtId="165" fontId="26" fillId="0" borderId="19" xfId="1" applyNumberFormat="1" applyFont="1" applyBorder="1" applyAlignment="1" applyProtection="1">
      <alignment horizontal="center" vertical="center" wrapText="1"/>
      <protection hidden="1"/>
    </xf>
    <xf numFmtId="165" fontId="24" fillId="0" borderId="49" xfId="1" applyNumberFormat="1" applyFont="1" applyBorder="1" applyAlignment="1" applyProtection="1">
      <alignment horizontal="center" vertical="center" wrapText="1"/>
      <protection hidden="1"/>
    </xf>
    <xf numFmtId="165" fontId="24" fillId="0" borderId="18" xfId="1" applyNumberFormat="1" applyFont="1" applyBorder="1" applyAlignment="1" applyProtection="1">
      <alignment horizontal="center" vertical="center" wrapText="1"/>
      <protection hidden="1"/>
    </xf>
    <xf numFmtId="165" fontId="24" fillId="0" borderId="46" xfId="1" applyNumberFormat="1" applyFont="1" applyBorder="1" applyAlignment="1" applyProtection="1">
      <alignment horizontal="center" vertical="center" wrapText="1"/>
      <protection hidden="1"/>
    </xf>
    <xf numFmtId="9" fontId="24" fillId="11" borderId="32" xfId="1" applyFont="1" applyFill="1" applyBorder="1" applyAlignment="1" applyProtection="1">
      <alignment horizontal="center" vertical="center" wrapText="1"/>
      <protection hidden="1"/>
    </xf>
    <xf numFmtId="0" fontId="24" fillId="8" borderId="29" xfId="0" applyFont="1" applyFill="1" applyBorder="1" applyAlignment="1" applyProtection="1">
      <alignment vertical="center" wrapText="1"/>
      <protection hidden="1"/>
    </xf>
    <xf numFmtId="165" fontId="26" fillId="0" borderId="21" xfId="1" applyNumberFormat="1" applyFont="1" applyBorder="1" applyAlignment="1" applyProtection="1">
      <alignment horizontal="center" vertical="center" wrapText="1"/>
      <protection hidden="1"/>
    </xf>
    <xf numFmtId="165" fontId="26" fillId="0" borderId="23" xfId="1" applyNumberFormat="1" applyFont="1" applyBorder="1" applyAlignment="1" applyProtection="1">
      <alignment horizontal="center" vertical="center" wrapText="1"/>
      <protection hidden="1"/>
    </xf>
    <xf numFmtId="165" fontId="24" fillId="0" borderId="28" xfId="1" applyNumberFormat="1" applyFont="1" applyBorder="1" applyAlignment="1" applyProtection="1">
      <alignment horizontal="center" vertical="center" wrapText="1"/>
      <protection hidden="1"/>
    </xf>
    <xf numFmtId="165" fontId="24" fillId="0" borderId="22" xfId="1" applyNumberFormat="1" applyFont="1" applyBorder="1" applyAlignment="1" applyProtection="1">
      <alignment horizontal="center" vertical="center" wrapText="1"/>
      <protection hidden="1"/>
    </xf>
    <xf numFmtId="165" fontId="24" fillId="0" borderId="48" xfId="1" applyNumberFormat="1" applyFont="1" applyBorder="1" applyAlignment="1" applyProtection="1">
      <alignment horizontal="center" vertical="center" wrapText="1"/>
      <protection hidden="1"/>
    </xf>
    <xf numFmtId="9" fontId="24" fillId="11" borderId="34" xfId="1" applyFont="1" applyFill="1" applyBorder="1" applyAlignment="1" applyProtection="1">
      <alignment horizontal="center" vertical="center" wrapText="1"/>
      <protection hidden="1"/>
    </xf>
    <xf numFmtId="0" fontId="24" fillId="8" borderId="31" xfId="0" applyFont="1" applyFill="1" applyBorder="1" applyAlignment="1" applyProtection="1">
      <alignment vertical="center" wrapText="1"/>
      <protection hidden="1"/>
    </xf>
    <xf numFmtId="165" fontId="10" fillId="0" borderId="54" xfId="1" applyNumberFormat="1" applyFont="1" applyBorder="1" applyAlignment="1" applyProtection="1">
      <alignment horizontal="center" vertical="center" wrapText="1"/>
      <protection hidden="1"/>
    </xf>
    <xf numFmtId="165" fontId="10" fillId="0" borderId="74" xfId="1" applyNumberFormat="1" applyFont="1" applyBorder="1" applyAlignment="1" applyProtection="1">
      <alignment horizontal="center" vertical="center" wrapText="1"/>
      <protection hidden="1"/>
    </xf>
    <xf numFmtId="1" fontId="24" fillId="0" borderId="73" xfId="1" applyNumberFormat="1" applyFont="1" applyBorder="1" applyAlignment="1" applyProtection="1">
      <alignment horizontal="center" vertical="center" wrapText="1"/>
      <protection hidden="1"/>
    </xf>
    <xf numFmtId="165" fontId="24" fillId="0" borderId="14" xfId="0" applyNumberFormat="1" applyFont="1" applyBorder="1" applyAlignment="1" applyProtection="1">
      <alignment horizontal="center" vertical="center" wrapText="1"/>
      <protection hidden="1"/>
    </xf>
    <xf numFmtId="165" fontId="24" fillId="0" borderId="12" xfId="1" applyNumberFormat="1" applyFont="1" applyBorder="1" applyAlignment="1" applyProtection="1">
      <alignment horizontal="center" vertical="center" wrapText="1"/>
      <protection hidden="1"/>
    </xf>
    <xf numFmtId="9" fontId="24" fillId="11" borderId="53" xfId="1" applyFont="1" applyFill="1" applyBorder="1" applyAlignment="1" applyProtection="1">
      <alignment horizontal="center" vertical="center" wrapText="1"/>
      <protection hidden="1"/>
    </xf>
    <xf numFmtId="0" fontId="24" fillId="9" borderId="62" xfId="0" applyFont="1" applyFill="1" applyBorder="1" applyAlignment="1" applyProtection="1">
      <alignment vertical="center" wrapText="1"/>
      <protection hidden="1"/>
    </xf>
    <xf numFmtId="165" fontId="10" fillId="0" borderId="38" xfId="1" applyNumberFormat="1" applyFont="1" applyBorder="1" applyAlignment="1" applyProtection="1">
      <alignment horizontal="center" vertical="center" wrapText="1"/>
      <protection hidden="1"/>
    </xf>
    <xf numFmtId="165" fontId="10" fillId="0" borderId="39" xfId="1" applyNumberFormat="1" applyFont="1" applyBorder="1" applyAlignment="1" applyProtection="1">
      <alignment horizontal="center" vertical="center" wrapText="1"/>
      <protection hidden="1"/>
    </xf>
    <xf numFmtId="165" fontId="24" fillId="0" borderId="63" xfId="0" applyNumberFormat="1" applyFont="1" applyBorder="1" applyAlignment="1" applyProtection="1">
      <alignment horizontal="center" vertical="center" wrapText="1"/>
      <protection hidden="1"/>
    </xf>
    <xf numFmtId="0" fontId="24" fillId="0" borderId="13" xfId="0" applyFont="1" applyBorder="1" applyAlignment="1" applyProtection="1">
      <alignment horizontal="center" vertical="center" wrapText="1"/>
      <protection hidden="1"/>
    </xf>
    <xf numFmtId="165" fontId="24" fillId="0" borderId="55" xfId="0" applyNumberFormat="1" applyFont="1" applyBorder="1" applyAlignment="1" applyProtection="1">
      <alignment horizontal="center" vertical="center" wrapText="1"/>
      <protection hidden="1"/>
    </xf>
    <xf numFmtId="9" fontId="24" fillId="11" borderId="41" xfId="1" applyFont="1" applyFill="1" applyBorder="1" applyAlignment="1" applyProtection="1">
      <alignment horizontal="center" vertical="center" wrapText="1"/>
      <protection hidden="1"/>
    </xf>
    <xf numFmtId="0" fontId="24" fillId="9" borderId="64" xfId="0" applyFont="1" applyFill="1" applyBorder="1" applyAlignment="1" applyProtection="1">
      <alignment vertical="center" wrapText="1"/>
      <protection hidden="1"/>
    </xf>
    <xf numFmtId="165" fontId="26" fillId="0" borderId="17" xfId="0" applyNumberFormat="1" applyFont="1" applyBorder="1" applyAlignment="1" applyProtection="1">
      <alignment horizontal="center" vertical="center" wrapText="1"/>
      <protection hidden="1"/>
    </xf>
    <xf numFmtId="165" fontId="26" fillId="0" borderId="19" xfId="0" applyNumberFormat="1" applyFont="1" applyBorder="1" applyAlignment="1" applyProtection="1">
      <alignment horizontal="center" vertical="center" wrapText="1"/>
      <protection hidden="1"/>
    </xf>
    <xf numFmtId="165" fontId="24" fillId="0" borderId="49" xfId="0" applyNumberFormat="1" applyFont="1" applyBorder="1" applyAlignment="1" applyProtection="1">
      <alignment horizontal="center" vertical="center" wrapText="1"/>
      <protection hidden="1"/>
    </xf>
    <xf numFmtId="165" fontId="24" fillId="0" borderId="18" xfId="0" applyNumberFormat="1" applyFont="1" applyBorder="1" applyAlignment="1" applyProtection="1">
      <alignment horizontal="center" vertical="center" wrapText="1"/>
      <protection hidden="1"/>
    </xf>
    <xf numFmtId="0" fontId="24" fillId="10" borderId="58" xfId="0" applyFont="1" applyFill="1" applyBorder="1" applyAlignment="1" applyProtection="1">
      <alignment vertical="center" wrapText="1"/>
      <protection hidden="1"/>
    </xf>
    <xf numFmtId="165" fontId="26" fillId="12" borderId="15" xfId="0" applyNumberFormat="1" applyFont="1" applyFill="1" applyBorder="1" applyAlignment="1" applyProtection="1">
      <alignment horizontal="center" vertical="center" wrapText="1"/>
      <protection hidden="1"/>
    </xf>
    <xf numFmtId="165" fontId="26" fillId="12" borderId="20" xfId="0" applyNumberFormat="1" applyFont="1" applyFill="1" applyBorder="1" applyAlignment="1" applyProtection="1">
      <alignment horizontal="center" vertical="center" wrapText="1"/>
      <protection hidden="1"/>
    </xf>
    <xf numFmtId="165" fontId="24" fillId="0" borderId="27" xfId="0" applyNumberFormat="1" applyFont="1" applyBorder="1" applyAlignment="1" applyProtection="1">
      <alignment horizontal="center" vertical="center" wrapText="1"/>
      <protection hidden="1"/>
    </xf>
    <xf numFmtId="165" fontId="24" fillId="0" borderId="11" xfId="0" applyNumberFormat="1" applyFont="1" applyBorder="1" applyAlignment="1" applyProtection="1">
      <alignment horizontal="center" vertical="center" wrapText="1"/>
      <protection hidden="1"/>
    </xf>
    <xf numFmtId="165" fontId="24" fillId="0" borderId="47" xfId="1" applyNumberFormat="1" applyFont="1" applyBorder="1" applyAlignment="1" applyProtection="1">
      <alignment horizontal="center" vertical="center" wrapText="1"/>
      <protection hidden="1"/>
    </xf>
    <xf numFmtId="9" fontId="24" fillId="11" borderId="33" xfId="1" applyFont="1" applyFill="1" applyBorder="1" applyAlignment="1" applyProtection="1">
      <alignment horizontal="center" vertical="center" wrapText="1"/>
      <protection hidden="1"/>
    </xf>
    <xf numFmtId="0" fontId="24" fillId="10" borderId="59" xfId="0" applyFont="1" applyFill="1" applyBorder="1" applyAlignment="1" applyProtection="1">
      <alignment vertical="center" wrapText="1"/>
      <protection hidden="1"/>
    </xf>
    <xf numFmtId="165" fontId="26" fillId="12" borderId="21" xfId="0" applyNumberFormat="1" applyFont="1" applyFill="1" applyBorder="1" applyAlignment="1" applyProtection="1">
      <alignment horizontal="center" vertical="center" wrapText="1"/>
      <protection hidden="1"/>
    </xf>
    <xf numFmtId="165" fontId="26" fillId="12" borderId="23" xfId="0" applyNumberFormat="1" applyFont="1" applyFill="1" applyBorder="1" applyAlignment="1" applyProtection="1">
      <alignment horizontal="center" vertical="center" wrapText="1"/>
      <protection hidden="1"/>
    </xf>
    <xf numFmtId="165" fontId="24" fillId="0" borderId="28" xfId="0" applyNumberFormat="1" applyFont="1" applyBorder="1" applyAlignment="1" applyProtection="1">
      <alignment horizontal="center" vertical="center" wrapText="1"/>
      <protection hidden="1"/>
    </xf>
    <xf numFmtId="165" fontId="24" fillId="0" borderId="22" xfId="0" applyNumberFormat="1" applyFont="1" applyBorder="1" applyAlignment="1" applyProtection="1">
      <alignment horizontal="center" vertical="center" wrapText="1"/>
      <protection hidden="1"/>
    </xf>
    <xf numFmtId="0" fontId="24" fillId="10" borderId="60" xfId="0" applyFont="1" applyFill="1" applyBorder="1" applyAlignment="1" applyProtection="1">
      <alignment vertical="center" wrapText="1"/>
      <protection hidden="1"/>
    </xf>
    <xf numFmtId="0" fontId="32" fillId="3" borderId="0" xfId="0" applyFont="1" applyFill="1" applyAlignment="1" applyProtection="1">
      <alignment vertical="center" wrapText="1"/>
      <protection hidden="1"/>
    </xf>
    <xf numFmtId="0" fontId="3" fillId="3" borderId="0" xfId="0" applyFont="1" applyFill="1" applyAlignment="1" applyProtection="1">
      <alignment vertical="center" wrapText="1"/>
      <protection hidden="1"/>
    </xf>
    <xf numFmtId="0" fontId="3" fillId="3" borderId="8" xfId="0" applyFont="1" applyFill="1" applyBorder="1" applyAlignment="1" applyProtection="1">
      <alignment vertical="center" wrapText="1"/>
      <protection hidden="1"/>
    </xf>
    <xf numFmtId="0" fontId="24" fillId="0" borderId="49" xfId="0" applyFont="1" applyBorder="1" applyAlignment="1" applyProtection="1">
      <alignment horizontal="center" vertical="center" wrapText="1"/>
      <protection hidden="1"/>
    </xf>
    <xf numFmtId="165" fontId="24" fillId="0" borderId="46" xfId="0" applyNumberFormat="1" applyFont="1" applyBorder="1" applyAlignment="1" applyProtection="1">
      <alignment horizontal="center" vertical="center" wrapText="1"/>
      <protection hidden="1"/>
    </xf>
    <xf numFmtId="0" fontId="27" fillId="22" borderId="58" xfId="0" applyFont="1" applyFill="1" applyBorder="1" applyAlignment="1" applyProtection="1">
      <alignment vertical="center" wrapText="1"/>
      <protection hidden="1"/>
    </xf>
    <xf numFmtId="165" fontId="26" fillId="0" borderId="15" xfId="0" applyNumberFormat="1" applyFont="1" applyBorder="1" applyAlignment="1" applyProtection="1">
      <alignment horizontal="center" vertical="center" wrapText="1"/>
      <protection hidden="1"/>
    </xf>
    <xf numFmtId="165" fontId="26" fillId="0" borderId="20" xfId="0" applyNumberFormat="1" applyFont="1" applyBorder="1" applyAlignment="1" applyProtection="1">
      <alignment horizontal="center" vertical="center" wrapText="1"/>
      <protection hidden="1"/>
    </xf>
    <xf numFmtId="0" fontId="24" fillId="0" borderId="27" xfId="0" applyFont="1" applyBorder="1" applyAlignment="1" applyProtection="1">
      <alignment horizontal="center" vertical="center" wrapText="1"/>
      <protection hidden="1"/>
    </xf>
    <xf numFmtId="165" fontId="24" fillId="0" borderId="47" xfId="0" applyNumberFormat="1" applyFont="1" applyBorder="1" applyAlignment="1" applyProtection="1">
      <alignment horizontal="center" vertical="center" wrapText="1"/>
      <protection hidden="1"/>
    </xf>
    <xf numFmtId="0" fontId="27" fillId="22" borderId="59" xfId="0" applyFont="1" applyFill="1" applyBorder="1" applyAlignment="1" applyProtection="1">
      <alignment vertical="center" wrapText="1"/>
      <protection hidden="1"/>
    </xf>
    <xf numFmtId="165" fontId="27" fillId="12" borderId="15" xfId="0" applyNumberFormat="1" applyFont="1" applyFill="1" applyBorder="1" applyAlignment="1" applyProtection="1">
      <alignment horizontal="center" vertical="center" wrapText="1"/>
      <protection hidden="1"/>
    </xf>
    <xf numFmtId="165" fontId="27" fillId="12" borderId="20" xfId="0" applyNumberFormat="1" applyFont="1" applyFill="1" applyBorder="1" applyAlignment="1" applyProtection="1">
      <alignment horizontal="center" vertical="center" wrapText="1"/>
      <protection hidden="1"/>
    </xf>
    <xf numFmtId="165" fontId="26" fillId="0" borderId="21" xfId="0" applyNumberFormat="1" applyFont="1" applyBorder="1" applyAlignment="1" applyProtection="1">
      <alignment horizontal="center" vertical="center" wrapText="1"/>
      <protection hidden="1"/>
    </xf>
    <xf numFmtId="165" fontId="26" fillId="0" borderId="23" xfId="0" applyNumberFormat="1" applyFont="1" applyBorder="1" applyAlignment="1" applyProtection="1">
      <alignment horizontal="center" vertical="center" wrapText="1"/>
      <protection hidden="1"/>
    </xf>
    <xf numFmtId="0" fontId="24" fillId="0" borderId="28" xfId="0" applyFont="1" applyBorder="1" applyAlignment="1" applyProtection="1">
      <alignment horizontal="center" vertical="center" wrapText="1"/>
      <protection hidden="1"/>
    </xf>
    <xf numFmtId="165" fontId="24" fillId="0" borderId="48" xfId="0" applyNumberFormat="1" applyFont="1" applyBorder="1" applyAlignment="1" applyProtection="1">
      <alignment horizontal="center" vertical="center" wrapText="1"/>
      <protection hidden="1"/>
    </xf>
    <xf numFmtId="0" fontId="27" fillId="22" borderId="60" xfId="0" applyFont="1" applyFill="1" applyBorder="1" applyAlignment="1" applyProtection="1">
      <alignment vertical="center" wrapText="1"/>
      <protection hidden="1"/>
    </xf>
    <xf numFmtId="0" fontId="3" fillId="3" borderId="42" xfId="0" applyFont="1" applyFill="1" applyBorder="1" applyAlignment="1" applyProtection="1">
      <alignment vertical="center" wrapText="1"/>
      <protection hidden="1"/>
    </xf>
    <xf numFmtId="0" fontId="3" fillId="3" borderId="44" xfId="0" applyFont="1" applyFill="1" applyBorder="1" applyAlignment="1" applyProtection="1">
      <alignment vertical="center" wrapText="1"/>
      <protection hidden="1"/>
    </xf>
    <xf numFmtId="0" fontId="3" fillId="3" borderId="10" xfId="0" applyFont="1" applyFill="1" applyBorder="1" applyAlignment="1" applyProtection="1">
      <alignment vertical="center" wrapText="1"/>
      <protection hidden="1"/>
    </xf>
    <xf numFmtId="165" fontId="24" fillId="0" borderId="17" xfId="0" applyNumberFormat="1" applyFont="1" applyBorder="1" applyAlignment="1" applyProtection="1">
      <alignment horizontal="center" vertical="center" wrapText="1"/>
      <protection hidden="1"/>
    </xf>
    <xf numFmtId="0" fontId="24" fillId="8" borderId="58" xfId="0" applyFont="1" applyFill="1" applyBorder="1" applyAlignment="1" applyProtection="1">
      <alignment vertical="center" wrapText="1"/>
      <protection hidden="1"/>
    </xf>
    <xf numFmtId="165" fontId="10" fillId="0" borderId="15" xfId="0" applyNumberFormat="1" applyFont="1" applyBorder="1" applyAlignment="1" applyProtection="1">
      <alignment horizontal="center" vertical="center" wrapText="1"/>
      <protection hidden="1"/>
    </xf>
    <xf numFmtId="165" fontId="10" fillId="0" borderId="20" xfId="0" applyNumberFormat="1" applyFont="1" applyBorder="1" applyAlignment="1" applyProtection="1">
      <alignment horizontal="center" vertical="center" wrapText="1"/>
      <protection hidden="1"/>
    </xf>
    <xf numFmtId="0" fontId="24" fillId="0" borderId="15" xfId="0" applyFont="1" applyBorder="1" applyAlignment="1" applyProtection="1">
      <alignment horizontal="center" vertical="center" wrapText="1"/>
      <protection hidden="1"/>
    </xf>
    <xf numFmtId="0" fontId="24" fillId="8" borderId="59" xfId="0" applyFont="1" applyFill="1" applyBorder="1" applyAlignment="1" applyProtection="1">
      <alignment vertical="center" wrapText="1"/>
      <protection hidden="1"/>
    </xf>
    <xf numFmtId="0" fontId="24" fillId="0" borderId="21" xfId="0" applyFont="1" applyBorder="1" applyAlignment="1" applyProtection="1">
      <alignment horizontal="center" vertical="center" wrapText="1"/>
      <protection hidden="1"/>
    </xf>
    <xf numFmtId="0" fontId="24" fillId="8" borderId="60" xfId="0" applyFont="1" applyFill="1" applyBorder="1" applyAlignment="1" applyProtection="1">
      <alignment vertical="center" wrapText="1"/>
      <protection hidden="1"/>
    </xf>
    <xf numFmtId="0" fontId="32" fillId="3" borderId="75" xfId="0" applyFont="1" applyFill="1" applyBorder="1" applyAlignment="1" applyProtection="1">
      <alignment vertical="center" wrapText="1"/>
      <protection hidden="1"/>
    </xf>
    <xf numFmtId="0" fontId="32" fillId="3" borderId="76" xfId="0" applyFont="1" applyFill="1" applyBorder="1" applyAlignment="1" applyProtection="1">
      <alignment vertical="center" wrapText="1"/>
      <protection hidden="1"/>
    </xf>
    <xf numFmtId="0" fontId="3" fillId="3" borderId="70" xfId="0" applyFont="1" applyFill="1" applyBorder="1" applyAlignment="1" applyProtection="1">
      <alignment vertical="center" wrapText="1"/>
      <protection hidden="1"/>
    </xf>
    <xf numFmtId="0" fontId="3" fillId="3" borderId="68" xfId="0" applyFont="1" applyFill="1" applyBorder="1" applyAlignment="1" applyProtection="1">
      <alignment vertical="center" wrapText="1"/>
      <protection hidden="1"/>
    </xf>
    <xf numFmtId="0" fontId="3" fillId="3" borderId="76" xfId="0" applyFont="1" applyFill="1" applyBorder="1" applyAlignment="1" applyProtection="1">
      <alignment vertical="center" wrapText="1"/>
      <protection hidden="1"/>
    </xf>
    <xf numFmtId="9" fontId="5" fillId="11" borderId="1" xfId="1" applyFont="1" applyFill="1" applyBorder="1" applyAlignment="1" applyProtection="1">
      <alignment horizontal="center" vertical="center" wrapText="1"/>
      <protection hidden="1"/>
    </xf>
    <xf numFmtId="165" fontId="4" fillId="12" borderId="50" xfId="0" applyNumberFormat="1" applyFont="1" applyFill="1" applyBorder="1" applyAlignment="1" applyProtection="1">
      <alignment horizontal="center" vertical="center" wrapText="1"/>
      <protection hidden="1"/>
    </xf>
    <xf numFmtId="165" fontId="4" fillId="12" borderId="36" xfId="0" applyNumberFormat="1" applyFont="1" applyFill="1" applyBorder="1" applyAlignment="1" applyProtection="1">
      <alignment horizontal="center" vertical="center" wrapText="1"/>
      <protection hidden="1"/>
    </xf>
    <xf numFmtId="165" fontId="22" fillId="12" borderId="50" xfId="0" applyNumberFormat="1" applyFont="1" applyFill="1" applyBorder="1" applyAlignment="1" applyProtection="1">
      <alignment horizontal="center" vertical="center" wrapText="1"/>
      <protection hidden="1"/>
    </xf>
    <xf numFmtId="165" fontId="22" fillId="12" borderId="35" xfId="0" applyNumberFormat="1" applyFont="1" applyFill="1" applyBorder="1" applyAlignment="1" applyProtection="1">
      <alignment horizontal="center" vertical="center" wrapText="1"/>
      <protection hidden="1"/>
    </xf>
    <xf numFmtId="165" fontId="24" fillId="12" borderId="52" xfId="0" applyNumberFormat="1" applyFont="1" applyFill="1" applyBorder="1" applyAlignment="1" applyProtection="1">
      <alignment horizontal="center" vertical="center" wrapText="1"/>
      <protection hidden="1"/>
    </xf>
    <xf numFmtId="9" fontId="24" fillId="11" borderId="1" xfId="1" applyFont="1" applyFill="1" applyBorder="1" applyAlignment="1" applyProtection="1">
      <alignment horizontal="center" vertical="center" wrapText="1"/>
      <protection hidden="1"/>
    </xf>
    <xf numFmtId="9" fontId="22" fillId="11" borderId="4" xfId="1" applyFont="1" applyFill="1" applyBorder="1" applyAlignment="1" applyProtection="1">
      <alignment horizontal="center" vertical="center" wrapText="1"/>
      <protection hidden="1"/>
    </xf>
    <xf numFmtId="2" fontId="23" fillId="11" borderId="1" xfId="1" applyNumberFormat="1" applyFont="1" applyFill="1" applyBorder="1" applyAlignment="1" applyProtection="1">
      <alignment horizontal="center" vertical="center" wrapText="1"/>
      <protection hidden="1"/>
    </xf>
    <xf numFmtId="0" fontId="24" fillId="4" borderId="51" xfId="0" applyFont="1" applyFill="1" applyBorder="1" applyAlignment="1" applyProtection="1">
      <alignment vertical="center" wrapText="1"/>
      <protection hidden="1"/>
    </xf>
    <xf numFmtId="165" fontId="4" fillId="0" borderId="50" xfId="0" applyNumberFormat="1" applyFont="1" applyBorder="1" applyAlignment="1" applyProtection="1">
      <alignment horizontal="center" vertical="center" wrapText="1"/>
      <protection hidden="1"/>
    </xf>
    <xf numFmtId="165" fontId="4" fillId="0" borderId="36" xfId="0" applyNumberFormat="1" applyFont="1" applyBorder="1" applyAlignment="1" applyProtection="1">
      <alignment horizontal="center" vertical="center" wrapText="1"/>
      <protection hidden="1"/>
    </xf>
    <xf numFmtId="0" fontId="22" fillId="0" borderId="68" xfId="0" applyFont="1" applyBorder="1" applyAlignment="1" applyProtection="1">
      <alignment horizontal="center" vertical="center" wrapText="1"/>
      <protection hidden="1"/>
    </xf>
    <xf numFmtId="165" fontId="24" fillId="0" borderId="68" xfId="0" applyNumberFormat="1" applyFont="1" applyBorder="1" applyAlignment="1" applyProtection="1">
      <alignment horizontal="center" vertical="center" wrapText="1"/>
      <protection hidden="1"/>
    </xf>
    <xf numFmtId="165" fontId="24" fillId="0" borderId="76" xfId="0" applyNumberFormat="1" applyFont="1" applyBorder="1" applyAlignment="1" applyProtection="1">
      <alignment horizontal="center" vertical="center" wrapText="1"/>
      <protection hidden="1"/>
    </xf>
    <xf numFmtId="0" fontId="22" fillId="12" borderId="50" xfId="0" applyFont="1" applyFill="1" applyBorder="1" applyAlignment="1" applyProtection="1">
      <alignment horizontal="center" vertical="center" wrapText="1"/>
      <protection hidden="1"/>
    </xf>
    <xf numFmtId="165" fontId="24" fillId="12" borderId="35" xfId="0" applyNumberFormat="1" applyFont="1" applyFill="1" applyBorder="1" applyAlignment="1" applyProtection="1">
      <alignment horizontal="center" vertical="center" wrapText="1"/>
      <protection hidden="1"/>
    </xf>
    <xf numFmtId="165" fontId="38" fillId="12" borderId="50" xfId="0" applyNumberFormat="1" applyFont="1" applyFill="1" applyBorder="1" applyAlignment="1" applyProtection="1">
      <alignment horizontal="center" vertical="center" wrapText="1"/>
      <protection hidden="1"/>
    </xf>
    <xf numFmtId="165" fontId="38" fillId="12" borderId="52" xfId="0" applyNumberFormat="1" applyFont="1" applyFill="1" applyBorder="1" applyAlignment="1" applyProtection="1">
      <alignment horizontal="center" vertical="center" wrapText="1"/>
      <protection hidden="1"/>
    </xf>
    <xf numFmtId="0" fontId="22" fillId="0" borderId="50" xfId="0" applyFont="1" applyBorder="1" applyAlignment="1" applyProtection="1">
      <alignment horizontal="center" vertical="center" wrapText="1"/>
      <protection hidden="1"/>
    </xf>
    <xf numFmtId="165" fontId="24" fillId="0" borderId="35" xfId="0" applyNumberFormat="1" applyFont="1" applyBorder="1" applyAlignment="1" applyProtection="1">
      <alignment horizontal="center" vertical="center" wrapText="1"/>
      <protection hidden="1"/>
    </xf>
    <xf numFmtId="165" fontId="24" fillId="0" borderId="52" xfId="0" applyNumberFormat="1" applyFont="1" applyBorder="1" applyAlignment="1" applyProtection="1">
      <alignment horizontal="center" vertical="center" wrapText="1"/>
      <protection hidden="1"/>
    </xf>
    <xf numFmtId="0" fontId="22" fillId="4" borderId="51" xfId="0" applyFont="1" applyFill="1" applyBorder="1" applyAlignment="1" applyProtection="1">
      <alignment vertical="center" wrapText="1"/>
      <protection hidden="1"/>
    </xf>
    <xf numFmtId="0" fontId="10" fillId="3" borderId="0" xfId="0" applyFont="1" applyFill="1" applyAlignment="1" applyProtection="1">
      <alignment vertical="center" wrapText="1"/>
      <protection hidden="1"/>
    </xf>
    <xf numFmtId="0" fontId="6" fillId="3" borderId="16" xfId="0" applyFont="1" applyFill="1" applyBorder="1" applyAlignment="1" applyProtection="1">
      <alignment vertical="center" wrapText="1"/>
      <protection hidden="1"/>
    </xf>
    <xf numFmtId="0" fontId="6" fillId="3" borderId="6" xfId="0" applyFont="1" applyFill="1" applyBorder="1" applyAlignment="1" applyProtection="1">
      <alignment vertical="center" wrapText="1"/>
      <protection hidden="1"/>
    </xf>
    <xf numFmtId="0" fontId="31" fillId="3" borderId="1" xfId="0" applyFont="1" applyFill="1" applyBorder="1" applyAlignment="1" applyProtection="1">
      <alignment vertical="center" wrapText="1"/>
      <protection hidden="1"/>
    </xf>
    <xf numFmtId="0" fontId="6" fillId="3" borderId="7" xfId="0" applyFont="1" applyFill="1" applyBorder="1" applyAlignment="1" applyProtection="1">
      <alignment vertical="center" wrapText="1"/>
      <protection hidden="1"/>
    </xf>
    <xf numFmtId="3" fontId="26" fillId="12" borderId="17" xfId="0" applyNumberFormat="1" applyFont="1" applyFill="1" applyBorder="1" applyAlignment="1" applyProtection="1">
      <alignment horizontal="center" vertical="center" wrapText="1"/>
      <protection hidden="1"/>
    </xf>
    <xf numFmtId="4" fontId="26" fillId="12" borderId="46" xfId="0" applyNumberFormat="1" applyFont="1" applyFill="1" applyBorder="1" applyAlignment="1" applyProtection="1">
      <alignment horizontal="center" vertical="center" wrapText="1"/>
      <protection hidden="1"/>
    </xf>
    <xf numFmtId="4" fontId="24" fillId="0" borderId="17" xfId="0" applyNumberFormat="1" applyFont="1" applyBorder="1" applyAlignment="1" applyProtection="1">
      <alignment horizontal="center" vertical="center" wrapText="1"/>
      <protection hidden="1"/>
    </xf>
    <xf numFmtId="4" fontId="24" fillId="0" borderId="18" xfId="1" applyNumberFormat="1" applyFont="1" applyBorder="1" applyAlignment="1" applyProtection="1">
      <alignment horizontal="center" vertical="center" wrapText="1"/>
      <protection hidden="1"/>
    </xf>
    <xf numFmtId="4" fontId="24" fillId="0" borderId="46" xfId="0" applyNumberFormat="1" applyFont="1" applyBorder="1" applyAlignment="1" applyProtection="1">
      <alignment horizontal="center" vertical="center" wrapText="1"/>
      <protection hidden="1"/>
    </xf>
    <xf numFmtId="0" fontId="24" fillId="22" borderId="58" xfId="0" applyFont="1" applyFill="1" applyBorder="1" applyAlignment="1" applyProtection="1">
      <alignment vertical="center" wrapText="1"/>
      <protection hidden="1"/>
    </xf>
    <xf numFmtId="0" fontId="26" fillId="12" borderId="15" xfId="0" applyFont="1" applyFill="1" applyBorder="1" applyAlignment="1" applyProtection="1">
      <alignment horizontal="center" vertical="center" wrapText="1"/>
      <protection hidden="1"/>
    </xf>
    <xf numFmtId="0" fontId="26" fillId="12" borderId="47" xfId="0" applyFont="1" applyFill="1" applyBorder="1" applyAlignment="1" applyProtection="1">
      <alignment horizontal="center" vertical="center" wrapText="1"/>
      <protection hidden="1"/>
    </xf>
    <xf numFmtId="0" fontId="24" fillId="12" borderId="15" xfId="0" applyFont="1" applyFill="1" applyBorder="1" applyAlignment="1" applyProtection="1">
      <alignment horizontal="center" vertical="center" wrapText="1"/>
      <protection hidden="1"/>
    </xf>
    <xf numFmtId="0" fontId="24" fillId="12" borderId="11" xfId="0" applyFont="1" applyFill="1" applyBorder="1" applyAlignment="1" applyProtection="1">
      <alignment horizontal="center" vertical="center" wrapText="1"/>
      <protection hidden="1"/>
    </xf>
    <xf numFmtId="4" fontId="24" fillId="0" borderId="47" xfId="0" applyNumberFormat="1" applyFont="1" applyBorder="1" applyAlignment="1" applyProtection="1">
      <alignment horizontal="center" vertical="center" wrapText="1"/>
      <protection hidden="1"/>
    </xf>
    <xf numFmtId="0" fontId="24" fillId="22" borderId="59" xfId="0" applyFont="1" applyFill="1" applyBorder="1" applyAlignment="1" applyProtection="1">
      <alignment vertical="center" wrapText="1"/>
      <protection hidden="1"/>
    </xf>
    <xf numFmtId="0" fontId="10" fillId="3" borderId="3" xfId="0" applyFont="1" applyFill="1" applyBorder="1" applyAlignment="1" applyProtection="1">
      <alignment vertical="center" wrapText="1"/>
      <protection hidden="1"/>
    </xf>
    <xf numFmtId="0" fontId="6" fillId="3" borderId="2" xfId="0" applyFont="1" applyFill="1" applyBorder="1" applyAlignment="1" applyProtection="1">
      <alignment vertical="center" wrapText="1"/>
      <protection hidden="1"/>
    </xf>
    <xf numFmtId="0" fontId="6" fillId="3" borderId="3" xfId="0" applyFont="1" applyFill="1" applyBorder="1" applyAlignment="1" applyProtection="1">
      <alignment vertical="center" wrapText="1"/>
      <protection hidden="1"/>
    </xf>
    <xf numFmtId="0" fontId="31" fillId="3" borderId="5" xfId="0" applyFont="1" applyFill="1" applyBorder="1" applyAlignment="1" applyProtection="1">
      <alignment vertical="center" wrapText="1"/>
      <protection hidden="1"/>
    </xf>
    <xf numFmtId="0" fontId="6" fillId="3" borderId="45" xfId="0" applyFont="1" applyFill="1" applyBorder="1" applyAlignment="1" applyProtection="1">
      <alignment vertical="center" wrapText="1"/>
      <protection hidden="1"/>
    </xf>
    <xf numFmtId="165" fontId="26" fillId="0" borderId="54" xfId="0" applyNumberFormat="1" applyFont="1" applyBorder="1" applyAlignment="1" applyProtection="1">
      <alignment horizontal="center" vertical="center" wrapText="1"/>
      <protection hidden="1"/>
    </xf>
    <xf numFmtId="165" fontId="26" fillId="0" borderId="12" xfId="0" applyNumberFormat="1" applyFont="1" applyBorder="1" applyAlignment="1" applyProtection="1">
      <alignment horizontal="center" vertical="center" wrapText="1"/>
      <protection hidden="1"/>
    </xf>
    <xf numFmtId="0" fontId="24" fillId="0" borderId="54" xfId="0" applyFont="1" applyBorder="1" applyAlignment="1" applyProtection="1">
      <alignment horizontal="center" vertical="center" wrapText="1"/>
      <protection hidden="1"/>
    </xf>
    <xf numFmtId="0" fontId="24" fillId="0" borderId="14" xfId="0" applyFont="1" applyBorder="1" applyAlignment="1" applyProtection="1">
      <alignment horizontal="center" vertical="center" wrapText="1"/>
      <protection hidden="1"/>
    </xf>
    <xf numFmtId="167" fontId="24" fillId="0" borderId="12" xfId="0" applyNumberFormat="1" applyFont="1" applyBorder="1" applyAlignment="1" applyProtection="1">
      <alignment horizontal="center" vertical="center" wrapText="1"/>
      <protection hidden="1"/>
    </xf>
    <xf numFmtId="0" fontId="24" fillId="5" borderId="27" xfId="0" applyFont="1" applyFill="1" applyBorder="1" applyAlignment="1" applyProtection="1">
      <alignment vertical="center" wrapText="1"/>
      <protection hidden="1"/>
    </xf>
    <xf numFmtId="165" fontId="38" fillId="12" borderId="38" xfId="0" applyNumberFormat="1" applyFont="1" applyFill="1" applyBorder="1" applyAlignment="1" applyProtection="1">
      <alignment horizontal="center" vertical="center" wrapText="1"/>
      <protection hidden="1"/>
    </xf>
    <xf numFmtId="165" fontId="38" fillId="12" borderId="55" xfId="0" applyNumberFormat="1" applyFont="1" applyFill="1" applyBorder="1" applyAlignment="1" applyProtection="1">
      <alignment horizontal="center" vertical="center" wrapText="1"/>
      <protection hidden="1"/>
    </xf>
    <xf numFmtId="0" fontId="24" fillId="0" borderId="38" xfId="0" applyFont="1" applyBorder="1" applyAlignment="1" applyProtection="1">
      <alignment horizontal="center" vertical="center" wrapText="1"/>
      <protection hidden="1"/>
    </xf>
    <xf numFmtId="167" fontId="24" fillId="0" borderId="55" xfId="0" applyNumberFormat="1" applyFont="1" applyBorder="1" applyAlignment="1" applyProtection="1">
      <alignment horizontal="center" vertical="center" wrapText="1"/>
      <protection hidden="1"/>
    </xf>
    <xf numFmtId="0" fontId="32" fillId="3" borderId="3" xfId="0" applyFont="1" applyFill="1" applyBorder="1" applyAlignment="1" applyProtection="1">
      <alignment vertical="center" wrapText="1"/>
      <protection hidden="1"/>
    </xf>
    <xf numFmtId="0" fontId="3" fillId="3" borderId="2" xfId="0" applyFont="1" applyFill="1" applyBorder="1" applyAlignment="1" applyProtection="1">
      <alignment vertical="center" wrapText="1"/>
      <protection hidden="1"/>
    </xf>
    <xf numFmtId="0" fontId="3" fillId="3" borderId="3" xfId="0" applyFont="1" applyFill="1" applyBorder="1" applyAlignment="1" applyProtection="1">
      <alignment vertical="center" wrapText="1"/>
      <protection hidden="1"/>
    </xf>
    <xf numFmtId="0" fontId="3" fillId="3" borderId="1" xfId="0" applyFont="1" applyFill="1" applyBorder="1" applyAlignment="1" applyProtection="1">
      <alignment vertical="center" wrapText="1"/>
      <protection hidden="1"/>
    </xf>
    <xf numFmtId="0" fontId="3" fillId="3" borderId="45" xfId="0" applyFont="1" applyFill="1" applyBorder="1" applyAlignment="1" applyProtection="1">
      <alignment vertical="center" wrapText="1"/>
      <protection hidden="1"/>
    </xf>
    <xf numFmtId="0" fontId="26" fillId="12" borderId="17" xfId="0" applyFont="1" applyFill="1" applyBorder="1" applyAlignment="1" applyProtection="1">
      <alignment horizontal="center" vertical="center" wrapText="1"/>
      <protection hidden="1"/>
    </xf>
    <xf numFmtId="0" fontId="26" fillId="12" borderId="19" xfId="0" applyFont="1" applyFill="1" applyBorder="1" applyAlignment="1" applyProtection="1">
      <alignment horizontal="center" vertical="center" wrapText="1"/>
      <protection hidden="1"/>
    </xf>
    <xf numFmtId="1" fontId="24" fillId="0" borderId="49" xfId="1" applyNumberFormat="1" applyFont="1" applyBorder="1" applyAlignment="1" applyProtection="1">
      <alignment horizontal="center" vertical="center" wrapText="1"/>
      <protection hidden="1"/>
    </xf>
    <xf numFmtId="166" fontId="24" fillId="0" borderId="46" xfId="0" applyNumberFormat="1" applyFont="1" applyBorder="1" applyAlignment="1" applyProtection="1">
      <alignment horizontal="center" vertical="center" wrapText="1"/>
      <protection hidden="1"/>
    </xf>
    <xf numFmtId="0" fontId="26" fillId="12" borderId="21" xfId="0" applyFont="1" applyFill="1" applyBorder="1" applyAlignment="1" applyProtection="1">
      <alignment horizontal="center" vertical="center" wrapText="1"/>
      <protection hidden="1"/>
    </xf>
    <xf numFmtId="0" fontId="26" fillId="12" borderId="23" xfId="0" applyFont="1" applyFill="1" applyBorder="1" applyAlignment="1" applyProtection="1">
      <alignment horizontal="center" vertical="center" wrapText="1"/>
      <protection hidden="1"/>
    </xf>
    <xf numFmtId="1" fontId="24" fillId="0" borderId="77" xfId="1" applyNumberFormat="1" applyFont="1" applyBorder="1" applyAlignment="1" applyProtection="1">
      <alignment horizontal="center" vertical="center" wrapText="1"/>
      <protection hidden="1"/>
    </xf>
    <xf numFmtId="165" fontId="24" fillId="0" borderId="67" xfId="0" applyNumberFormat="1" applyFont="1" applyBorder="1" applyAlignment="1" applyProtection="1">
      <alignment horizontal="center" vertical="center" wrapText="1"/>
      <protection hidden="1"/>
    </xf>
    <xf numFmtId="166" fontId="24" fillId="0" borderId="65" xfId="0" applyNumberFormat="1" applyFont="1" applyBorder="1" applyAlignment="1" applyProtection="1">
      <alignment horizontal="center" vertical="center" wrapText="1"/>
      <protection hidden="1"/>
    </xf>
    <xf numFmtId="9" fontId="24" fillId="11" borderId="5" xfId="1" applyFont="1" applyFill="1" applyBorder="1" applyAlignment="1" applyProtection="1">
      <alignment horizontal="center" vertical="center" wrapText="1"/>
      <protection hidden="1"/>
    </xf>
    <xf numFmtId="0" fontId="16" fillId="2" borderId="16" xfId="0" applyFont="1" applyFill="1" applyBorder="1" applyAlignment="1" applyProtection="1">
      <alignment vertical="center" wrapText="1"/>
      <protection hidden="1"/>
    </xf>
    <xf numFmtId="0" fontId="16" fillId="2" borderId="7" xfId="0" applyFont="1" applyFill="1" applyBorder="1" applyAlignment="1" applyProtection="1">
      <alignment vertical="center" wrapText="1"/>
      <protection hidden="1"/>
    </xf>
    <xf numFmtId="0" fontId="0" fillId="2" borderId="43" xfId="0" applyFill="1" applyBorder="1" applyAlignment="1" applyProtection="1">
      <alignment vertical="center" wrapText="1"/>
      <protection hidden="1"/>
    </xf>
    <xf numFmtId="0" fontId="0" fillId="2" borderId="0" xfId="0" applyFill="1" applyAlignment="1" applyProtection="1">
      <alignment vertical="center" wrapText="1"/>
      <protection hidden="1"/>
    </xf>
    <xf numFmtId="0" fontId="0" fillId="2" borderId="8" xfId="0" applyFill="1" applyBorder="1" applyAlignment="1" applyProtection="1">
      <alignment vertical="center" wrapText="1"/>
      <protection hidden="1"/>
    </xf>
    <xf numFmtId="0" fontId="0" fillId="2" borderId="7" xfId="0" applyFill="1" applyBorder="1" applyAlignment="1" applyProtection="1">
      <alignment vertical="center" wrapText="1"/>
      <protection hidden="1"/>
    </xf>
    <xf numFmtId="0" fontId="4" fillId="3" borderId="2" xfId="0" applyFont="1" applyFill="1" applyBorder="1" applyAlignment="1" applyProtection="1">
      <alignment vertical="center" wrapText="1"/>
      <protection hidden="1"/>
    </xf>
    <xf numFmtId="0" fontId="4" fillId="3" borderId="3" xfId="0" applyFont="1" applyFill="1" applyBorder="1" applyAlignment="1" applyProtection="1">
      <alignment vertical="center" wrapText="1"/>
      <protection hidden="1"/>
    </xf>
    <xf numFmtId="168" fontId="26" fillId="12" borderId="17" xfId="2" applyNumberFormat="1" applyFont="1" applyFill="1" applyBorder="1" applyAlignment="1" applyProtection="1">
      <alignment horizontal="center" vertical="center" wrapText="1"/>
      <protection hidden="1"/>
    </xf>
    <xf numFmtId="168" fontId="26" fillId="12" borderId="46" xfId="2" applyNumberFormat="1" applyFont="1" applyFill="1" applyBorder="1" applyAlignment="1" applyProtection="1">
      <alignment horizontal="center" vertical="center" wrapText="1"/>
      <protection hidden="1"/>
    </xf>
    <xf numFmtId="0" fontId="24" fillId="0" borderId="17" xfId="0" applyFont="1" applyBorder="1" applyAlignment="1" applyProtection="1">
      <alignment horizontal="center" vertical="center" wrapText="1"/>
      <protection hidden="1"/>
    </xf>
    <xf numFmtId="0" fontId="24" fillId="0" borderId="18" xfId="0" applyFont="1" applyBorder="1" applyAlignment="1" applyProtection="1">
      <alignment horizontal="center" vertical="center" wrapText="1"/>
      <protection hidden="1"/>
    </xf>
    <xf numFmtId="0" fontId="24" fillId="0" borderId="19" xfId="0" applyFont="1" applyBorder="1" applyAlignment="1" applyProtection="1">
      <alignment horizontal="center" vertical="center" wrapText="1"/>
      <protection hidden="1"/>
    </xf>
    <xf numFmtId="169" fontId="26" fillId="12" borderId="56" xfId="2" applyNumberFormat="1" applyFont="1" applyFill="1" applyBorder="1" applyAlignment="1" applyProtection="1">
      <alignment horizontal="center" vertical="center" wrapText="1"/>
      <protection hidden="1"/>
    </xf>
    <xf numFmtId="169" fontId="26" fillId="12" borderId="65" xfId="2" applyNumberFormat="1" applyFont="1" applyFill="1" applyBorder="1" applyAlignment="1" applyProtection="1">
      <alignment horizontal="center" vertical="center" wrapText="1"/>
      <protection hidden="1"/>
    </xf>
    <xf numFmtId="0" fontId="24" fillId="0" borderId="22" xfId="0" applyFont="1" applyBorder="1" applyAlignment="1" applyProtection="1">
      <alignment horizontal="center" vertical="center" wrapText="1"/>
      <protection hidden="1"/>
    </xf>
    <xf numFmtId="166" fontId="24" fillId="0" borderId="23" xfId="0" applyNumberFormat="1" applyFont="1" applyBorder="1" applyAlignment="1" applyProtection="1">
      <alignment horizontal="center" vertical="center" wrapText="1"/>
      <protection hidden="1"/>
    </xf>
    <xf numFmtId="0" fontId="16" fillId="3" borderId="3" xfId="0" applyFont="1" applyFill="1" applyBorder="1" applyAlignment="1" applyProtection="1">
      <alignment vertical="center" wrapText="1"/>
      <protection hidden="1"/>
    </xf>
    <xf numFmtId="0" fontId="0" fillId="3" borderId="3" xfId="0" applyFill="1" applyBorder="1" applyAlignment="1" applyProtection="1">
      <alignment vertical="center" wrapText="1"/>
      <protection hidden="1"/>
    </xf>
    <xf numFmtId="0" fontId="0" fillId="3" borderId="5" xfId="0" applyFill="1" applyBorder="1" applyAlignment="1" applyProtection="1">
      <alignment vertical="center" wrapText="1"/>
      <protection hidden="1"/>
    </xf>
    <xf numFmtId="0" fontId="0" fillId="3" borderId="0" xfId="0" applyFill="1" applyAlignment="1" applyProtection="1">
      <alignment vertical="center" wrapText="1"/>
      <protection hidden="1"/>
    </xf>
    <xf numFmtId="0" fontId="10" fillId="12" borderId="72" xfId="0" applyFont="1" applyFill="1" applyBorder="1" applyAlignment="1" applyProtection="1">
      <alignment horizontal="center" vertical="center" wrapText="1"/>
      <protection hidden="1"/>
    </xf>
    <xf numFmtId="0" fontId="10" fillId="12" borderId="69" xfId="0" applyFont="1" applyFill="1" applyBorder="1" applyAlignment="1" applyProtection="1">
      <alignment horizontal="center" vertical="center" wrapText="1"/>
      <protection hidden="1"/>
    </xf>
    <xf numFmtId="2" fontId="24" fillId="0" borderId="50" xfId="0" applyNumberFormat="1" applyFont="1" applyBorder="1" applyAlignment="1" applyProtection="1">
      <alignment horizontal="center" vertical="center" wrapText="1"/>
      <protection hidden="1"/>
    </xf>
    <xf numFmtId="0" fontId="24" fillId="12" borderId="35" xfId="0" applyFont="1" applyFill="1" applyBorder="1" applyAlignment="1" applyProtection="1">
      <alignment horizontal="center" vertical="center" wrapText="1"/>
      <protection hidden="1"/>
    </xf>
    <xf numFmtId="0" fontId="24" fillId="0" borderId="36" xfId="0" applyFont="1" applyBorder="1" applyAlignment="1" applyProtection="1">
      <alignment horizontal="center" vertical="center" wrapText="1"/>
      <protection hidden="1"/>
    </xf>
    <xf numFmtId="0" fontId="5" fillId="12" borderId="45" xfId="0" applyFont="1" applyFill="1" applyBorder="1" applyAlignment="1" applyProtection="1">
      <alignment vertical="center" wrapText="1"/>
      <protection hidden="1"/>
    </xf>
    <xf numFmtId="0" fontId="3" fillId="3" borderId="4" xfId="0" applyFont="1" applyFill="1" applyBorder="1" applyAlignment="1" applyProtection="1">
      <alignment vertical="center" wrapText="1"/>
      <protection hidden="1"/>
    </xf>
    <xf numFmtId="165" fontId="24" fillId="12" borderId="17" xfId="0" applyNumberFormat="1" applyFont="1" applyFill="1" applyBorder="1" applyAlignment="1" applyProtection="1">
      <alignment horizontal="center" vertical="center" wrapText="1"/>
      <protection hidden="1"/>
    </xf>
    <xf numFmtId="165" fontId="24" fillId="12" borderId="19" xfId="0" applyNumberFormat="1" applyFont="1" applyFill="1" applyBorder="1" applyAlignment="1" applyProtection="1">
      <alignment horizontal="center" vertical="center" wrapText="1"/>
      <protection hidden="1"/>
    </xf>
    <xf numFmtId="0" fontId="24" fillId="19" borderId="58" xfId="0" applyFont="1" applyFill="1" applyBorder="1" applyAlignment="1" applyProtection="1">
      <alignment vertical="center" wrapText="1"/>
      <protection hidden="1"/>
    </xf>
    <xf numFmtId="165" fontId="25" fillId="12" borderId="15" xfId="0" applyNumberFormat="1" applyFont="1" applyFill="1" applyBorder="1" applyAlignment="1" applyProtection="1">
      <alignment horizontal="center" vertical="center" wrapText="1"/>
      <protection hidden="1"/>
    </xf>
    <xf numFmtId="165" fontId="38" fillId="12" borderId="20" xfId="0" applyNumberFormat="1" applyFont="1" applyFill="1" applyBorder="1" applyAlignment="1" applyProtection="1">
      <alignment horizontal="center" vertical="center" wrapText="1"/>
      <protection hidden="1"/>
    </xf>
    <xf numFmtId="0" fontId="24" fillId="19" borderId="59" xfId="0" applyFont="1" applyFill="1" applyBorder="1" applyAlignment="1" applyProtection="1">
      <alignment vertical="center" wrapText="1"/>
      <protection hidden="1"/>
    </xf>
    <xf numFmtId="165" fontId="38" fillId="12" borderId="15" xfId="0" applyNumberFormat="1" applyFont="1" applyFill="1" applyBorder="1" applyAlignment="1" applyProtection="1">
      <alignment horizontal="center" vertical="center" wrapText="1"/>
      <protection hidden="1"/>
    </xf>
    <xf numFmtId="166" fontId="10" fillId="0" borderId="17" xfId="0" applyNumberFormat="1" applyFont="1" applyBorder="1" applyAlignment="1" applyProtection="1">
      <alignment horizontal="center" vertical="center" wrapText="1"/>
      <protection hidden="1"/>
    </xf>
    <xf numFmtId="166" fontId="10" fillId="0" borderId="19" xfId="0" applyNumberFormat="1" applyFont="1" applyBorder="1" applyAlignment="1" applyProtection="1">
      <alignment horizontal="center" vertical="center" wrapText="1"/>
      <protection hidden="1"/>
    </xf>
    <xf numFmtId="2" fontId="24" fillId="12" borderId="11" xfId="0" applyNumberFormat="1" applyFont="1" applyFill="1" applyBorder="1" applyAlignment="1" applyProtection="1">
      <alignment horizontal="center" vertical="center" wrapText="1"/>
      <protection hidden="1"/>
    </xf>
    <xf numFmtId="165" fontId="10" fillId="0" borderId="47" xfId="0" applyNumberFormat="1" applyFont="1" applyBorder="1" applyAlignment="1" applyProtection="1">
      <alignment horizontal="center" vertical="center" wrapText="1"/>
      <protection hidden="1"/>
    </xf>
    <xf numFmtId="0" fontId="24" fillId="0" borderId="11" xfId="0" applyFont="1" applyBorder="1" applyAlignment="1" applyProtection="1">
      <alignment horizontal="center" vertical="center" wrapText="1"/>
      <protection hidden="1"/>
    </xf>
    <xf numFmtId="4" fontId="24" fillId="0" borderId="48" xfId="0" applyNumberFormat="1" applyFont="1" applyBorder="1" applyAlignment="1" applyProtection="1">
      <alignment horizontal="center" vertical="center" wrapText="1"/>
      <protection hidden="1"/>
    </xf>
    <xf numFmtId="0" fontId="24" fillId="19" borderId="60" xfId="0" applyFont="1" applyFill="1" applyBorder="1" applyAlignment="1" applyProtection="1">
      <alignment vertical="center" wrapText="1"/>
      <protection hidden="1"/>
    </xf>
    <xf numFmtId="0" fontId="33" fillId="2" borderId="6" xfId="0" applyFont="1" applyFill="1" applyBorder="1" applyAlignment="1" applyProtection="1">
      <alignment vertical="center" wrapText="1"/>
      <protection hidden="1"/>
    </xf>
    <xf numFmtId="0" fontId="2" fillId="2" borderId="0" xfId="0" applyFont="1" applyFill="1" applyAlignment="1" applyProtection="1">
      <alignment vertical="center" wrapText="1"/>
      <protection hidden="1"/>
    </xf>
    <xf numFmtId="0" fontId="2" fillId="2" borderId="7" xfId="0" applyFont="1" applyFill="1" applyBorder="1" applyAlignment="1" applyProtection="1">
      <alignment vertical="center" wrapText="1"/>
      <protection hidden="1"/>
    </xf>
    <xf numFmtId="0" fontId="32" fillId="3" borderId="44" xfId="0" applyFont="1" applyFill="1" applyBorder="1" applyAlignment="1" applyProtection="1">
      <alignment vertical="center" wrapText="1"/>
      <protection hidden="1"/>
    </xf>
    <xf numFmtId="165" fontId="26" fillId="12" borderId="17" xfId="0" applyNumberFormat="1" applyFont="1" applyFill="1" applyBorder="1" applyAlignment="1" applyProtection="1">
      <alignment horizontal="center" vertical="center" wrapText="1"/>
      <protection hidden="1"/>
    </xf>
    <xf numFmtId="165" fontId="26" fillId="12" borderId="19" xfId="0" applyNumberFormat="1" applyFont="1" applyFill="1" applyBorder="1" applyAlignment="1" applyProtection="1">
      <alignment horizontal="center" vertical="center" wrapText="1"/>
      <protection hidden="1"/>
    </xf>
    <xf numFmtId="4" fontId="24" fillId="12" borderId="46" xfId="0" applyNumberFormat="1" applyFont="1" applyFill="1" applyBorder="1" applyAlignment="1" applyProtection="1">
      <alignment horizontal="center" vertical="center" wrapText="1"/>
      <protection hidden="1"/>
    </xf>
    <xf numFmtId="1" fontId="24" fillId="0" borderId="27" xfId="1" applyNumberFormat="1" applyFont="1" applyBorder="1" applyAlignment="1" applyProtection="1">
      <alignment horizontal="center" vertical="center" wrapText="1"/>
      <protection hidden="1"/>
    </xf>
    <xf numFmtId="4" fontId="24" fillId="12" borderId="47" xfId="0" applyNumberFormat="1" applyFont="1" applyFill="1" applyBorder="1" applyAlignment="1" applyProtection="1">
      <alignment horizontal="center" vertical="center" wrapText="1"/>
      <protection hidden="1"/>
    </xf>
    <xf numFmtId="165" fontId="23" fillId="12" borderId="15" xfId="0" applyNumberFormat="1" applyFont="1" applyFill="1" applyBorder="1" applyAlignment="1" applyProtection="1">
      <alignment horizontal="center" vertical="center" wrapText="1"/>
      <protection hidden="1"/>
    </xf>
    <xf numFmtId="165" fontId="23" fillId="12" borderId="20" xfId="0" applyNumberFormat="1" applyFont="1" applyFill="1" applyBorder="1" applyAlignment="1" applyProtection="1">
      <alignment horizontal="center" vertical="center" wrapText="1"/>
      <protection hidden="1"/>
    </xf>
    <xf numFmtId="165" fontId="24" fillId="12" borderId="27" xfId="0" applyNumberFormat="1" applyFont="1" applyFill="1" applyBorder="1" applyAlignment="1" applyProtection="1">
      <alignment horizontal="center" vertical="center" wrapText="1"/>
      <protection hidden="1"/>
    </xf>
    <xf numFmtId="165" fontId="24" fillId="12" borderId="11" xfId="0" applyNumberFormat="1" applyFont="1" applyFill="1" applyBorder="1" applyAlignment="1" applyProtection="1">
      <alignment horizontal="center" vertical="center" wrapText="1"/>
      <protection hidden="1"/>
    </xf>
    <xf numFmtId="165" fontId="23" fillId="12" borderId="21" xfId="0" applyNumberFormat="1" applyFont="1" applyFill="1" applyBorder="1" applyAlignment="1" applyProtection="1">
      <alignment horizontal="center" vertical="center" wrapText="1"/>
      <protection hidden="1"/>
    </xf>
    <xf numFmtId="165" fontId="23" fillId="12" borderId="23" xfId="0" applyNumberFormat="1" applyFont="1" applyFill="1" applyBorder="1" applyAlignment="1" applyProtection="1">
      <alignment horizontal="center" vertical="center" wrapText="1"/>
      <protection hidden="1"/>
    </xf>
    <xf numFmtId="165" fontId="24" fillId="12" borderId="28" xfId="0" applyNumberFormat="1" applyFont="1" applyFill="1" applyBorder="1" applyAlignment="1" applyProtection="1">
      <alignment horizontal="center" vertical="center" wrapText="1"/>
      <protection hidden="1"/>
    </xf>
    <xf numFmtId="165" fontId="24" fillId="12" borderId="22" xfId="0" applyNumberFormat="1" applyFont="1" applyFill="1" applyBorder="1" applyAlignment="1" applyProtection="1">
      <alignment horizontal="center" vertical="center" wrapText="1"/>
      <protection hidden="1"/>
    </xf>
    <xf numFmtId="4" fontId="24" fillId="12" borderId="48" xfId="0" applyNumberFormat="1" applyFont="1" applyFill="1" applyBorder="1" applyAlignment="1" applyProtection="1">
      <alignment horizontal="center" vertical="center" wrapText="1"/>
      <protection hidden="1"/>
    </xf>
    <xf numFmtId="0" fontId="24" fillId="22" borderId="60" xfId="0" applyFont="1" applyFill="1" applyBorder="1" applyAlignment="1" applyProtection="1">
      <alignment vertical="center" wrapText="1"/>
      <protection hidden="1"/>
    </xf>
    <xf numFmtId="0" fontId="32" fillId="3" borderId="6" xfId="0" applyFont="1" applyFill="1" applyBorder="1" applyAlignment="1" applyProtection="1">
      <alignment vertical="center" wrapText="1"/>
      <protection hidden="1"/>
    </xf>
    <xf numFmtId="0" fontId="3" fillId="3" borderId="7" xfId="0" applyFont="1" applyFill="1" applyBorder="1" applyAlignment="1" applyProtection="1">
      <alignment vertical="center" wrapText="1"/>
      <protection hidden="1"/>
    </xf>
    <xf numFmtId="2" fontId="26" fillId="12" borderId="50" xfId="0" applyNumberFormat="1" applyFont="1" applyFill="1" applyBorder="1" applyAlignment="1" applyProtection="1">
      <alignment horizontal="center" vertical="center" wrapText="1"/>
      <protection hidden="1"/>
    </xf>
    <xf numFmtId="0" fontId="26" fillId="12" borderId="52" xfId="0" applyFont="1" applyFill="1" applyBorder="1" applyAlignment="1" applyProtection="1">
      <alignment horizontal="center" vertical="center" wrapText="1"/>
      <protection hidden="1"/>
    </xf>
    <xf numFmtId="1" fontId="24" fillId="0" borderId="50" xfId="1" applyNumberFormat="1" applyFont="1" applyBorder="1" applyAlignment="1" applyProtection="1">
      <alignment horizontal="center" vertical="center" wrapText="1"/>
      <protection hidden="1"/>
    </xf>
    <xf numFmtId="0" fontId="24" fillId="12" borderId="52" xfId="0" applyFont="1" applyFill="1" applyBorder="1" applyAlignment="1" applyProtection="1">
      <alignment horizontal="center" vertical="center" wrapText="1"/>
      <protection hidden="1"/>
    </xf>
    <xf numFmtId="9" fontId="24" fillId="6" borderId="4" xfId="1" applyFont="1" applyFill="1" applyBorder="1" applyAlignment="1" applyProtection="1">
      <alignment horizontal="center" vertical="center" wrapText="1"/>
      <protection hidden="1"/>
    </xf>
    <xf numFmtId="0" fontId="22" fillId="0" borderId="3" xfId="0" applyFont="1" applyBorder="1" applyAlignment="1" applyProtection="1">
      <alignment horizontal="left" vertical="center" wrapText="1"/>
      <protection hidden="1"/>
    </xf>
    <xf numFmtId="0" fontId="16" fillId="9" borderId="2" xfId="0" applyFont="1" applyFill="1" applyBorder="1" applyAlignment="1" applyProtection="1">
      <alignment vertical="center" wrapText="1"/>
      <protection hidden="1"/>
    </xf>
    <xf numFmtId="0" fontId="16" fillId="9" borderId="3" xfId="0" applyFont="1" applyFill="1" applyBorder="1" applyAlignment="1" applyProtection="1">
      <alignment vertical="center" wrapText="1"/>
      <protection hidden="1"/>
    </xf>
    <xf numFmtId="0" fontId="0" fillId="9" borderId="16" xfId="0" applyFill="1" applyBorder="1" applyAlignment="1" applyProtection="1">
      <alignment vertical="center" wrapText="1"/>
      <protection hidden="1"/>
    </xf>
    <xf numFmtId="0" fontId="0" fillId="9" borderId="6" xfId="0" applyFill="1" applyBorder="1" applyAlignment="1" applyProtection="1">
      <alignment vertical="center" wrapText="1"/>
      <protection hidden="1"/>
    </xf>
    <xf numFmtId="0" fontId="0" fillId="9" borderId="1" xfId="0" applyFill="1" applyBorder="1" applyAlignment="1" applyProtection="1">
      <alignment vertical="center" wrapText="1"/>
      <protection hidden="1"/>
    </xf>
    <xf numFmtId="0" fontId="0" fillId="9" borderId="3" xfId="0" applyFill="1" applyBorder="1" applyAlignment="1" applyProtection="1">
      <alignment vertical="center" wrapText="1"/>
      <protection hidden="1"/>
    </xf>
    <xf numFmtId="0" fontId="32" fillId="3" borderId="2" xfId="0" applyFont="1" applyFill="1" applyBorder="1" applyAlignment="1" applyProtection="1">
      <alignment vertical="center" wrapText="1"/>
      <protection hidden="1"/>
    </xf>
    <xf numFmtId="0" fontId="32" fillId="3" borderId="4" xfId="0" applyFont="1" applyFill="1" applyBorder="1" applyAlignment="1" applyProtection="1">
      <alignment vertical="center" wrapText="1"/>
      <protection hidden="1"/>
    </xf>
    <xf numFmtId="0" fontId="3" fillId="3" borderId="5" xfId="0" applyFont="1" applyFill="1" applyBorder="1" applyAlignment="1" applyProtection="1">
      <alignment vertical="center" wrapText="1"/>
      <protection hidden="1"/>
    </xf>
    <xf numFmtId="0" fontId="26" fillId="12" borderId="50" xfId="0" applyFont="1" applyFill="1" applyBorder="1" applyAlignment="1" applyProtection="1">
      <alignment horizontal="center" vertical="center" wrapText="1"/>
      <protection hidden="1"/>
    </xf>
    <xf numFmtId="2" fontId="24" fillId="12" borderId="50" xfId="0" applyNumberFormat="1" applyFont="1" applyFill="1" applyBorder="1" applyAlignment="1" applyProtection="1">
      <alignment horizontal="center" vertical="center" wrapText="1"/>
      <protection hidden="1"/>
    </xf>
    <xf numFmtId="0" fontId="22" fillId="9" borderId="27" xfId="0" applyFont="1" applyFill="1" applyBorder="1" applyAlignment="1" applyProtection="1">
      <alignment vertical="center" wrapText="1"/>
      <protection hidden="1"/>
    </xf>
    <xf numFmtId="0" fontId="10" fillId="3" borderId="2" xfId="0" applyFont="1" applyFill="1" applyBorder="1" applyAlignment="1" applyProtection="1">
      <alignment vertical="center" wrapText="1"/>
      <protection hidden="1"/>
    </xf>
    <xf numFmtId="0" fontId="6" fillId="3" borderId="4" xfId="0" applyFont="1" applyFill="1" applyBorder="1" applyAlignment="1" applyProtection="1">
      <alignment vertical="center" wrapText="1"/>
      <protection hidden="1"/>
    </xf>
    <xf numFmtId="0" fontId="26" fillId="12" borderId="36" xfId="0" applyFont="1" applyFill="1" applyBorder="1" applyAlignment="1" applyProtection="1">
      <alignment horizontal="center" vertical="center" wrapText="1"/>
      <protection hidden="1"/>
    </xf>
    <xf numFmtId="2" fontId="24" fillId="12" borderId="56" xfId="0" applyNumberFormat="1" applyFont="1" applyFill="1" applyBorder="1" applyAlignment="1" applyProtection="1">
      <alignment horizontal="center" vertical="center" wrapText="1"/>
      <protection hidden="1"/>
    </xf>
    <xf numFmtId="0" fontId="24" fillId="12" borderId="67" xfId="0" applyFont="1" applyFill="1" applyBorder="1" applyAlignment="1" applyProtection="1">
      <alignment horizontal="center" vertical="center" wrapText="1"/>
      <protection hidden="1"/>
    </xf>
    <xf numFmtId="0" fontId="24" fillId="12" borderId="65" xfId="0" applyFont="1" applyFill="1" applyBorder="1" applyAlignment="1" applyProtection="1">
      <alignment horizontal="center" vertical="center" wrapText="1"/>
      <protection hidden="1"/>
    </xf>
    <xf numFmtId="0" fontId="24" fillId="21" borderId="4" xfId="0" applyFont="1" applyFill="1" applyBorder="1" applyAlignment="1" applyProtection="1">
      <alignment vertical="center" wrapText="1"/>
      <protection hidden="1"/>
    </xf>
    <xf numFmtId="0" fontId="26" fillId="0" borderId="51" xfId="0" applyFont="1" applyBorder="1" applyAlignment="1" applyProtection="1">
      <alignment horizontal="center" vertical="center" wrapText="1"/>
      <protection hidden="1"/>
    </xf>
    <xf numFmtId="0" fontId="26" fillId="0" borderId="52" xfId="0" applyFont="1" applyBorder="1" applyAlignment="1" applyProtection="1">
      <alignment horizontal="center" vertical="center" wrapText="1"/>
      <protection hidden="1"/>
    </xf>
    <xf numFmtId="0" fontId="24" fillId="0" borderId="52" xfId="0" applyFont="1" applyBorder="1" applyAlignment="1" applyProtection="1">
      <alignment horizontal="center" vertical="center" wrapText="1"/>
      <protection hidden="1"/>
    </xf>
    <xf numFmtId="9" fontId="24" fillId="11" borderId="53" xfId="1" quotePrefix="1" applyFont="1" applyFill="1" applyBorder="1" applyAlignment="1" applyProtection="1">
      <alignment horizontal="center" vertical="center" wrapText="1"/>
      <protection hidden="1"/>
    </xf>
    <xf numFmtId="0" fontId="24" fillId="17" borderId="27" xfId="0" applyFont="1" applyFill="1" applyBorder="1" applyAlignment="1" applyProtection="1">
      <alignment vertical="center" wrapText="1"/>
      <protection hidden="1"/>
    </xf>
    <xf numFmtId="0" fontId="16" fillId="2" borderId="2" xfId="0" applyFont="1" applyFill="1" applyBorder="1" applyAlignment="1" applyProtection="1">
      <alignment vertical="center" wrapText="1"/>
      <protection hidden="1"/>
    </xf>
    <xf numFmtId="0" fontId="16" fillId="2" borderId="4" xfId="0" applyFont="1" applyFill="1" applyBorder="1" applyAlignment="1" applyProtection="1">
      <alignment vertical="center" wrapText="1"/>
      <protection hidden="1"/>
    </xf>
    <xf numFmtId="0" fontId="0" fillId="2" borderId="2" xfId="0" applyFill="1" applyBorder="1" applyAlignment="1" applyProtection="1">
      <alignment vertical="center" wrapText="1"/>
      <protection hidden="1"/>
    </xf>
    <xf numFmtId="0" fontId="0" fillId="2" borderId="3" xfId="0" applyFill="1" applyBorder="1" applyAlignment="1" applyProtection="1">
      <alignment vertical="center" wrapText="1"/>
      <protection hidden="1"/>
    </xf>
    <xf numFmtId="0" fontId="0" fillId="2" borderId="1" xfId="0" applyFill="1" applyBorder="1" applyAlignment="1" applyProtection="1">
      <alignment vertical="center" wrapText="1"/>
      <protection hidden="1"/>
    </xf>
    <xf numFmtId="0" fontId="0" fillId="2" borderId="4" xfId="0" applyFill="1" applyBorder="1" applyAlignment="1" applyProtection="1">
      <alignment vertical="center" wrapText="1"/>
      <protection hidden="1"/>
    </xf>
    <xf numFmtId="0" fontId="24" fillId="8" borderId="27" xfId="0" applyFont="1" applyFill="1" applyBorder="1" applyAlignment="1" applyProtection="1">
      <alignment vertical="center" wrapText="1"/>
      <protection hidden="1"/>
    </xf>
    <xf numFmtId="0" fontId="0" fillId="2" borderId="16" xfId="0" applyFill="1" applyBorder="1" applyAlignment="1" applyProtection="1">
      <alignment vertical="center" wrapText="1"/>
      <protection hidden="1"/>
    </xf>
    <xf numFmtId="0" fontId="0" fillId="2" borderId="6" xfId="0" applyFill="1" applyBorder="1" applyAlignment="1" applyProtection="1">
      <alignment vertical="center" wrapText="1"/>
      <protection hidden="1"/>
    </xf>
    <xf numFmtId="0" fontId="32" fillId="3" borderId="42" xfId="0" applyFont="1" applyFill="1" applyBorder="1" applyAlignment="1" applyProtection="1">
      <alignment vertical="center" wrapText="1"/>
      <protection hidden="1"/>
    </xf>
    <xf numFmtId="0" fontId="32" fillId="3" borderId="45" xfId="0" applyFont="1" applyFill="1" applyBorder="1" applyAlignment="1" applyProtection="1">
      <alignment vertical="center" wrapText="1"/>
      <protection hidden="1"/>
    </xf>
    <xf numFmtId="0" fontId="3" fillId="11" borderId="45" xfId="0" applyFont="1" applyFill="1" applyBorder="1" applyAlignment="1" applyProtection="1">
      <alignment vertical="center" wrapText="1"/>
      <protection hidden="1"/>
    </xf>
    <xf numFmtId="1" fontId="24" fillId="12" borderId="46" xfId="0" applyNumberFormat="1" applyFont="1" applyFill="1" applyBorder="1" applyAlignment="1" applyProtection="1">
      <alignment horizontal="center" vertical="center" wrapText="1"/>
      <protection hidden="1"/>
    </xf>
    <xf numFmtId="0" fontId="24" fillId="9" borderId="49" xfId="0" applyFont="1" applyFill="1" applyBorder="1" applyAlignment="1" applyProtection="1">
      <alignment vertical="center" wrapText="1"/>
      <protection hidden="1"/>
    </xf>
    <xf numFmtId="165" fontId="10" fillId="12" borderId="21" xfId="0" applyNumberFormat="1" applyFont="1" applyFill="1" applyBorder="1" applyAlignment="1" applyProtection="1">
      <alignment horizontal="center" vertical="center" wrapText="1"/>
      <protection hidden="1"/>
    </xf>
    <xf numFmtId="165" fontId="10" fillId="12" borderId="23" xfId="0" applyNumberFormat="1" applyFont="1" applyFill="1" applyBorder="1" applyAlignment="1" applyProtection="1">
      <alignment horizontal="center" vertical="center" wrapText="1"/>
      <protection hidden="1"/>
    </xf>
    <xf numFmtId="1" fontId="24" fillId="0" borderId="28" xfId="1" applyNumberFormat="1" applyFont="1" applyBorder="1" applyAlignment="1" applyProtection="1">
      <alignment horizontal="center" vertical="center" wrapText="1"/>
      <protection hidden="1"/>
    </xf>
    <xf numFmtId="1" fontId="24" fillId="12" borderId="48" xfId="0" applyNumberFormat="1" applyFont="1" applyFill="1" applyBorder="1" applyAlignment="1" applyProtection="1">
      <alignment horizontal="center" vertical="center" wrapText="1"/>
      <protection hidden="1"/>
    </xf>
    <xf numFmtId="0" fontId="24" fillId="9" borderId="28" xfId="0" applyFont="1" applyFill="1" applyBorder="1" applyAlignment="1" applyProtection="1">
      <alignment vertical="center" wrapText="1"/>
      <protection hidden="1"/>
    </xf>
    <xf numFmtId="165" fontId="10" fillId="0" borderId="54" xfId="0" applyNumberFormat="1" applyFont="1" applyBorder="1" applyAlignment="1" applyProtection="1">
      <alignment horizontal="center" vertical="center" wrapText="1"/>
      <protection hidden="1"/>
    </xf>
    <xf numFmtId="165" fontId="10" fillId="0" borderId="74" xfId="0" applyNumberFormat="1" applyFont="1" applyBorder="1" applyAlignment="1" applyProtection="1">
      <alignment horizontal="center" vertical="center" wrapText="1"/>
      <protection hidden="1"/>
    </xf>
    <xf numFmtId="2" fontId="24" fillId="12" borderId="73" xfId="0" applyNumberFormat="1" applyFont="1" applyFill="1" applyBorder="1" applyAlignment="1" applyProtection="1">
      <alignment horizontal="center" vertical="center" wrapText="1"/>
      <protection hidden="1"/>
    </xf>
    <xf numFmtId="0" fontId="24" fillId="12" borderId="12" xfId="0" applyFont="1" applyFill="1" applyBorder="1" applyAlignment="1" applyProtection="1">
      <alignment horizontal="center" vertical="center" wrapText="1"/>
      <protection hidden="1"/>
    </xf>
    <xf numFmtId="0" fontId="24" fillId="9" borderId="58" xfId="0" applyFont="1" applyFill="1" applyBorder="1" applyAlignment="1" applyProtection="1">
      <alignment vertical="center" wrapText="1"/>
      <protection hidden="1"/>
    </xf>
    <xf numFmtId="2" fontId="24" fillId="12" borderId="27" xfId="0" applyNumberFormat="1" applyFont="1" applyFill="1" applyBorder="1" applyAlignment="1" applyProtection="1">
      <alignment horizontal="center" vertical="center" wrapText="1"/>
      <protection hidden="1"/>
    </xf>
    <xf numFmtId="0" fontId="24" fillId="12" borderId="47" xfId="0" applyFont="1" applyFill="1" applyBorder="1" applyAlignment="1" applyProtection="1">
      <alignment horizontal="center" vertical="center" wrapText="1"/>
      <protection hidden="1"/>
    </xf>
    <xf numFmtId="0" fontId="24" fillId="9" borderId="59" xfId="0" applyFont="1" applyFill="1" applyBorder="1" applyAlignment="1" applyProtection="1">
      <alignment vertical="center" wrapText="1"/>
      <protection hidden="1"/>
    </xf>
    <xf numFmtId="2" fontId="24" fillId="12" borderId="28" xfId="0" applyNumberFormat="1" applyFont="1" applyFill="1" applyBorder="1" applyAlignment="1" applyProtection="1">
      <alignment horizontal="center" vertical="center" wrapText="1"/>
      <protection hidden="1"/>
    </xf>
    <xf numFmtId="0" fontId="24" fillId="12" borderId="22" xfId="0" applyFont="1" applyFill="1" applyBorder="1" applyAlignment="1" applyProtection="1">
      <alignment horizontal="center" vertical="center" wrapText="1"/>
      <protection hidden="1"/>
    </xf>
    <xf numFmtId="0" fontId="24" fillId="12" borderId="48" xfId="0" applyFont="1" applyFill="1" applyBorder="1" applyAlignment="1" applyProtection="1">
      <alignment horizontal="center" vertical="center" wrapText="1"/>
      <protection hidden="1"/>
    </xf>
    <xf numFmtId="0" fontId="24" fillId="9" borderId="60" xfId="0" applyFont="1" applyFill="1" applyBorder="1" applyAlignment="1" applyProtection="1">
      <alignment vertical="center" wrapText="1"/>
      <protection hidden="1"/>
    </xf>
    <xf numFmtId="0" fontId="32" fillId="3" borderId="16" xfId="0" applyFont="1" applyFill="1" applyBorder="1" applyAlignment="1" applyProtection="1">
      <alignment vertical="center" wrapText="1"/>
      <protection hidden="1"/>
    </xf>
    <xf numFmtId="0" fontId="32" fillId="3" borderId="7" xfId="0" applyFont="1" applyFill="1" applyBorder="1" applyAlignment="1" applyProtection="1">
      <alignment vertical="center" wrapText="1"/>
      <protection hidden="1"/>
    </xf>
    <xf numFmtId="0" fontId="3" fillId="3" borderId="16" xfId="0" applyFont="1" applyFill="1" applyBorder="1" applyAlignment="1" applyProtection="1">
      <alignment vertical="center" wrapText="1"/>
      <protection hidden="1"/>
    </xf>
    <xf numFmtId="0" fontId="3" fillId="3" borderId="6" xfId="0" applyFont="1" applyFill="1" applyBorder="1" applyAlignment="1" applyProtection="1">
      <alignment vertical="center" wrapText="1"/>
      <protection hidden="1"/>
    </xf>
    <xf numFmtId="165" fontId="26" fillId="26" borderId="54" xfId="0" applyNumberFormat="1" applyFont="1" applyFill="1" applyBorder="1" applyAlignment="1" applyProtection="1">
      <alignment horizontal="center" vertical="center" wrapText="1"/>
      <protection hidden="1"/>
    </xf>
    <xf numFmtId="165" fontId="26" fillId="26" borderId="74" xfId="0" applyNumberFormat="1" applyFont="1" applyFill="1" applyBorder="1" applyAlignment="1" applyProtection="1">
      <alignment horizontal="center" vertical="center" wrapText="1"/>
      <protection hidden="1"/>
    </xf>
    <xf numFmtId="2" fontId="24" fillId="12" borderId="54" xfId="0" applyNumberFormat="1" applyFont="1" applyFill="1" applyBorder="1" applyAlignment="1" applyProtection="1">
      <alignment horizontal="center" vertical="center" wrapText="1"/>
      <protection hidden="1"/>
    </xf>
    <xf numFmtId="1" fontId="24" fillId="0" borderId="14" xfId="1" applyNumberFormat="1" applyFont="1" applyBorder="1" applyAlignment="1" applyProtection="1">
      <alignment horizontal="center" vertical="center" wrapText="1"/>
      <protection hidden="1"/>
    </xf>
    <xf numFmtId="1" fontId="24" fillId="0" borderId="12" xfId="1" applyNumberFormat="1" applyFont="1" applyBorder="1" applyAlignment="1" applyProtection="1">
      <alignment horizontal="center" vertical="center" wrapText="1"/>
      <protection hidden="1"/>
    </xf>
    <xf numFmtId="0" fontId="24" fillId="16" borderId="62" xfId="0" applyFont="1" applyFill="1" applyBorder="1" applyAlignment="1" applyProtection="1">
      <alignment vertical="center" wrapText="1"/>
      <protection hidden="1"/>
    </xf>
    <xf numFmtId="2" fontId="24" fillId="12" borderId="15" xfId="0" applyNumberFormat="1" applyFont="1" applyFill="1" applyBorder="1" applyAlignment="1" applyProtection="1">
      <alignment horizontal="center" vertical="center" wrapText="1"/>
      <protection hidden="1"/>
    </xf>
    <xf numFmtId="1" fontId="24" fillId="0" borderId="11" xfId="1" applyNumberFormat="1" applyFont="1" applyBorder="1" applyAlignment="1" applyProtection="1">
      <alignment horizontal="center" vertical="center" wrapText="1"/>
      <protection hidden="1"/>
    </xf>
    <xf numFmtId="1" fontId="24" fillId="0" borderId="47" xfId="1" applyNumberFormat="1" applyFont="1" applyBorder="1" applyAlignment="1" applyProtection="1">
      <alignment horizontal="center" vertical="center" wrapText="1"/>
      <protection hidden="1"/>
    </xf>
    <xf numFmtId="0" fontId="24" fillId="16" borderId="59" xfId="0" applyFont="1" applyFill="1" applyBorder="1" applyAlignment="1" applyProtection="1">
      <alignment vertical="center" wrapText="1"/>
      <protection hidden="1"/>
    </xf>
    <xf numFmtId="1" fontId="24" fillId="12" borderId="11" xfId="1" applyNumberFormat="1" applyFont="1" applyFill="1" applyBorder="1" applyAlignment="1" applyProtection="1">
      <alignment horizontal="center" vertical="center" wrapText="1"/>
      <protection hidden="1"/>
    </xf>
    <xf numFmtId="1" fontId="24" fillId="12" borderId="47" xfId="1" applyNumberFormat="1" applyFont="1" applyFill="1" applyBorder="1" applyAlignment="1" applyProtection="1">
      <alignment horizontal="center" vertical="center" wrapText="1"/>
      <protection hidden="1"/>
    </xf>
    <xf numFmtId="0" fontId="22" fillId="16" borderId="59" xfId="0" applyFont="1" applyFill="1" applyBorder="1" applyAlignment="1" applyProtection="1">
      <alignment vertical="center" wrapText="1"/>
      <protection hidden="1"/>
    </xf>
    <xf numFmtId="2" fontId="24" fillId="12" borderId="21" xfId="0" applyNumberFormat="1" applyFont="1" applyFill="1" applyBorder="1" applyAlignment="1" applyProtection="1">
      <alignment horizontal="center" vertical="center" wrapText="1"/>
      <protection hidden="1"/>
    </xf>
    <xf numFmtId="165" fontId="24" fillId="12" borderId="48" xfId="0" applyNumberFormat="1" applyFont="1" applyFill="1" applyBorder="1" applyAlignment="1" applyProtection="1">
      <alignment horizontal="center" vertical="center" wrapText="1"/>
      <protection hidden="1"/>
    </xf>
    <xf numFmtId="0" fontId="24" fillId="16" borderId="60" xfId="0" applyFont="1" applyFill="1" applyBorder="1" applyAlignment="1" applyProtection="1">
      <alignment vertical="center" wrapText="1"/>
      <protection hidden="1"/>
    </xf>
    <xf numFmtId="0" fontId="0" fillId="2" borderId="5" xfId="0" applyFill="1" applyBorder="1" applyAlignment="1" applyProtection="1">
      <alignment vertical="center" wrapText="1"/>
      <protection hidden="1"/>
    </xf>
    <xf numFmtId="165" fontId="26" fillId="0" borderId="46" xfId="0" applyNumberFormat="1" applyFont="1" applyBorder="1" applyAlignment="1" applyProtection="1">
      <alignment horizontal="center" vertical="center" wrapText="1"/>
      <protection hidden="1"/>
    </xf>
    <xf numFmtId="2" fontId="24" fillId="12" borderId="17" xfId="0" applyNumberFormat="1" applyFont="1" applyFill="1" applyBorder="1" applyAlignment="1" applyProtection="1">
      <alignment horizontal="center" vertical="center" wrapText="1"/>
      <protection hidden="1"/>
    </xf>
    <xf numFmtId="0" fontId="24" fillId="12" borderId="18" xfId="0" applyFont="1" applyFill="1" applyBorder="1" applyAlignment="1" applyProtection="1">
      <alignment horizontal="center" vertical="center" wrapText="1"/>
      <protection hidden="1"/>
    </xf>
    <xf numFmtId="165" fontId="24" fillId="12" borderId="46" xfId="0" applyNumberFormat="1" applyFont="1" applyFill="1" applyBorder="1" applyAlignment="1" applyProtection="1">
      <alignment horizontal="center" vertical="center" wrapText="1"/>
      <protection hidden="1"/>
    </xf>
    <xf numFmtId="0" fontId="24" fillId="18" borderId="58" xfId="0" applyFont="1" applyFill="1" applyBorder="1" applyAlignment="1" applyProtection="1">
      <alignment vertical="center" wrapText="1"/>
      <protection hidden="1"/>
    </xf>
    <xf numFmtId="165" fontId="26" fillId="12" borderId="47" xfId="0" applyNumberFormat="1" applyFont="1" applyFill="1" applyBorder="1" applyAlignment="1" applyProtection="1">
      <alignment horizontal="center" vertical="center" wrapText="1"/>
      <protection hidden="1"/>
    </xf>
    <xf numFmtId="165" fontId="24" fillId="12" borderId="47" xfId="0" applyNumberFormat="1" applyFont="1" applyFill="1" applyBorder="1" applyAlignment="1" applyProtection="1">
      <alignment horizontal="center" vertical="center" wrapText="1"/>
      <protection hidden="1"/>
    </xf>
    <xf numFmtId="0" fontId="24" fillId="18" borderId="59" xfId="0" applyFont="1" applyFill="1" applyBorder="1" applyAlignment="1" applyProtection="1">
      <alignment vertical="center" wrapText="1"/>
      <protection hidden="1"/>
    </xf>
    <xf numFmtId="165" fontId="26" fillId="0" borderId="48" xfId="0" applyNumberFormat="1" applyFont="1" applyBorder="1" applyAlignment="1" applyProtection="1">
      <alignment horizontal="center" vertical="center" wrapText="1"/>
      <protection hidden="1"/>
    </xf>
    <xf numFmtId="0" fontId="24" fillId="18" borderId="60" xfId="0" applyFont="1" applyFill="1" applyBorder="1" applyAlignment="1" applyProtection="1">
      <alignment vertical="center" wrapText="1"/>
      <protection hidden="1"/>
    </xf>
    <xf numFmtId="0" fontId="10" fillId="11" borderId="42" xfId="0" applyFont="1" applyFill="1" applyBorder="1" applyAlignment="1" applyProtection="1">
      <alignment vertical="center" wrapText="1"/>
      <protection hidden="1"/>
    </xf>
    <xf numFmtId="0" fontId="10" fillId="11" borderId="45" xfId="0" applyFont="1" applyFill="1" applyBorder="1" applyAlignment="1" applyProtection="1">
      <alignment vertical="center" wrapText="1"/>
      <protection hidden="1"/>
    </xf>
    <xf numFmtId="0" fontId="10" fillId="11" borderId="44" xfId="0" applyFont="1" applyFill="1" applyBorder="1" applyAlignment="1" applyProtection="1">
      <alignment vertical="center" wrapText="1"/>
      <protection hidden="1"/>
    </xf>
    <xf numFmtId="0" fontId="32" fillId="11" borderId="5" xfId="0" applyFont="1" applyFill="1" applyBorder="1" applyAlignment="1" applyProtection="1">
      <alignment vertical="center" wrapText="1"/>
      <protection hidden="1"/>
    </xf>
    <xf numFmtId="9" fontId="23" fillId="11" borderId="45" xfId="1" applyFont="1" applyFill="1" applyBorder="1" applyAlignment="1" applyProtection="1">
      <alignment horizontal="center" vertical="center" wrapText="1"/>
      <protection hidden="1"/>
    </xf>
    <xf numFmtId="2" fontId="23" fillId="11" borderId="45" xfId="1" applyNumberFormat="1" applyFont="1" applyFill="1" applyBorder="1" applyAlignment="1" applyProtection="1">
      <alignment horizontal="center" vertical="center" wrapText="1"/>
      <protection hidden="1"/>
    </xf>
    <xf numFmtId="165" fontId="26" fillId="12" borderId="50" xfId="0" applyNumberFormat="1" applyFont="1" applyFill="1" applyBorder="1" applyAlignment="1" applyProtection="1">
      <alignment horizontal="center" vertical="center" wrapText="1"/>
      <protection hidden="1"/>
    </xf>
    <xf numFmtId="165" fontId="26" fillId="12" borderId="36" xfId="0" applyNumberFormat="1" applyFont="1" applyFill="1" applyBorder="1" applyAlignment="1" applyProtection="1">
      <alignment horizontal="center" vertical="center" wrapText="1"/>
      <protection hidden="1"/>
    </xf>
    <xf numFmtId="1" fontId="24" fillId="0" borderId="35" xfId="1" applyNumberFormat="1" applyFont="1" applyBorder="1" applyAlignment="1" applyProtection="1">
      <alignment horizontal="center" vertical="center" wrapText="1"/>
      <protection hidden="1"/>
    </xf>
    <xf numFmtId="0" fontId="5" fillId="5" borderId="4" xfId="0" applyFont="1" applyFill="1" applyBorder="1" applyAlignment="1" applyProtection="1">
      <alignment vertical="center" wrapText="1"/>
      <protection hidden="1"/>
    </xf>
    <xf numFmtId="9" fontId="24" fillId="11" borderId="10" xfId="1" applyFont="1" applyFill="1" applyBorder="1" applyAlignment="1" applyProtection="1">
      <alignment horizontal="center" vertical="center" wrapText="1"/>
      <protection hidden="1"/>
    </xf>
    <xf numFmtId="1" fontId="24" fillId="0" borderId="18" xfId="1" applyNumberFormat="1" applyFont="1" applyBorder="1" applyAlignment="1" applyProtection="1">
      <alignment horizontal="center" vertical="center" wrapText="1"/>
      <protection hidden="1"/>
    </xf>
    <xf numFmtId="0" fontId="24" fillId="0" borderId="46" xfId="0" applyFont="1" applyBorder="1" applyAlignment="1" applyProtection="1">
      <alignment horizontal="center" vertical="center" wrapText="1"/>
      <protection hidden="1"/>
    </xf>
    <xf numFmtId="0" fontId="5" fillId="5" borderId="58" xfId="0" applyFont="1" applyFill="1" applyBorder="1" applyAlignment="1" applyProtection="1">
      <alignment vertical="center" wrapText="1"/>
      <protection hidden="1"/>
    </xf>
    <xf numFmtId="1" fontId="24" fillId="0" borderId="22" xfId="1" applyNumberFormat="1" applyFont="1" applyBorder="1" applyAlignment="1" applyProtection="1">
      <alignment horizontal="center" vertical="center" wrapText="1"/>
      <protection hidden="1"/>
    </xf>
    <xf numFmtId="0" fontId="24" fillId="0" borderId="48" xfId="0" applyFont="1" applyBorder="1" applyAlignment="1" applyProtection="1">
      <alignment horizontal="center" vertical="center" wrapText="1"/>
      <protection hidden="1"/>
    </xf>
    <xf numFmtId="0" fontId="5" fillId="5" borderId="60" xfId="0" applyFont="1" applyFill="1" applyBorder="1" applyAlignment="1" applyProtection="1">
      <alignment vertical="center" wrapText="1"/>
      <protection hidden="1"/>
    </xf>
    <xf numFmtId="0" fontId="17" fillId="24" borderId="43" xfId="0" applyFont="1" applyFill="1" applyBorder="1" applyProtection="1">
      <protection hidden="1"/>
    </xf>
    <xf numFmtId="0" fontId="17" fillId="24" borderId="0" xfId="0" applyFont="1" applyFill="1" applyProtection="1">
      <protection hidden="1"/>
    </xf>
    <xf numFmtId="0" fontId="19" fillId="23" borderId="1" xfId="0" applyFont="1" applyFill="1" applyBorder="1" applyAlignment="1" applyProtection="1">
      <alignment horizontal="center" vertical="center"/>
      <protection hidden="1"/>
    </xf>
    <xf numFmtId="0" fontId="18" fillId="12" borderId="1" xfId="0" applyFont="1" applyFill="1" applyBorder="1" applyAlignment="1" applyProtection="1">
      <alignment horizontal="center" vertical="center"/>
      <protection hidden="1"/>
    </xf>
    <xf numFmtId="9" fontId="37" fillId="11" borderId="1" xfId="1" applyFont="1" applyFill="1" applyBorder="1" applyAlignment="1" applyProtection="1">
      <alignment horizontal="center" vertical="center" wrapText="1"/>
      <protection hidden="1"/>
    </xf>
    <xf numFmtId="1" fontId="37" fillId="11" borderId="1" xfId="1" applyNumberFormat="1" applyFont="1" applyFill="1" applyBorder="1" applyAlignment="1" applyProtection="1">
      <alignment horizontal="center" vertical="center" wrapText="1"/>
      <protection hidden="1"/>
    </xf>
    <xf numFmtId="0" fontId="16" fillId="24" borderId="6" xfId="0" applyFont="1" applyFill="1" applyBorder="1" applyProtection="1">
      <protection hidden="1"/>
    </xf>
    <xf numFmtId="165" fontId="0" fillId="15" borderId="5" xfId="0" applyNumberFormat="1" applyFill="1" applyBorder="1" applyAlignment="1" applyProtection="1">
      <alignment horizontal="center" vertical="center"/>
      <protection hidden="1"/>
    </xf>
    <xf numFmtId="0" fontId="17" fillId="24" borderId="6" xfId="0" applyFont="1" applyFill="1" applyBorder="1" applyProtection="1">
      <protection hidden="1"/>
    </xf>
    <xf numFmtId="2" fontId="17" fillId="24" borderId="6" xfId="0" applyNumberFormat="1" applyFont="1" applyFill="1" applyBorder="1" applyProtection="1">
      <protection hidden="1"/>
    </xf>
    <xf numFmtId="0" fontId="4" fillId="0" borderId="2" xfId="0" applyFont="1" applyBorder="1" applyAlignment="1" applyProtection="1">
      <alignment vertical="center" wrapText="1"/>
      <protection hidden="1"/>
    </xf>
    <xf numFmtId="0" fontId="4" fillId="0" borderId="4" xfId="0" applyFont="1" applyBorder="1" applyAlignment="1" applyProtection="1">
      <alignment vertical="center" wrapText="1"/>
      <protection hidden="1"/>
    </xf>
    <xf numFmtId="0" fontId="4" fillId="0" borderId="3" xfId="0" applyFont="1" applyBorder="1" applyAlignment="1" applyProtection="1">
      <alignment vertical="center" wrapText="1"/>
      <protection hidden="1"/>
    </xf>
    <xf numFmtId="0" fontId="4" fillId="0" borderId="1" xfId="0" applyFont="1" applyBorder="1" applyAlignment="1" applyProtection="1">
      <alignment vertical="center" wrapText="1"/>
      <protection hidden="1"/>
    </xf>
    <xf numFmtId="0" fontId="0" fillId="0" borderId="1" xfId="0" applyBorder="1" applyProtection="1">
      <protection hidden="1"/>
    </xf>
    <xf numFmtId="2" fontId="0" fillId="0" borderId="1" xfId="0" applyNumberFormat="1" applyBorder="1" applyProtection="1">
      <protection hidden="1"/>
    </xf>
    <xf numFmtId="2" fontId="0" fillId="0" borderId="4" xfId="0" applyNumberFormat="1" applyBorder="1" applyProtection="1">
      <protection hidden="1"/>
    </xf>
    <xf numFmtId="165" fontId="26" fillId="0" borderId="15" xfId="1" applyNumberFormat="1" applyFont="1" applyBorder="1" applyAlignment="1" applyProtection="1">
      <alignment horizontal="center" vertical="center" wrapText="1"/>
      <protection hidden="1"/>
    </xf>
    <xf numFmtId="165" fontId="26" fillId="0" borderId="20" xfId="1" applyNumberFormat="1" applyFont="1" applyBorder="1" applyAlignment="1" applyProtection="1">
      <alignment horizontal="center" vertical="center" wrapText="1"/>
      <protection hidden="1"/>
    </xf>
    <xf numFmtId="165" fontId="26" fillId="25" borderId="15" xfId="1" applyNumberFormat="1" applyFont="1" applyFill="1" applyBorder="1" applyAlignment="1" applyProtection="1">
      <alignment horizontal="center" vertical="center" wrapText="1"/>
      <protection hidden="1"/>
    </xf>
    <xf numFmtId="165" fontId="26" fillId="25" borderId="20" xfId="1" applyNumberFormat="1" applyFont="1" applyFill="1" applyBorder="1" applyAlignment="1" applyProtection="1">
      <alignment horizontal="center" vertical="center" wrapText="1"/>
      <protection hidden="1"/>
    </xf>
    <xf numFmtId="0" fontId="26" fillId="3" borderId="43" xfId="0" applyFont="1" applyFill="1" applyBorder="1" applyAlignment="1" applyProtection="1">
      <alignment vertical="center" wrapText="1"/>
      <protection hidden="1"/>
    </xf>
    <xf numFmtId="0" fontId="26" fillId="3" borderId="9" xfId="0" applyFont="1" applyFill="1" applyBorder="1" applyAlignment="1" applyProtection="1">
      <alignment vertical="center" wrapText="1"/>
      <protection hidden="1"/>
    </xf>
    <xf numFmtId="165" fontId="26" fillId="25" borderId="17" xfId="0" applyNumberFormat="1" applyFont="1" applyFill="1" applyBorder="1" applyAlignment="1" applyProtection="1">
      <alignment horizontal="center" vertical="center" wrapText="1"/>
      <protection hidden="1"/>
    </xf>
    <xf numFmtId="0" fontId="26" fillId="25" borderId="19" xfId="0" applyFont="1" applyFill="1" applyBorder="1" applyAlignment="1" applyProtection="1">
      <alignment horizontal="center" vertical="center" wrapText="1"/>
      <protection hidden="1"/>
    </xf>
    <xf numFmtId="0" fontId="24" fillId="8" borderId="30" xfId="0" applyFont="1" applyFill="1" applyBorder="1" applyAlignment="1" applyProtection="1">
      <alignment vertical="center" wrapText="1"/>
      <protection hidden="1"/>
    </xf>
    <xf numFmtId="1" fontId="26" fillId="25" borderId="21" xfId="0" applyNumberFormat="1" applyFont="1" applyFill="1" applyBorder="1" applyAlignment="1" applyProtection="1">
      <alignment horizontal="center" vertical="center" wrapText="1"/>
      <protection hidden="1"/>
    </xf>
    <xf numFmtId="165" fontId="23" fillId="25" borderId="23" xfId="0" applyNumberFormat="1" applyFont="1" applyFill="1" applyBorder="1" applyAlignment="1" applyProtection="1">
      <alignment horizontal="center" vertical="center" wrapText="1"/>
      <protection hidden="1"/>
    </xf>
    <xf numFmtId="0" fontId="26" fillId="3" borderId="70" xfId="0" applyFont="1" applyFill="1" applyBorder="1" applyAlignment="1" applyProtection="1">
      <alignment vertical="center" wrapText="1"/>
      <protection hidden="1"/>
    </xf>
    <xf numFmtId="0" fontId="26" fillId="3" borderId="71" xfId="0" applyFont="1" applyFill="1" applyBorder="1" applyAlignment="1" applyProtection="1">
      <alignment vertical="center" wrapText="1"/>
      <protection hidden="1"/>
    </xf>
    <xf numFmtId="165" fontId="26" fillId="0" borderId="50" xfId="1" applyNumberFormat="1" applyFont="1" applyBorder="1" applyAlignment="1" applyProtection="1">
      <alignment horizontal="center" vertical="center" wrapText="1"/>
      <protection hidden="1"/>
    </xf>
    <xf numFmtId="165" fontId="26" fillId="0" borderId="36" xfId="1" applyNumberFormat="1" applyFont="1" applyBorder="1" applyAlignment="1" applyProtection="1">
      <alignment horizontal="center" vertical="center" wrapText="1"/>
      <protection hidden="1"/>
    </xf>
    <xf numFmtId="0" fontId="26" fillId="25" borderId="17" xfId="0" applyFont="1" applyFill="1" applyBorder="1" applyAlignment="1" applyProtection="1">
      <alignment horizontal="center" vertical="center" wrapText="1"/>
      <protection hidden="1"/>
    </xf>
    <xf numFmtId="4" fontId="24" fillId="0" borderId="49" xfId="0" applyNumberFormat="1" applyFont="1" applyBorder="1" applyAlignment="1" applyProtection="1">
      <alignment horizontal="center" vertical="center" wrapText="1"/>
      <protection hidden="1"/>
    </xf>
    <xf numFmtId="165" fontId="23" fillId="25" borderId="21" xfId="0" applyNumberFormat="1" applyFont="1" applyFill="1" applyBorder="1" applyAlignment="1" applyProtection="1">
      <alignment horizontal="center" vertical="center" wrapText="1"/>
      <protection hidden="1"/>
    </xf>
    <xf numFmtId="0" fontId="24" fillId="12" borderId="27" xfId="0" applyFont="1" applyFill="1" applyBorder="1" applyAlignment="1" applyProtection="1">
      <alignment horizontal="center" vertical="center" wrapText="1"/>
      <protection hidden="1"/>
    </xf>
    <xf numFmtId="0" fontId="24" fillId="0" borderId="73" xfId="0" applyFont="1" applyBorder="1" applyAlignment="1" applyProtection="1">
      <alignment horizontal="center" vertical="center" wrapText="1"/>
      <protection hidden="1"/>
    </xf>
    <xf numFmtId="0" fontId="24" fillId="0" borderId="63" xfId="0" applyFont="1" applyBorder="1" applyAlignment="1" applyProtection="1">
      <alignment horizontal="center" vertical="center" wrapText="1"/>
      <protection hidden="1"/>
    </xf>
    <xf numFmtId="165" fontId="23" fillId="25" borderId="19" xfId="0" applyNumberFormat="1" applyFont="1" applyFill="1" applyBorder="1" applyAlignment="1" applyProtection="1">
      <alignment horizontal="center" vertical="center" wrapText="1"/>
      <protection hidden="1"/>
    </xf>
    <xf numFmtId="0" fontId="26" fillId="25" borderId="21" xfId="0" applyFont="1" applyFill="1" applyBorder="1" applyAlignment="1" applyProtection="1">
      <alignment horizontal="center" vertical="center" wrapText="1"/>
      <protection hidden="1"/>
    </xf>
    <xf numFmtId="0" fontId="26" fillId="25" borderId="23" xfId="0" applyFont="1" applyFill="1" applyBorder="1" applyAlignment="1" applyProtection="1">
      <alignment horizontal="center" vertical="center" wrapText="1"/>
      <protection hidden="1"/>
    </xf>
    <xf numFmtId="0" fontId="41" fillId="2" borderId="16" xfId="0" applyFont="1" applyFill="1" applyBorder="1" applyAlignment="1" applyProtection="1">
      <alignment vertical="center" wrapText="1"/>
      <protection hidden="1"/>
    </xf>
    <xf numFmtId="0" fontId="41" fillId="2" borderId="7" xfId="0" applyFont="1" applyFill="1" applyBorder="1" applyAlignment="1" applyProtection="1">
      <alignment vertical="center" wrapText="1"/>
      <protection hidden="1"/>
    </xf>
    <xf numFmtId="0" fontId="26" fillId="3" borderId="42" xfId="0" applyFont="1" applyFill="1" applyBorder="1" applyAlignment="1" applyProtection="1">
      <alignment vertical="center" wrapText="1"/>
      <protection hidden="1"/>
    </xf>
    <xf numFmtId="0" fontId="26" fillId="3" borderId="45" xfId="0" applyFont="1" applyFill="1" applyBorder="1" applyAlignment="1" applyProtection="1">
      <alignment vertical="center" wrapText="1"/>
      <protection hidden="1"/>
    </xf>
    <xf numFmtId="165" fontId="26" fillId="25" borderId="21" xfId="1" applyNumberFormat="1" applyFont="1" applyFill="1" applyBorder="1" applyAlignment="1" applyProtection="1">
      <alignment horizontal="center" vertical="center" wrapText="1"/>
      <protection hidden="1"/>
    </xf>
    <xf numFmtId="165" fontId="26" fillId="25" borderId="23" xfId="1" applyNumberFormat="1" applyFont="1" applyFill="1" applyBorder="1" applyAlignment="1" applyProtection="1">
      <alignment horizontal="center" vertical="center" wrapText="1"/>
      <protection hidden="1"/>
    </xf>
    <xf numFmtId="0" fontId="41" fillId="3" borderId="16" xfId="0" applyFont="1" applyFill="1" applyBorder="1" applyAlignment="1" applyProtection="1">
      <alignment vertical="center" wrapText="1"/>
      <protection hidden="1"/>
    </xf>
    <xf numFmtId="0" fontId="41" fillId="3" borderId="7" xfId="0" applyFont="1" applyFill="1" applyBorder="1" applyAlignment="1" applyProtection="1">
      <alignment vertical="center" wrapText="1"/>
      <protection hidden="1"/>
    </xf>
    <xf numFmtId="165" fontId="26" fillId="12" borderId="21" xfId="1" applyNumberFormat="1" applyFont="1" applyFill="1" applyBorder="1" applyAlignment="1" applyProtection="1">
      <alignment horizontal="center" vertical="center" wrapText="1"/>
      <protection hidden="1"/>
    </xf>
    <xf numFmtId="165" fontId="26" fillId="12" borderId="23" xfId="1" applyNumberFormat="1" applyFont="1" applyFill="1" applyBorder="1" applyAlignment="1" applyProtection="1">
      <alignment horizontal="center" vertical="center" wrapText="1"/>
      <protection hidden="1"/>
    </xf>
    <xf numFmtId="0" fontId="26" fillId="25" borderId="15" xfId="0" applyFont="1" applyFill="1" applyBorder="1" applyAlignment="1" applyProtection="1">
      <alignment horizontal="center" vertical="center" wrapText="1"/>
      <protection hidden="1"/>
    </xf>
    <xf numFmtId="0" fontId="26" fillId="25" borderId="20" xfId="0" applyFont="1" applyFill="1" applyBorder="1" applyAlignment="1" applyProtection="1">
      <alignment horizontal="center" vertical="center" wrapText="1"/>
      <protection hidden="1"/>
    </xf>
    <xf numFmtId="165" fontId="26" fillId="25" borderId="21" xfId="0" applyNumberFormat="1" applyFont="1" applyFill="1" applyBorder="1" applyAlignment="1" applyProtection="1">
      <alignment horizontal="center" vertical="center" wrapText="1"/>
      <protection hidden="1"/>
    </xf>
    <xf numFmtId="165" fontId="26" fillId="25" borderId="23" xfId="0" applyNumberFormat="1" applyFont="1" applyFill="1" applyBorder="1" applyAlignment="1" applyProtection="1">
      <alignment horizontal="center" vertical="center" wrapText="1"/>
      <protection hidden="1"/>
    </xf>
    <xf numFmtId="165" fontId="26" fillId="25" borderId="19" xfId="0" applyNumberFormat="1" applyFont="1" applyFill="1" applyBorder="1" applyAlignment="1" applyProtection="1">
      <alignment horizontal="center" vertical="center" wrapText="1"/>
      <protection hidden="1"/>
    </xf>
    <xf numFmtId="165" fontId="26" fillId="25" borderId="15" xfId="0" applyNumberFormat="1" applyFont="1" applyFill="1" applyBorder="1" applyAlignment="1" applyProtection="1">
      <alignment horizontal="center" vertical="center" wrapText="1"/>
      <protection hidden="1"/>
    </xf>
    <xf numFmtId="165" fontId="26" fillId="25" borderId="20" xfId="0" applyNumberFormat="1" applyFont="1" applyFill="1" applyBorder="1" applyAlignment="1" applyProtection="1">
      <alignment horizontal="center" vertical="center" wrapText="1"/>
      <protection hidden="1"/>
    </xf>
    <xf numFmtId="165" fontId="26" fillId="12" borderId="15" xfId="1" applyNumberFormat="1" applyFont="1" applyFill="1" applyBorder="1" applyAlignment="1" applyProtection="1">
      <alignment horizontal="center" vertical="center" wrapText="1"/>
      <protection hidden="1"/>
    </xf>
    <xf numFmtId="165" fontId="26" fillId="12" borderId="20" xfId="1" applyNumberFormat="1" applyFont="1" applyFill="1" applyBorder="1" applyAlignment="1" applyProtection="1">
      <alignment horizontal="center" vertical="center" wrapText="1"/>
      <protection hidden="1"/>
    </xf>
    <xf numFmtId="0" fontId="26" fillId="3" borderId="16" xfId="0" applyFont="1" applyFill="1" applyBorder="1" applyAlignment="1" applyProtection="1">
      <alignment vertical="center" wrapText="1"/>
      <protection hidden="1"/>
    </xf>
    <xf numFmtId="0" fontId="26" fillId="3" borderId="7" xfId="0" applyFont="1" applyFill="1" applyBorder="1" applyAlignment="1" applyProtection="1">
      <alignment vertical="center" wrapText="1"/>
      <protection hidden="1"/>
    </xf>
    <xf numFmtId="0" fontId="41" fillId="9" borderId="2" xfId="0" applyFont="1" applyFill="1" applyBorder="1" applyAlignment="1" applyProtection="1">
      <alignment vertical="center" wrapText="1"/>
      <protection hidden="1"/>
    </xf>
    <xf numFmtId="0" fontId="41" fillId="9" borderId="4" xfId="0" applyFont="1" applyFill="1" applyBorder="1" applyAlignment="1" applyProtection="1">
      <alignment vertical="center" wrapText="1"/>
      <protection hidden="1"/>
    </xf>
    <xf numFmtId="0" fontId="26" fillId="3" borderId="2" xfId="0" applyFont="1" applyFill="1" applyBorder="1" applyAlignment="1" applyProtection="1">
      <alignment vertical="center" wrapText="1"/>
      <protection hidden="1"/>
    </xf>
    <xf numFmtId="0" fontId="26" fillId="3" borderId="4" xfId="0" applyFont="1" applyFill="1" applyBorder="1" applyAlignment="1" applyProtection="1">
      <alignment vertical="center" wrapText="1"/>
      <protection hidden="1"/>
    </xf>
    <xf numFmtId="0" fontId="26" fillId="25" borderId="36" xfId="0" applyFont="1" applyFill="1" applyBorder="1" applyAlignment="1" applyProtection="1">
      <alignment horizontal="center" vertical="center" wrapText="1"/>
      <protection hidden="1"/>
    </xf>
    <xf numFmtId="0" fontId="26" fillId="26" borderId="50" xfId="0" applyFont="1" applyFill="1" applyBorder="1" applyAlignment="1" applyProtection="1">
      <alignment horizontal="center" vertical="center" wrapText="1"/>
      <protection hidden="1"/>
    </xf>
    <xf numFmtId="0" fontId="26" fillId="26" borderId="36" xfId="0" applyFont="1" applyFill="1" applyBorder="1" applyAlignment="1" applyProtection="1">
      <alignment horizontal="center" vertical="center" wrapText="1"/>
      <protection hidden="1"/>
    </xf>
    <xf numFmtId="0" fontId="26" fillId="25" borderId="50" xfId="0" applyFont="1" applyFill="1" applyBorder="1" applyAlignment="1" applyProtection="1">
      <alignment horizontal="center" vertical="center" wrapText="1"/>
      <protection hidden="1"/>
    </xf>
    <xf numFmtId="0" fontId="41" fillId="2" borderId="2" xfId="0" applyFont="1" applyFill="1" applyBorder="1" applyAlignment="1" applyProtection="1">
      <alignment vertical="center" wrapText="1"/>
      <protection hidden="1"/>
    </xf>
    <xf numFmtId="0" fontId="41" fillId="2" borderId="4" xfId="0" applyFont="1" applyFill="1" applyBorder="1" applyAlignment="1" applyProtection="1">
      <alignment vertical="center" wrapText="1"/>
      <protection hidden="1"/>
    </xf>
    <xf numFmtId="165" fontId="26" fillId="0" borderId="38" xfId="1" applyNumberFormat="1" applyFont="1" applyBorder="1" applyAlignment="1" applyProtection="1">
      <alignment horizontal="center" vertical="center" wrapText="1"/>
      <protection hidden="1"/>
    </xf>
    <xf numFmtId="165" fontId="26" fillId="0" borderId="39" xfId="1" applyNumberFormat="1" applyFont="1" applyBorder="1" applyAlignment="1" applyProtection="1">
      <alignment horizontal="center" vertical="center" wrapText="1"/>
      <protection hidden="1"/>
    </xf>
    <xf numFmtId="165" fontId="26" fillId="25" borderId="17" xfId="1" applyNumberFormat="1" applyFont="1" applyFill="1" applyBorder="1" applyAlignment="1" applyProtection="1">
      <alignment horizontal="center" vertical="center" wrapText="1"/>
      <protection hidden="1"/>
    </xf>
    <xf numFmtId="165" fontId="26" fillId="25" borderId="19" xfId="1" applyNumberFormat="1" applyFont="1" applyFill="1" applyBorder="1" applyAlignment="1" applyProtection="1">
      <alignment horizontal="center" vertical="center" wrapText="1"/>
      <protection hidden="1"/>
    </xf>
    <xf numFmtId="0" fontId="24" fillId="16" borderId="61" xfId="0" applyFont="1" applyFill="1" applyBorder="1" applyAlignment="1" applyProtection="1">
      <alignment vertical="center" wrapText="1"/>
      <protection hidden="1"/>
    </xf>
    <xf numFmtId="0" fontId="24" fillId="16" borderId="30" xfId="0" applyFont="1" applyFill="1" applyBorder="1" applyAlignment="1" applyProtection="1">
      <alignment vertical="center" wrapText="1"/>
      <protection hidden="1"/>
    </xf>
    <xf numFmtId="165" fontId="23" fillId="25" borderId="20" xfId="0" applyNumberFormat="1" applyFont="1" applyFill="1" applyBorder="1" applyAlignment="1" applyProtection="1">
      <alignment horizontal="center" vertical="center" wrapText="1"/>
      <protection hidden="1"/>
    </xf>
    <xf numFmtId="0" fontId="22" fillId="16" borderId="30" xfId="0" applyFont="1" applyFill="1" applyBorder="1" applyAlignment="1" applyProtection="1">
      <alignment vertical="center" wrapText="1"/>
      <protection hidden="1"/>
    </xf>
    <xf numFmtId="165" fontId="23" fillId="25" borderId="15" xfId="0" applyNumberFormat="1" applyFont="1" applyFill="1" applyBorder="1" applyAlignment="1" applyProtection="1">
      <alignment horizontal="center" vertical="center" wrapText="1"/>
      <protection hidden="1"/>
    </xf>
    <xf numFmtId="0" fontId="24" fillId="16" borderId="31" xfId="0" applyFont="1" applyFill="1" applyBorder="1" applyAlignment="1" applyProtection="1">
      <alignment vertical="center" wrapText="1"/>
      <protection hidden="1"/>
    </xf>
    <xf numFmtId="0" fontId="26" fillId="11" borderId="16" xfId="0" applyFont="1" applyFill="1" applyBorder="1" applyAlignment="1" applyProtection="1">
      <alignment vertical="center" wrapText="1"/>
      <protection hidden="1"/>
    </xf>
    <xf numFmtId="0" fontId="26" fillId="11" borderId="7" xfId="0" applyFont="1" applyFill="1" applyBorder="1" applyAlignment="1" applyProtection="1">
      <alignment vertical="center" wrapText="1"/>
      <protection hidden="1"/>
    </xf>
    <xf numFmtId="2" fontId="26" fillId="25" borderId="72" xfId="0" applyNumberFormat="1" applyFont="1" applyFill="1" applyBorder="1" applyAlignment="1" applyProtection="1">
      <alignment horizontal="center" vertical="center" wrapText="1"/>
      <protection hidden="1"/>
    </xf>
    <xf numFmtId="0" fontId="26" fillId="25" borderId="69" xfId="0" applyFont="1" applyFill="1" applyBorder="1" applyAlignment="1" applyProtection="1">
      <alignment horizontal="center" vertical="center" wrapText="1"/>
      <protection hidden="1"/>
    </xf>
    <xf numFmtId="165" fontId="26" fillId="0" borderId="72" xfId="1" applyNumberFormat="1" applyFont="1" applyBorder="1" applyAlignment="1" applyProtection="1">
      <alignment horizontal="center" vertical="center" wrapText="1"/>
      <protection hidden="1"/>
    </xf>
    <xf numFmtId="165" fontId="26" fillId="0" borderId="69" xfId="1" applyNumberFormat="1" applyFont="1" applyBorder="1" applyAlignment="1" applyProtection="1">
      <alignment horizontal="center" vertical="center" wrapText="1"/>
      <protection hidden="1"/>
    </xf>
    <xf numFmtId="1" fontId="24" fillId="0" borderId="51" xfId="1" applyNumberFormat="1" applyFont="1" applyBorder="1" applyAlignment="1" applyProtection="1">
      <alignment horizontal="center" vertical="center" wrapText="1"/>
      <protection hidden="1"/>
    </xf>
    <xf numFmtId="2" fontId="26" fillId="25" borderId="21" xfId="0" applyNumberFormat="1" applyFont="1" applyFill="1" applyBorder="1" applyAlignment="1" applyProtection="1">
      <alignment horizontal="center" vertical="center" wrapText="1"/>
      <protection hidden="1"/>
    </xf>
    <xf numFmtId="0" fontId="0" fillId="14" borderId="56" xfId="0" applyFill="1" applyBorder="1" applyProtection="1">
      <protection hidden="1"/>
    </xf>
    <xf numFmtId="0" fontId="0" fillId="14" borderId="57" xfId="0" applyFill="1" applyBorder="1" applyProtection="1">
      <protection hidden="1"/>
    </xf>
    <xf numFmtId="0" fontId="0" fillId="14" borderId="67" xfId="0" applyFill="1" applyBorder="1" applyProtection="1">
      <protection hidden="1"/>
    </xf>
    <xf numFmtId="0" fontId="0" fillId="14" borderId="65" xfId="0" applyFill="1" applyBorder="1" applyProtection="1">
      <protection hidden="1"/>
    </xf>
    <xf numFmtId="0" fontId="0" fillId="14" borderId="5" xfId="0" applyFill="1" applyBorder="1" applyProtection="1">
      <protection hidden="1"/>
    </xf>
    <xf numFmtId="9" fontId="0" fillId="14" borderId="7" xfId="0" applyNumberFormat="1" applyFill="1" applyBorder="1" applyProtection="1">
      <protection hidden="1"/>
    </xf>
    <xf numFmtId="9" fontId="0" fillId="14" borderId="6" xfId="0" applyNumberFormat="1" applyFill="1" applyBorder="1" applyProtection="1">
      <protection hidden="1"/>
    </xf>
    <xf numFmtId="0" fontId="0" fillId="14" borderId="35" xfId="0" applyFill="1" applyBorder="1" applyProtection="1">
      <protection hidden="1"/>
    </xf>
    <xf numFmtId="165" fontId="10" fillId="25" borderId="54" xfId="1" applyNumberFormat="1" applyFont="1" applyFill="1" applyBorder="1" applyAlignment="1" applyProtection="1">
      <alignment horizontal="center" vertical="center" wrapText="1"/>
      <protection hidden="1"/>
    </xf>
    <xf numFmtId="165" fontId="10" fillId="25" borderId="74" xfId="1" applyNumberFormat="1" applyFont="1" applyFill="1" applyBorder="1" applyAlignment="1" applyProtection="1">
      <alignment horizontal="center" vertical="center" wrapText="1"/>
      <protection hidden="1"/>
    </xf>
    <xf numFmtId="0" fontId="24" fillId="9" borderId="61" xfId="0" applyFont="1" applyFill="1" applyBorder="1" applyAlignment="1" applyProtection="1">
      <alignment vertical="center" wrapText="1"/>
      <protection hidden="1"/>
    </xf>
    <xf numFmtId="165" fontId="10" fillId="12" borderId="38" xfId="1" applyNumberFormat="1" applyFont="1" applyFill="1" applyBorder="1" applyAlignment="1" applyProtection="1">
      <alignment horizontal="center" vertical="center" wrapText="1"/>
      <protection hidden="1"/>
    </xf>
    <xf numFmtId="165" fontId="10" fillId="12" borderId="39" xfId="1" applyNumberFormat="1" applyFont="1" applyFill="1" applyBorder="1" applyAlignment="1" applyProtection="1">
      <alignment horizontal="center" vertical="center" wrapText="1"/>
      <protection hidden="1"/>
    </xf>
    <xf numFmtId="0" fontId="24" fillId="9" borderId="40" xfId="0" applyFont="1" applyFill="1" applyBorder="1" applyAlignment="1" applyProtection="1">
      <alignment vertical="center" wrapText="1"/>
      <protection hidden="1"/>
    </xf>
    <xf numFmtId="0" fontId="24" fillId="10" borderId="29" xfId="0" applyFont="1" applyFill="1" applyBorder="1" applyAlignment="1" applyProtection="1">
      <alignment vertical="center" wrapText="1"/>
      <protection hidden="1"/>
    </xf>
    <xf numFmtId="0" fontId="24" fillId="10" borderId="30" xfId="0" applyFont="1" applyFill="1" applyBorder="1" applyAlignment="1" applyProtection="1">
      <alignment vertical="center" wrapText="1"/>
      <protection hidden="1"/>
    </xf>
    <xf numFmtId="0" fontId="24" fillId="10" borderId="31" xfId="0" applyFont="1" applyFill="1" applyBorder="1" applyAlignment="1" applyProtection="1">
      <alignment vertical="center" wrapText="1"/>
      <protection hidden="1"/>
    </xf>
    <xf numFmtId="0" fontId="32" fillId="3" borderId="43" xfId="0" applyFont="1" applyFill="1" applyBorder="1" applyAlignment="1" applyProtection="1">
      <alignment vertical="center" wrapText="1"/>
      <protection hidden="1"/>
    </xf>
    <xf numFmtId="0" fontId="32" fillId="3" borderId="9" xfId="0" applyFont="1" applyFill="1" applyBorder="1" applyAlignment="1" applyProtection="1">
      <alignment vertical="center" wrapText="1"/>
      <protection hidden="1"/>
    </xf>
    <xf numFmtId="0" fontId="26" fillId="0" borderId="17" xfId="0" applyFont="1" applyBorder="1" applyAlignment="1" applyProtection="1">
      <alignment horizontal="center" vertical="center" wrapText="1"/>
      <protection hidden="1"/>
    </xf>
    <xf numFmtId="0" fontId="26" fillId="0" borderId="19" xfId="0" applyFont="1" applyBorder="1" applyAlignment="1" applyProtection="1">
      <alignment horizontal="center" vertical="center" wrapText="1"/>
      <protection hidden="1"/>
    </xf>
    <xf numFmtId="0" fontId="26" fillId="0" borderId="15" xfId="0" applyFont="1" applyBorder="1" applyAlignment="1" applyProtection="1">
      <alignment horizontal="center" vertical="center" wrapText="1"/>
      <protection hidden="1"/>
    </xf>
    <xf numFmtId="0" fontId="26" fillId="0" borderId="20" xfId="0" applyFont="1" applyBorder="1" applyAlignment="1" applyProtection="1">
      <alignment horizontal="center" vertical="center" wrapText="1"/>
      <protection hidden="1"/>
    </xf>
    <xf numFmtId="0" fontId="27" fillId="25" borderId="15" xfId="0" applyFont="1" applyFill="1" applyBorder="1" applyAlignment="1" applyProtection="1">
      <alignment horizontal="center" vertical="center" wrapText="1"/>
      <protection hidden="1"/>
    </xf>
    <xf numFmtId="0" fontId="27" fillId="25" borderId="20" xfId="0" applyFont="1" applyFill="1" applyBorder="1" applyAlignment="1" applyProtection="1">
      <alignment horizontal="center" vertical="center" wrapText="1"/>
      <protection hidden="1"/>
    </xf>
    <xf numFmtId="1" fontId="26" fillId="0" borderId="21" xfId="0" applyNumberFormat="1" applyFont="1" applyBorder="1" applyAlignment="1" applyProtection="1">
      <alignment horizontal="center" vertical="center" wrapText="1"/>
      <protection hidden="1"/>
    </xf>
    <xf numFmtId="0" fontId="26" fillId="0" borderId="23" xfId="0" applyFont="1" applyBorder="1" applyAlignment="1" applyProtection="1">
      <alignment horizontal="center" vertical="center" wrapText="1"/>
      <protection hidden="1"/>
    </xf>
    <xf numFmtId="0" fontId="26" fillId="12" borderId="20" xfId="0" applyFont="1" applyFill="1" applyBorder="1" applyAlignment="1" applyProtection="1">
      <alignment horizontal="center" vertical="center" wrapText="1"/>
      <protection hidden="1"/>
    </xf>
    <xf numFmtId="0" fontId="32" fillId="3" borderId="70" xfId="0" applyFont="1" applyFill="1" applyBorder="1" applyAlignment="1" applyProtection="1">
      <alignment vertical="center" wrapText="1"/>
      <protection hidden="1"/>
    </xf>
    <xf numFmtId="0" fontId="32" fillId="3" borderId="71" xfId="0" applyFont="1" applyFill="1" applyBorder="1" applyAlignment="1" applyProtection="1">
      <alignment vertical="center" wrapText="1"/>
      <protection hidden="1"/>
    </xf>
    <xf numFmtId="9" fontId="5" fillId="11" borderId="5" xfId="1" applyFont="1" applyFill="1" applyBorder="1" applyAlignment="1" applyProtection="1">
      <alignment horizontal="center" vertical="center" wrapText="1"/>
      <protection hidden="1"/>
    </xf>
    <xf numFmtId="165" fontId="26" fillId="0" borderId="50" xfId="0" applyNumberFormat="1" applyFont="1" applyBorder="1" applyAlignment="1" applyProtection="1">
      <alignment horizontal="center" vertical="center" wrapText="1"/>
      <protection hidden="1"/>
    </xf>
    <xf numFmtId="165" fontId="26" fillId="0" borderId="36" xfId="0" applyNumberFormat="1" applyFont="1" applyBorder="1" applyAlignment="1" applyProtection="1">
      <alignment horizontal="center" vertical="center" wrapText="1"/>
      <protection hidden="1"/>
    </xf>
    <xf numFmtId="0" fontId="10" fillId="3" borderId="43" xfId="0" applyFont="1" applyFill="1" applyBorder="1" applyAlignment="1" applyProtection="1">
      <alignment vertical="center" wrapText="1"/>
      <protection hidden="1"/>
    </xf>
    <xf numFmtId="0" fontId="10" fillId="3" borderId="9" xfId="0" applyFont="1" applyFill="1" applyBorder="1" applyAlignment="1" applyProtection="1">
      <alignment vertical="center" wrapText="1"/>
      <protection hidden="1"/>
    </xf>
    <xf numFmtId="3" fontId="26" fillId="25" borderId="17" xfId="0" applyNumberFormat="1" applyFont="1" applyFill="1" applyBorder="1" applyAlignment="1" applyProtection="1">
      <alignment horizontal="center" vertical="center" wrapText="1"/>
      <protection hidden="1"/>
    </xf>
    <xf numFmtId="4" fontId="26" fillId="25" borderId="19" xfId="0" applyNumberFormat="1" applyFont="1" applyFill="1" applyBorder="1" applyAlignment="1" applyProtection="1">
      <alignment horizontal="center" vertical="center" wrapText="1"/>
      <protection hidden="1"/>
    </xf>
    <xf numFmtId="0" fontId="10" fillId="3" borderId="4" xfId="0" applyFont="1" applyFill="1" applyBorder="1" applyAlignment="1" applyProtection="1">
      <alignment vertical="center" wrapText="1"/>
      <protection hidden="1"/>
    </xf>
    <xf numFmtId="0" fontId="26" fillId="25" borderId="54" xfId="0" applyFont="1" applyFill="1" applyBorder="1" applyAlignment="1" applyProtection="1">
      <alignment horizontal="center" vertical="center" wrapText="1"/>
      <protection hidden="1"/>
    </xf>
    <xf numFmtId="0" fontId="26" fillId="25" borderId="74" xfId="0" applyFont="1" applyFill="1" applyBorder="1" applyAlignment="1" applyProtection="1">
      <alignment horizontal="center" vertical="center" wrapText="1"/>
      <protection hidden="1"/>
    </xf>
    <xf numFmtId="0" fontId="26" fillId="25" borderId="38" xfId="0" applyFont="1" applyFill="1" applyBorder="1" applyAlignment="1" applyProtection="1">
      <alignment horizontal="center" vertical="center" wrapText="1"/>
      <protection hidden="1"/>
    </xf>
    <xf numFmtId="0" fontId="26" fillId="25" borderId="39" xfId="0" applyFont="1" applyFill="1" applyBorder="1" applyAlignment="1" applyProtection="1">
      <alignment horizontal="center" vertical="center" wrapText="1"/>
      <protection hidden="1"/>
    </xf>
    <xf numFmtId="0" fontId="26" fillId="0" borderId="56" xfId="0" applyFont="1" applyBorder="1" applyAlignment="1" applyProtection="1">
      <alignment horizontal="center" vertical="center" wrapText="1"/>
      <protection hidden="1"/>
    </xf>
    <xf numFmtId="0" fontId="26" fillId="0" borderId="57" xfId="0" applyFont="1" applyBorder="1" applyAlignment="1" applyProtection="1">
      <alignment horizontal="center" vertical="center" wrapText="1"/>
      <protection hidden="1"/>
    </xf>
    <xf numFmtId="0" fontId="16" fillId="3" borderId="2" xfId="0" applyFont="1" applyFill="1" applyBorder="1" applyAlignment="1" applyProtection="1">
      <alignment vertical="center" wrapText="1"/>
      <protection hidden="1"/>
    </xf>
    <xf numFmtId="0" fontId="16" fillId="3" borderId="4" xfId="0" applyFont="1" applyFill="1" applyBorder="1" applyAlignment="1" applyProtection="1">
      <alignment vertical="center" wrapText="1"/>
      <protection hidden="1"/>
    </xf>
    <xf numFmtId="0" fontId="10" fillId="31" borderId="72" xfId="0" applyFont="1" applyFill="1" applyBorder="1" applyAlignment="1" applyProtection="1">
      <alignment horizontal="center" vertical="center" wrapText="1"/>
      <protection hidden="1"/>
    </xf>
    <xf numFmtId="0" fontId="10" fillId="31" borderId="69" xfId="0" applyFont="1" applyFill="1" applyBorder="1" applyAlignment="1" applyProtection="1">
      <alignment horizontal="center" vertical="center" wrapText="1"/>
      <protection hidden="1"/>
    </xf>
    <xf numFmtId="0" fontId="27" fillId="25" borderId="17" xfId="0" applyFont="1" applyFill="1" applyBorder="1" applyAlignment="1" applyProtection="1">
      <alignment horizontal="center" vertical="center" wrapText="1"/>
      <protection hidden="1"/>
    </xf>
    <xf numFmtId="0" fontId="27" fillId="25" borderId="19" xfId="0" applyFont="1" applyFill="1" applyBorder="1" applyAlignment="1" applyProtection="1">
      <alignment horizontal="center" vertical="center" wrapText="1"/>
      <protection hidden="1"/>
    </xf>
    <xf numFmtId="164" fontId="26" fillId="12" borderId="15" xfId="2" applyFont="1" applyFill="1" applyBorder="1" applyAlignment="1" applyProtection="1">
      <alignment horizontal="center" vertical="center" wrapText="1"/>
      <protection hidden="1"/>
    </xf>
    <xf numFmtId="164" fontId="26" fillId="12" borderId="20" xfId="2" applyFont="1" applyFill="1" applyBorder="1" applyAlignment="1" applyProtection="1">
      <alignment horizontal="center" vertical="center" wrapText="1"/>
      <protection hidden="1"/>
    </xf>
    <xf numFmtId="1" fontId="26" fillId="0" borderId="15" xfId="0" applyNumberFormat="1" applyFont="1" applyBorder="1" applyAlignment="1" applyProtection="1">
      <alignment horizontal="center" vertical="center" wrapText="1"/>
      <protection hidden="1"/>
    </xf>
    <xf numFmtId="0" fontId="33" fillId="2" borderId="16" xfId="0" applyFont="1" applyFill="1" applyBorder="1" applyAlignment="1" applyProtection="1">
      <alignment vertical="center" wrapText="1"/>
      <protection hidden="1"/>
    </xf>
    <xf numFmtId="0" fontId="33" fillId="2" borderId="7" xfId="0" applyFont="1" applyFill="1" applyBorder="1" applyAlignment="1" applyProtection="1">
      <alignment vertical="center" wrapText="1"/>
      <protection hidden="1"/>
    </xf>
    <xf numFmtId="165" fontId="26" fillId="31" borderId="15" xfId="0" applyNumberFormat="1" applyFont="1" applyFill="1" applyBorder="1" applyAlignment="1" applyProtection="1">
      <alignment horizontal="center" vertical="center" wrapText="1"/>
      <protection hidden="1"/>
    </xf>
    <xf numFmtId="165" fontId="26" fillId="31" borderId="20" xfId="0" applyNumberFormat="1" applyFont="1" applyFill="1" applyBorder="1" applyAlignment="1" applyProtection="1">
      <alignment horizontal="center" vertical="center" wrapText="1"/>
      <protection hidden="1"/>
    </xf>
    <xf numFmtId="2" fontId="26" fillId="25" borderId="50" xfId="0" applyNumberFormat="1" applyFont="1" applyFill="1" applyBorder="1" applyAlignment="1" applyProtection="1">
      <alignment horizontal="center" vertical="center" wrapText="1"/>
      <protection hidden="1"/>
    </xf>
    <xf numFmtId="0" fontId="16" fillId="9" borderId="4" xfId="0" applyFont="1" applyFill="1" applyBorder="1" applyAlignment="1" applyProtection="1">
      <alignment vertical="center" wrapText="1"/>
      <protection hidden="1"/>
    </xf>
    <xf numFmtId="0" fontId="26" fillId="0" borderId="50" xfId="0" applyFont="1" applyBorder="1" applyAlignment="1" applyProtection="1">
      <alignment horizontal="center" vertical="center" wrapText="1"/>
      <protection hidden="1"/>
    </xf>
    <xf numFmtId="0" fontId="26" fillId="0" borderId="36" xfId="0" applyFont="1" applyBorder="1" applyAlignment="1" applyProtection="1">
      <alignment horizontal="center" vertical="center" wrapText="1"/>
      <protection hidden="1"/>
    </xf>
    <xf numFmtId="0" fontId="26" fillId="0" borderId="21" xfId="0" applyFont="1" applyBorder="1" applyAlignment="1" applyProtection="1">
      <alignment horizontal="center" vertical="center" wrapText="1"/>
      <protection hidden="1"/>
    </xf>
    <xf numFmtId="0" fontId="24" fillId="9" borderId="29" xfId="0" applyFont="1" applyFill="1" applyBorder="1" applyAlignment="1" applyProtection="1">
      <alignment vertical="center" wrapText="1"/>
      <protection hidden="1"/>
    </xf>
    <xf numFmtId="0" fontId="24" fillId="9" borderId="30" xfId="0" applyFont="1" applyFill="1" applyBorder="1" applyAlignment="1" applyProtection="1">
      <alignment vertical="center" wrapText="1"/>
      <protection hidden="1"/>
    </xf>
    <xf numFmtId="0" fontId="24" fillId="9" borderId="31" xfId="0" applyFont="1" applyFill="1" applyBorder="1" applyAlignment="1" applyProtection="1">
      <alignment vertical="center" wrapText="1"/>
      <protection hidden="1"/>
    </xf>
    <xf numFmtId="165" fontId="26" fillId="12" borderId="54" xfId="0" applyNumberFormat="1" applyFont="1" applyFill="1" applyBorder="1" applyAlignment="1" applyProtection="1">
      <alignment horizontal="center" vertical="center" wrapText="1"/>
      <protection hidden="1"/>
    </xf>
    <xf numFmtId="165" fontId="26" fillId="12" borderId="74" xfId="0" applyNumberFormat="1" applyFont="1" applyFill="1" applyBorder="1" applyAlignment="1" applyProtection="1">
      <alignment horizontal="center" vertical="center" wrapText="1"/>
      <protection hidden="1"/>
    </xf>
    <xf numFmtId="165" fontId="27" fillId="25" borderId="15" xfId="0" applyNumberFormat="1" applyFont="1" applyFill="1" applyBorder="1" applyAlignment="1" applyProtection="1">
      <alignment horizontal="center" vertical="center" wrapText="1"/>
      <protection hidden="1"/>
    </xf>
    <xf numFmtId="165" fontId="27" fillId="25" borderId="20" xfId="0" applyNumberFormat="1" applyFont="1" applyFill="1" applyBorder="1" applyAlignment="1" applyProtection="1">
      <alignment horizontal="center" vertical="center" wrapText="1"/>
      <protection hidden="1"/>
    </xf>
    <xf numFmtId="0" fontId="26" fillId="25" borderId="56" xfId="0" applyFont="1" applyFill="1" applyBorder="1" applyAlignment="1" applyProtection="1">
      <alignment horizontal="center" vertical="center" wrapText="1"/>
      <protection hidden="1"/>
    </xf>
    <xf numFmtId="0" fontId="26" fillId="25" borderId="57" xfId="0" applyFont="1" applyFill="1" applyBorder="1" applyAlignment="1" applyProtection="1">
      <alignment horizontal="center" vertical="center" wrapText="1"/>
      <protection hidden="1"/>
    </xf>
    <xf numFmtId="0" fontId="27" fillId="12" borderId="17" xfId="0" applyFont="1" applyFill="1" applyBorder="1" applyAlignment="1" applyProtection="1">
      <alignment horizontal="center" vertical="center" wrapText="1"/>
      <protection hidden="1"/>
    </xf>
    <xf numFmtId="0" fontId="27" fillId="12" borderId="19" xfId="0" applyFont="1" applyFill="1" applyBorder="1" applyAlignment="1" applyProtection="1">
      <alignment horizontal="center" vertical="center" wrapText="1"/>
      <protection hidden="1"/>
    </xf>
    <xf numFmtId="1" fontId="26" fillId="25" borderId="15" xfId="0" applyNumberFormat="1" applyFont="1" applyFill="1" applyBorder="1" applyAlignment="1" applyProtection="1">
      <alignment horizontal="center" vertical="center" wrapText="1"/>
      <protection hidden="1"/>
    </xf>
    <xf numFmtId="0" fontId="27" fillId="12" borderId="15" xfId="0" applyFont="1" applyFill="1" applyBorder="1" applyAlignment="1" applyProtection="1">
      <alignment horizontal="center" vertical="center" wrapText="1"/>
      <protection hidden="1"/>
    </xf>
    <xf numFmtId="0" fontId="27" fillId="12" borderId="20" xfId="0" applyFont="1" applyFill="1" applyBorder="1" applyAlignment="1" applyProtection="1">
      <alignment horizontal="center" vertical="center" wrapText="1"/>
      <protection hidden="1"/>
    </xf>
    <xf numFmtId="165" fontId="26" fillId="0" borderId="74" xfId="0" applyNumberFormat="1" applyFont="1" applyBorder="1" applyAlignment="1" applyProtection="1">
      <alignment horizontal="center" vertical="center" wrapText="1"/>
      <protection hidden="1"/>
    </xf>
    <xf numFmtId="165" fontId="26" fillId="31" borderId="21" xfId="0" applyNumberFormat="1" applyFont="1" applyFill="1" applyBorder="1" applyAlignment="1" applyProtection="1">
      <alignment horizontal="center" vertical="center" wrapText="1"/>
      <protection hidden="1"/>
    </xf>
    <xf numFmtId="165" fontId="26" fillId="31" borderId="23" xfId="0" applyNumberFormat="1" applyFont="1" applyFill="1" applyBorder="1" applyAlignment="1" applyProtection="1">
      <alignment horizontal="center" vertical="center" wrapText="1"/>
      <protection hidden="1"/>
    </xf>
    <xf numFmtId="0" fontId="23" fillId="12" borderId="54" xfId="0" applyFont="1" applyFill="1" applyBorder="1" applyAlignment="1" applyProtection="1">
      <alignment horizontal="center" vertical="center" wrapText="1"/>
      <protection hidden="1"/>
    </xf>
    <xf numFmtId="0" fontId="23" fillId="12" borderId="53" xfId="0" applyFont="1" applyFill="1" applyBorder="1" applyAlignment="1" applyProtection="1">
      <alignment horizontal="center" vertical="center" wrapText="1"/>
      <protection hidden="1"/>
    </xf>
    <xf numFmtId="0" fontId="26" fillId="0" borderId="54" xfId="0" applyFont="1" applyBorder="1" applyAlignment="1" applyProtection="1">
      <alignment horizontal="center" vertical="center" wrapText="1"/>
      <protection hidden="1"/>
    </xf>
    <xf numFmtId="0" fontId="26" fillId="0" borderId="74" xfId="0" applyFont="1" applyBorder="1" applyAlignment="1" applyProtection="1">
      <alignment horizontal="center" vertical="center" wrapText="1"/>
      <protection hidden="1"/>
    </xf>
    <xf numFmtId="165" fontId="23" fillId="12" borderId="19" xfId="0" applyNumberFormat="1" applyFont="1" applyFill="1" applyBorder="1" applyAlignment="1" applyProtection="1">
      <alignment horizontal="center" vertical="center" wrapText="1"/>
      <protection hidden="1"/>
    </xf>
    <xf numFmtId="0" fontId="41" fillId="3" borderId="2" xfId="0" applyFont="1" applyFill="1" applyBorder="1" applyAlignment="1" applyProtection="1">
      <alignment vertical="center" wrapText="1"/>
      <protection hidden="1"/>
    </xf>
    <xf numFmtId="0" fontId="41" fillId="3" borderId="4" xfId="0" applyFont="1" applyFill="1" applyBorder="1" applyAlignment="1" applyProtection="1">
      <alignment vertical="center" wrapText="1"/>
      <protection hidden="1"/>
    </xf>
    <xf numFmtId="0" fontId="26" fillId="12" borderId="33" xfId="0" applyFont="1" applyFill="1" applyBorder="1" applyAlignment="1" applyProtection="1">
      <alignment horizontal="center" vertical="center" wrapText="1"/>
      <protection hidden="1"/>
    </xf>
    <xf numFmtId="2" fontId="26" fillId="0" borderId="50" xfId="0" applyNumberFormat="1" applyFont="1" applyBorder="1" applyAlignment="1" applyProtection="1">
      <alignment horizontal="center" vertical="center" wrapText="1"/>
      <protection hidden="1"/>
    </xf>
    <xf numFmtId="0" fontId="26" fillId="12" borderId="1" xfId="0" applyFont="1" applyFill="1" applyBorder="1" applyAlignment="1" applyProtection="1">
      <alignment horizontal="center" vertical="center" wrapText="1"/>
      <protection hidden="1"/>
    </xf>
    <xf numFmtId="0" fontId="26" fillId="12" borderId="54" xfId="0" applyFont="1" applyFill="1" applyBorder="1" applyAlignment="1" applyProtection="1">
      <alignment horizontal="center" vertical="center" wrapText="1"/>
      <protection hidden="1"/>
    </xf>
    <xf numFmtId="165" fontId="23" fillId="12" borderId="74" xfId="0" applyNumberFormat="1" applyFont="1" applyFill="1" applyBorder="1" applyAlignment="1" applyProtection="1">
      <alignment horizontal="center" vertical="center" wrapText="1"/>
      <protection hidden="1"/>
    </xf>
    <xf numFmtId="165" fontId="23" fillId="12" borderId="54" xfId="0" applyNumberFormat="1" applyFont="1" applyFill="1" applyBorder="1" applyAlignment="1" applyProtection="1">
      <alignment horizontal="center" vertical="center" wrapText="1"/>
      <protection hidden="1"/>
    </xf>
    <xf numFmtId="165" fontId="26" fillId="27" borderId="15" xfId="0" applyNumberFormat="1" applyFont="1" applyFill="1" applyBorder="1" applyAlignment="1" applyProtection="1">
      <alignment horizontal="center" vertical="center" wrapText="1"/>
      <protection hidden="1"/>
    </xf>
    <xf numFmtId="165" fontId="26" fillId="27" borderId="20" xfId="0" applyNumberFormat="1" applyFont="1" applyFill="1" applyBorder="1" applyAlignment="1" applyProtection="1">
      <alignment horizontal="center" vertical="center" wrapText="1"/>
      <protection hidden="1"/>
    </xf>
    <xf numFmtId="165" fontId="26" fillId="27" borderId="21" xfId="0" applyNumberFormat="1" applyFont="1" applyFill="1" applyBorder="1" applyAlignment="1" applyProtection="1">
      <alignment horizontal="center" vertical="center" wrapText="1"/>
      <protection hidden="1"/>
    </xf>
    <xf numFmtId="165" fontId="26" fillId="27" borderId="23" xfId="0" applyNumberFormat="1" applyFont="1" applyFill="1" applyBorder="1" applyAlignment="1" applyProtection="1">
      <alignment horizontal="center" vertical="center" wrapText="1"/>
      <protection hidden="1"/>
    </xf>
    <xf numFmtId="0" fontId="27" fillId="0" borderId="15" xfId="0" applyFont="1" applyBorder="1" applyAlignment="1" applyProtection="1">
      <alignment horizontal="center" vertical="center" wrapText="1"/>
      <protection hidden="1"/>
    </xf>
    <xf numFmtId="0" fontId="27" fillId="0" borderId="20" xfId="0" applyFont="1" applyBorder="1" applyAlignment="1" applyProtection="1">
      <alignment horizontal="center" vertical="center" wrapText="1"/>
      <protection hidden="1"/>
    </xf>
    <xf numFmtId="165" fontId="26" fillId="27" borderId="50" xfId="0" applyNumberFormat="1" applyFont="1" applyFill="1" applyBorder="1" applyAlignment="1" applyProtection="1">
      <alignment horizontal="center" vertical="center" wrapText="1"/>
      <protection hidden="1"/>
    </xf>
    <xf numFmtId="165" fontId="26" fillId="27" borderId="52" xfId="0" applyNumberFormat="1" applyFont="1" applyFill="1" applyBorder="1" applyAlignment="1" applyProtection="1">
      <alignment horizontal="center" vertical="center" wrapText="1"/>
      <protection hidden="1"/>
    </xf>
    <xf numFmtId="165" fontId="26" fillId="0" borderId="52" xfId="0" applyNumberFormat="1" applyFont="1" applyBorder="1" applyAlignment="1" applyProtection="1">
      <alignment horizontal="center" vertical="center" wrapText="1"/>
      <protection hidden="1"/>
    </xf>
    <xf numFmtId="0" fontId="26" fillId="25" borderId="52" xfId="0" applyFont="1" applyFill="1" applyBorder="1" applyAlignment="1" applyProtection="1">
      <alignment horizontal="center" vertical="center" wrapText="1"/>
      <protection hidden="1"/>
    </xf>
    <xf numFmtId="0" fontId="26" fillId="25" borderId="47" xfId="0" applyFont="1" applyFill="1" applyBorder="1" applyAlignment="1" applyProtection="1">
      <alignment horizontal="center" vertical="center" wrapText="1"/>
      <protection hidden="1"/>
    </xf>
    <xf numFmtId="0" fontId="26" fillId="12" borderId="12" xfId="0" applyFont="1" applyFill="1" applyBorder="1" applyAlignment="1" applyProtection="1">
      <alignment horizontal="center" vertical="center" wrapText="1"/>
      <protection hidden="1"/>
    </xf>
    <xf numFmtId="0" fontId="26" fillId="25" borderId="55" xfId="0" applyFont="1" applyFill="1" applyBorder="1" applyAlignment="1" applyProtection="1">
      <alignment horizontal="center" vertical="center" wrapText="1"/>
      <protection hidden="1"/>
    </xf>
    <xf numFmtId="0" fontId="26" fillId="27" borderId="17" xfId="0" applyFont="1" applyFill="1" applyBorder="1" applyAlignment="1" applyProtection="1">
      <alignment horizontal="center" vertical="center" wrapText="1"/>
      <protection hidden="1"/>
    </xf>
    <xf numFmtId="0" fontId="26" fillId="27" borderId="19" xfId="0" applyFont="1" applyFill="1" applyBorder="1" applyAlignment="1" applyProtection="1">
      <alignment horizontal="center" vertical="center" wrapText="1"/>
      <protection hidden="1"/>
    </xf>
    <xf numFmtId="0" fontId="48" fillId="2" borderId="16" xfId="0" applyFont="1" applyFill="1" applyBorder="1" applyAlignment="1" applyProtection="1">
      <alignment vertical="center" wrapText="1"/>
      <protection hidden="1"/>
    </xf>
    <xf numFmtId="0" fontId="48" fillId="2" borderId="7" xfId="0" applyFont="1" applyFill="1" applyBorder="1" applyAlignment="1" applyProtection="1">
      <alignment vertical="center" wrapText="1"/>
      <protection hidden="1"/>
    </xf>
    <xf numFmtId="0" fontId="26" fillId="25" borderId="46" xfId="0" applyFont="1" applyFill="1" applyBorder="1" applyAlignment="1" applyProtection="1">
      <alignment horizontal="center" vertical="center" wrapText="1"/>
      <protection hidden="1"/>
    </xf>
    <xf numFmtId="0" fontId="26" fillId="12" borderId="56" xfId="0" applyFont="1" applyFill="1" applyBorder="1" applyAlignment="1" applyProtection="1">
      <alignment horizontal="center" vertical="center" wrapText="1"/>
      <protection hidden="1"/>
    </xf>
    <xf numFmtId="0" fontId="26" fillId="12" borderId="65" xfId="0" applyFont="1" applyFill="1" applyBorder="1" applyAlignment="1" applyProtection="1">
      <alignment horizontal="center" vertical="center" wrapText="1"/>
      <protection hidden="1"/>
    </xf>
    <xf numFmtId="0" fontId="48" fillId="3" borderId="3" xfId="0" applyFont="1" applyFill="1" applyBorder="1" applyAlignment="1" applyProtection="1">
      <alignment vertical="center" wrapText="1"/>
      <protection hidden="1"/>
    </xf>
    <xf numFmtId="0" fontId="24" fillId="19" borderId="29" xfId="0" applyFont="1" applyFill="1" applyBorder="1" applyAlignment="1" applyProtection="1">
      <alignment vertical="center" wrapText="1"/>
      <protection hidden="1"/>
    </xf>
    <xf numFmtId="0" fontId="24" fillId="19" borderId="30" xfId="0" applyFont="1" applyFill="1" applyBorder="1" applyAlignment="1" applyProtection="1">
      <alignment vertical="center" wrapText="1"/>
      <protection hidden="1"/>
    </xf>
    <xf numFmtId="4" fontId="26" fillId="0" borderId="20" xfId="0" applyNumberFormat="1" applyFont="1" applyBorder="1" applyAlignment="1" applyProtection="1">
      <alignment horizontal="center" vertical="center" wrapText="1"/>
      <protection hidden="1"/>
    </xf>
    <xf numFmtId="0" fontId="24" fillId="19" borderId="31" xfId="0" applyFont="1" applyFill="1" applyBorder="1" applyAlignment="1" applyProtection="1">
      <alignment vertical="center" wrapText="1"/>
      <protection hidden="1"/>
    </xf>
    <xf numFmtId="0" fontId="49" fillId="2" borderId="6" xfId="0" applyFont="1" applyFill="1" applyBorder="1" applyAlignment="1" applyProtection="1">
      <alignment vertical="center" wrapText="1"/>
      <protection hidden="1"/>
    </xf>
    <xf numFmtId="0" fontId="48" fillId="2" borderId="2" xfId="0" applyFont="1" applyFill="1" applyBorder="1" applyAlignment="1" applyProtection="1">
      <alignment vertical="center" wrapText="1"/>
      <protection hidden="1"/>
    </xf>
    <xf numFmtId="0" fontId="48" fillId="2" borderId="3" xfId="0" applyFont="1" applyFill="1" applyBorder="1" applyAlignment="1" applyProtection="1">
      <alignment vertical="center" wrapText="1"/>
      <protection hidden="1"/>
    </xf>
    <xf numFmtId="0" fontId="26" fillId="27" borderId="50" xfId="0" applyFont="1" applyFill="1" applyBorder="1" applyAlignment="1" applyProtection="1">
      <alignment horizontal="center" vertical="center" wrapText="1"/>
      <protection hidden="1"/>
    </xf>
    <xf numFmtId="0" fontId="48" fillId="2" borderId="4" xfId="0" applyFont="1" applyFill="1" applyBorder="1" applyAlignment="1" applyProtection="1">
      <alignment vertical="center" wrapText="1"/>
      <protection hidden="1"/>
    </xf>
    <xf numFmtId="0" fontId="26" fillId="27" borderId="15" xfId="0" applyFont="1" applyFill="1" applyBorder="1" applyAlignment="1" applyProtection="1">
      <alignment horizontal="center" vertical="center" wrapText="1"/>
      <protection hidden="1"/>
    </xf>
    <xf numFmtId="0" fontId="26" fillId="27" borderId="20" xfId="0" applyFont="1" applyFill="1" applyBorder="1" applyAlignment="1" applyProtection="1">
      <alignment horizontal="center" vertical="center" wrapText="1"/>
      <protection hidden="1"/>
    </xf>
    <xf numFmtId="165" fontId="26" fillId="25" borderId="46" xfId="0" applyNumberFormat="1" applyFont="1" applyFill="1" applyBorder="1" applyAlignment="1" applyProtection="1">
      <alignment horizontal="center" vertical="center" wrapText="1"/>
      <protection hidden="1"/>
    </xf>
    <xf numFmtId="2" fontId="26" fillId="0" borderId="15" xfId="0" applyNumberFormat="1" applyFont="1" applyBorder="1" applyAlignment="1" applyProtection="1">
      <alignment horizontal="center" vertical="center" wrapText="1"/>
      <protection hidden="1"/>
    </xf>
    <xf numFmtId="2" fontId="26" fillId="0" borderId="47" xfId="0" applyNumberFormat="1" applyFont="1" applyBorder="1" applyAlignment="1" applyProtection="1">
      <alignment horizontal="center" vertical="center" wrapText="1"/>
      <protection hidden="1"/>
    </xf>
    <xf numFmtId="0" fontId="26" fillId="0" borderId="48" xfId="0" applyFont="1" applyBorder="1" applyAlignment="1" applyProtection="1">
      <alignment horizontal="center" vertical="center" wrapText="1"/>
      <protection hidden="1"/>
    </xf>
    <xf numFmtId="0" fontId="10" fillId="28" borderId="42" xfId="0" applyFont="1" applyFill="1" applyBorder="1" applyAlignment="1" applyProtection="1">
      <alignment vertical="center" wrapText="1"/>
      <protection hidden="1"/>
    </xf>
    <xf numFmtId="0" fontId="10" fillId="28" borderId="45" xfId="0" applyFont="1" applyFill="1" applyBorder="1" applyAlignment="1" applyProtection="1">
      <alignment vertical="center" wrapText="1"/>
      <protection hidden="1"/>
    </xf>
    <xf numFmtId="0" fontId="21" fillId="29" borderId="43" xfId="0" applyFont="1" applyFill="1" applyBorder="1" applyAlignment="1" applyProtection="1">
      <alignment horizontal="center" vertical="center" wrapText="1"/>
    </xf>
    <xf numFmtId="0" fontId="21" fillId="0" borderId="0" xfId="0" applyFont="1" applyBorder="1" applyAlignment="1">
      <alignment horizontal="center" vertical="center" wrapText="1"/>
    </xf>
    <xf numFmtId="0" fontId="21" fillId="0" borderId="9" xfId="0" applyFont="1" applyBorder="1" applyAlignment="1">
      <alignment horizontal="center" vertical="center" wrapText="1"/>
    </xf>
    <xf numFmtId="9" fontId="24" fillId="6" borderId="10" xfId="1" applyFont="1" applyFill="1" applyBorder="1" applyAlignment="1" applyProtection="1">
      <alignment horizontal="center" vertical="center" wrapText="1"/>
    </xf>
    <xf numFmtId="9" fontId="24" fillId="6" borderId="8" xfId="1" applyFont="1" applyFill="1" applyBorder="1" applyAlignment="1" applyProtection="1">
      <alignment horizontal="center" vertical="center" wrapText="1"/>
    </xf>
    <xf numFmtId="9" fontId="24" fillId="6" borderId="5" xfId="1" applyFont="1" applyFill="1" applyBorder="1" applyAlignment="1" applyProtection="1">
      <alignment horizontal="center" vertical="center" wrapText="1"/>
    </xf>
    <xf numFmtId="0" fontId="26" fillId="11" borderId="2" xfId="0" applyFont="1" applyFill="1" applyBorder="1" applyAlignment="1" applyProtection="1">
      <alignment vertical="center" wrapText="1"/>
    </xf>
    <xf numFmtId="0" fontId="26" fillId="11" borderId="3" xfId="0" applyFont="1" applyFill="1" applyBorder="1" applyAlignment="1" applyProtection="1">
      <alignment vertical="center" wrapText="1"/>
    </xf>
    <xf numFmtId="0" fontId="26" fillId="11" borderId="4" xfId="0" applyFont="1" applyFill="1" applyBorder="1" applyAlignment="1" applyProtection="1">
      <alignment vertical="center" wrapText="1"/>
    </xf>
    <xf numFmtId="0" fontId="8" fillId="0" borderId="0" xfId="0" applyFont="1" applyBorder="1" applyAlignment="1" applyProtection="1">
      <alignment horizontal="center" vertical="center"/>
      <protection locked="0"/>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9" fontId="0" fillId="0" borderId="10" xfId="0" applyNumberFormat="1" applyBorder="1" applyAlignment="1" applyProtection="1">
      <alignment horizontal="center" vertical="center" wrapText="1"/>
    </xf>
    <xf numFmtId="9" fontId="0" fillId="0" borderId="5" xfId="0" applyNumberFormat="1" applyBorder="1" applyAlignment="1" applyProtection="1">
      <alignment horizontal="center" vertical="center" wrapText="1"/>
    </xf>
    <xf numFmtId="0" fontId="2" fillId="2" borderId="2" xfId="0" applyFont="1" applyFill="1" applyBorder="1" applyAlignment="1" applyProtection="1">
      <alignment vertical="center" wrapText="1"/>
      <protection locked="0"/>
    </xf>
    <xf numFmtId="0" fontId="2" fillId="2" borderId="3" xfId="0" applyFont="1" applyFill="1" applyBorder="1" applyAlignment="1" applyProtection="1">
      <alignment vertical="center" wrapText="1"/>
      <protection locked="0"/>
    </xf>
    <xf numFmtId="0" fontId="2" fillId="2" borderId="4" xfId="0" applyFont="1" applyFill="1" applyBorder="1" applyAlignment="1" applyProtection="1">
      <alignment vertical="center" wrapText="1"/>
      <protection locked="0"/>
    </xf>
    <xf numFmtId="0" fontId="23" fillId="3" borderId="42" xfId="0" applyFont="1" applyFill="1" applyBorder="1" applyAlignment="1" applyProtection="1">
      <alignment vertical="center" wrapText="1"/>
    </xf>
    <xf numFmtId="0" fontId="23" fillId="3" borderId="44" xfId="0" applyFont="1" applyFill="1" applyBorder="1" applyAlignment="1" applyProtection="1">
      <alignment vertical="center" wrapText="1"/>
    </xf>
    <xf numFmtId="0" fontId="23" fillId="3" borderId="45" xfId="0" applyFont="1" applyFill="1" applyBorder="1" applyAlignment="1" applyProtection="1">
      <alignment vertical="center" wrapText="1"/>
    </xf>
    <xf numFmtId="0" fontId="24" fillId="0" borderId="32" xfId="0" applyFont="1" applyBorder="1" applyAlignment="1" applyProtection="1">
      <alignment horizontal="left" vertical="center" wrapText="1"/>
    </xf>
    <xf numFmtId="0" fontId="24" fillId="0" borderId="33" xfId="0" applyFont="1" applyBorder="1" applyAlignment="1" applyProtection="1">
      <alignment horizontal="left" vertical="center" wrapText="1"/>
    </xf>
    <xf numFmtId="0" fontId="24" fillId="0" borderId="34" xfId="0" applyFont="1" applyBorder="1" applyAlignment="1" applyProtection="1">
      <alignment horizontal="left" vertical="center" wrapText="1"/>
    </xf>
    <xf numFmtId="0" fontId="24" fillId="0" borderId="32"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10" xfId="0" applyFont="1" applyFill="1" applyBorder="1" applyAlignment="1" applyProtection="1">
      <alignment horizontal="left" vertical="center" wrapText="1"/>
    </xf>
    <xf numFmtId="0" fontId="24" fillId="0" borderId="8" xfId="0" applyFont="1" applyFill="1" applyBorder="1" applyAlignment="1" applyProtection="1">
      <alignment horizontal="left" vertical="center" wrapText="1"/>
    </xf>
    <xf numFmtId="0" fontId="24" fillId="0" borderId="5" xfId="0" applyFont="1" applyFill="1" applyBorder="1" applyAlignment="1" applyProtection="1">
      <alignment horizontal="left" vertical="center" wrapText="1"/>
    </xf>
    <xf numFmtId="9" fontId="15" fillId="0" borderId="10" xfId="1" applyFont="1" applyBorder="1" applyAlignment="1" applyProtection="1">
      <alignment horizontal="center" vertical="center" wrapText="1"/>
    </xf>
    <xf numFmtId="9" fontId="15" fillId="0" borderId="8" xfId="1" applyFont="1" applyBorder="1" applyAlignment="1">
      <alignment horizontal="center" vertical="center" wrapText="1"/>
    </xf>
    <xf numFmtId="9" fontId="15" fillId="0" borderId="5" xfId="1" applyFont="1" applyBorder="1" applyAlignment="1">
      <alignment horizontal="center" vertical="center" wrapText="1"/>
    </xf>
    <xf numFmtId="0" fontId="23" fillId="3" borderId="2" xfId="0" applyFont="1" applyFill="1" applyBorder="1" applyAlignment="1" applyProtection="1">
      <alignment vertical="center" wrapText="1"/>
    </xf>
    <xf numFmtId="0" fontId="23" fillId="3" borderId="3" xfId="0" applyFont="1" applyFill="1" applyBorder="1" applyAlignment="1" applyProtection="1">
      <alignment vertical="center" wrapText="1"/>
    </xf>
    <xf numFmtId="0" fontId="23" fillId="3" borderId="4" xfId="0" applyFont="1" applyFill="1" applyBorder="1" applyAlignment="1" applyProtection="1">
      <alignment vertical="center" wrapText="1"/>
    </xf>
    <xf numFmtId="0" fontId="24" fillId="0" borderId="10" xfId="0" applyFont="1" applyFill="1" applyBorder="1" applyAlignment="1" applyProtection="1">
      <alignment horizontal="center" vertical="center" wrapText="1"/>
    </xf>
    <xf numFmtId="0" fontId="24" fillId="0" borderId="8" xfId="0" applyFont="1" applyFill="1" applyBorder="1" applyAlignment="1" applyProtection="1">
      <alignment horizontal="center" vertical="center" wrapText="1"/>
    </xf>
    <xf numFmtId="0" fontId="24" fillId="0" borderId="5" xfId="0" applyFont="1" applyFill="1" applyBorder="1" applyAlignment="1" applyProtection="1">
      <alignment horizontal="center" vertical="center" wrapText="1"/>
    </xf>
    <xf numFmtId="0" fontId="15" fillId="0" borderId="8" xfId="0" applyFont="1" applyBorder="1" applyAlignment="1" applyProtection="1">
      <alignment horizontal="center" vertical="center" wrapText="1"/>
    </xf>
    <xf numFmtId="0" fontId="15" fillId="0" borderId="5" xfId="0" applyFont="1" applyBorder="1" applyAlignment="1" applyProtection="1">
      <alignment horizontal="center" vertical="center" wrapText="1"/>
    </xf>
    <xf numFmtId="0" fontId="24" fillId="0" borderId="25" xfId="0" applyFont="1" applyFill="1" applyBorder="1" applyAlignment="1" applyProtection="1">
      <alignment vertical="center" wrapText="1"/>
    </xf>
    <xf numFmtId="0" fontId="2" fillId="2" borderId="2" xfId="0" applyFont="1" applyFill="1" applyBorder="1" applyAlignment="1" applyProtection="1">
      <alignment vertical="center" wrapText="1"/>
    </xf>
    <xf numFmtId="0" fontId="2" fillId="2" borderId="3" xfId="0" applyFont="1" applyFill="1" applyBorder="1" applyAlignment="1" applyProtection="1">
      <alignment vertical="center" wrapText="1"/>
    </xf>
    <xf numFmtId="0" fontId="2" fillId="2" borderId="4" xfId="0" applyFont="1" applyFill="1" applyBorder="1" applyAlignment="1" applyProtection="1">
      <alignment vertical="center" wrapText="1"/>
    </xf>
    <xf numFmtId="2" fontId="24" fillId="0" borderId="24" xfId="0" applyNumberFormat="1" applyFont="1" applyFill="1" applyBorder="1" applyAlignment="1" applyProtection="1">
      <alignment horizontal="left" vertical="center" wrapText="1"/>
    </xf>
    <xf numFmtId="2" fontId="15" fillId="0" borderId="26" xfId="0" applyNumberFormat="1" applyFont="1" applyBorder="1" applyAlignment="1" applyProtection="1">
      <alignment horizontal="left" vertical="center" wrapText="1"/>
    </xf>
    <xf numFmtId="9" fontId="24" fillId="6" borderId="32" xfId="1" applyFont="1" applyFill="1" applyBorder="1" applyAlignment="1" applyProtection="1">
      <alignment horizontal="center" vertical="center" wrapText="1"/>
    </xf>
    <xf numFmtId="0" fontId="15" fillId="0" borderId="34" xfId="0" applyFont="1" applyBorder="1" applyAlignment="1">
      <alignment horizontal="center" vertical="center" wrapText="1"/>
    </xf>
    <xf numFmtId="0" fontId="2" fillId="2" borderId="2" xfId="0" applyFont="1" applyFill="1" applyBorder="1" applyAlignment="1" applyProtection="1">
      <alignment horizontal="left" vertical="center" wrapText="1"/>
    </xf>
    <xf numFmtId="0" fontId="2" fillId="2" borderId="3" xfId="0" applyFont="1" applyFill="1" applyBorder="1" applyAlignment="1" applyProtection="1">
      <alignment horizontal="left" vertical="center" wrapText="1"/>
    </xf>
    <xf numFmtId="0" fontId="2" fillId="2" borderId="4" xfId="0" applyFont="1" applyFill="1" applyBorder="1" applyAlignment="1" applyProtection="1">
      <alignment horizontal="left" vertical="center" wrapText="1"/>
    </xf>
    <xf numFmtId="0" fontId="2" fillId="2" borderId="16"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2" fillId="2" borderId="7" xfId="0" applyFont="1" applyFill="1" applyBorder="1" applyAlignment="1" applyProtection="1">
      <alignment vertical="center" wrapText="1"/>
    </xf>
    <xf numFmtId="0" fontId="2" fillId="2" borderId="16"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6" fillId="3" borderId="2" xfId="0" applyFont="1" applyFill="1" applyBorder="1" applyAlignment="1" applyProtection="1">
      <alignment vertical="center" wrapText="1"/>
    </xf>
    <xf numFmtId="0" fontId="26" fillId="3" borderId="3" xfId="0" applyFont="1" applyFill="1" applyBorder="1" applyAlignment="1" applyProtection="1">
      <alignment vertical="center" wrapText="1"/>
    </xf>
    <xf numFmtId="0" fontId="26" fillId="3" borderId="4" xfId="0" applyFont="1" applyFill="1" applyBorder="1" applyAlignment="1" applyProtection="1">
      <alignment vertical="center" wrapText="1"/>
    </xf>
    <xf numFmtId="0" fontId="15" fillId="0" borderId="33" xfId="0" applyFont="1" applyBorder="1" applyAlignment="1" applyProtection="1">
      <alignment horizontal="center" vertical="center" wrapText="1"/>
    </xf>
    <xf numFmtId="0" fontId="15" fillId="0" borderId="34" xfId="0" applyFont="1" applyBorder="1" applyAlignment="1" applyProtection="1">
      <alignment horizontal="center" vertical="center" wrapText="1"/>
    </xf>
    <xf numFmtId="0" fontId="24" fillId="0" borderId="32"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24" fillId="0" borderId="34" xfId="0" applyFont="1" applyFill="1" applyBorder="1" applyAlignment="1" applyProtection="1">
      <alignment horizontal="left" vertical="center" wrapText="1"/>
    </xf>
    <xf numFmtId="9" fontId="24" fillId="0" borderId="32" xfId="1" applyFont="1" applyFill="1" applyBorder="1" applyAlignment="1" applyProtection="1">
      <alignment horizontal="center" vertical="center" wrapText="1"/>
    </xf>
    <xf numFmtId="9" fontId="24" fillId="0" borderId="33" xfId="1" applyFont="1" applyFill="1" applyBorder="1" applyAlignment="1" applyProtection="1">
      <alignment horizontal="center" vertical="center" wrapText="1"/>
    </xf>
    <xf numFmtId="9" fontId="24" fillId="0" borderId="34" xfId="1" applyFont="1" applyFill="1" applyBorder="1" applyAlignment="1" applyProtection="1">
      <alignment horizontal="center" vertical="center" wrapText="1"/>
    </xf>
    <xf numFmtId="0" fontId="24" fillId="12" borderId="41" xfId="0" applyFont="1" applyFill="1" applyBorder="1" applyAlignment="1" applyProtection="1">
      <alignment vertical="center" wrapText="1"/>
    </xf>
    <xf numFmtId="0" fontId="24" fillId="12" borderId="5" xfId="0" applyFont="1" applyFill="1" applyBorder="1" applyAlignment="1" applyProtection="1">
      <alignment vertical="center" wrapText="1"/>
    </xf>
    <xf numFmtId="9" fontId="25" fillId="6" borderId="10" xfId="1" applyFont="1" applyFill="1" applyBorder="1" applyAlignment="1" applyProtection="1">
      <alignment horizontal="center" vertical="center" wrapText="1"/>
    </xf>
    <xf numFmtId="9" fontId="25" fillId="6" borderId="5" xfId="1" applyFont="1" applyFill="1" applyBorder="1" applyAlignment="1" applyProtection="1">
      <alignment horizontal="center" vertical="center" wrapText="1"/>
    </xf>
    <xf numFmtId="9" fontId="24" fillId="0" borderId="10" xfId="1" applyFont="1" applyBorder="1" applyAlignment="1" applyProtection="1">
      <alignment horizontal="center" vertical="center" wrapText="1"/>
    </xf>
    <xf numFmtId="9" fontId="24" fillId="0" borderId="5" xfId="1" applyFont="1" applyBorder="1" applyAlignment="1" applyProtection="1">
      <alignment horizontal="center" vertical="center" wrapText="1"/>
    </xf>
    <xf numFmtId="0" fontId="23" fillId="3" borderId="50" xfId="0" applyFont="1" applyFill="1" applyBorder="1" applyAlignment="1" applyProtection="1">
      <alignment vertical="center" wrapText="1"/>
    </xf>
    <xf numFmtId="0" fontId="23" fillId="3" borderId="35" xfId="0" applyFont="1" applyFill="1" applyBorder="1" applyAlignment="1" applyProtection="1">
      <alignment vertical="center" wrapText="1"/>
    </xf>
    <xf numFmtId="0" fontId="23" fillId="3" borderId="36" xfId="0" applyFont="1" applyFill="1" applyBorder="1" applyAlignment="1" applyProtection="1">
      <alignment vertical="center" wrapText="1"/>
    </xf>
    <xf numFmtId="0" fontId="30" fillId="3" borderId="2" xfId="0" applyFont="1" applyFill="1" applyBorder="1" applyAlignment="1" applyProtection="1">
      <alignment vertical="center" wrapText="1"/>
    </xf>
    <xf numFmtId="0" fontId="30" fillId="3" borderId="3" xfId="0" applyFont="1" applyFill="1" applyBorder="1" applyAlignment="1" applyProtection="1">
      <alignment vertical="center" wrapText="1"/>
    </xf>
    <xf numFmtId="0" fontId="30" fillId="3" borderId="4" xfId="0" applyFont="1" applyFill="1" applyBorder="1" applyAlignment="1" applyProtection="1">
      <alignment vertical="center" wrapText="1"/>
    </xf>
    <xf numFmtId="0" fontId="15" fillId="0" borderId="33" xfId="0" applyFont="1" applyBorder="1" applyAlignment="1" applyProtection="1">
      <alignment horizontal="left" vertical="center" wrapText="1"/>
    </xf>
    <xf numFmtId="0" fontId="15" fillId="0" borderId="34" xfId="0" applyFont="1" applyBorder="1" applyAlignment="1" applyProtection="1">
      <alignment horizontal="left" vertical="center" wrapText="1"/>
    </xf>
    <xf numFmtId="9" fontId="22" fillId="11" borderId="10" xfId="1" applyFont="1" applyFill="1" applyBorder="1" applyAlignment="1" applyProtection="1">
      <alignment horizontal="center" vertical="center" wrapText="1"/>
    </xf>
    <xf numFmtId="9" fontId="22" fillId="11" borderId="8" xfId="1" applyFont="1" applyFill="1" applyBorder="1" applyAlignment="1" applyProtection="1">
      <alignment horizontal="center" vertical="center" wrapText="1"/>
    </xf>
    <xf numFmtId="0" fontId="15" fillId="0" borderId="33" xfId="0" applyFont="1" applyBorder="1" applyAlignment="1" applyProtection="1">
      <alignment vertical="center" wrapText="1"/>
    </xf>
    <xf numFmtId="0" fontId="24" fillId="0" borderId="33" xfId="0" applyFont="1" applyFill="1" applyBorder="1" applyAlignment="1" applyProtection="1">
      <alignment vertical="center" wrapText="1"/>
    </xf>
    <xf numFmtId="0" fontId="15" fillId="0" borderId="33" xfId="0" applyFont="1" applyFill="1" applyBorder="1" applyAlignment="1" applyProtection="1">
      <alignment vertical="center" wrapText="1"/>
    </xf>
    <xf numFmtId="0" fontId="23" fillId="3" borderId="6" xfId="0" applyFont="1" applyFill="1" applyBorder="1" applyAlignment="1" applyProtection="1">
      <alignment vertical="center" wrapText="1"/>
    </xf>
    <xf numFmtId="0" fontId="23" fillId="3" borderId="7" xfId="0" applyFont="1" applyFill="1" applyBorder="1" applyAlignment="1" applyProtection="1">
      <alignment vertical="center" wrapText="1"/>
    </xf>
    <xf numFmtId="9" fontId="22" fillId="11" borderId="5" xfId="1" applyFont="1" applyFill="1" applyBorder="1" applyAlignment="1" applyProtection="1">
      <alignment horizontal="center" vertical="center" wrapText="1"/>
    </xf>
    <xf numFmtId="0" fontId="22" fillId="0" borderId="42" xfId="0" applyFont="1" applyBorder="1" applyAlignment="1" applyProtection="1">
      <alignment vertical="center" wrapText="1"/>
    </xf>
    <xf numFmtId="0" fontId="22" fillId="0" borderId="43" xfId="0" applyFont="1" applyBorder="1" applyAlignment="1" applyProtection="1">
      <alignment vertical="center" wrapText="1"/>
    </xf>
    <xf numFmtId="0" fontId="22" fillId="0" borderId="16" xfId="0" applyFont="1" applyBorder="1" applyAlignment="1" applyProtection="1">
      <alignment vertical="center" wrapText="1"/>
    </xf>
    <xf numFmtId="0" fontId="22" fillId="0" borderId="15" xfId="0" applyFont="1" applyBorder="1" applyAlignment="1" applyProtection="1">
      <alignment vertical="center" wrapText="1"/>
    </xf>
    <xf numFmtId="0" fontId="22" fillId="0" borderId="21" xfId="0" applyFont="1" applyBorder="1" applyAlignment="1" applyProtection="1">
      <alignment vertical="center" wrapText="1"/>
    </xf>
    <xf numFmtId="0" fontId="22" fillId="0" borderId="24" xfId="0" applyFont="1" applyBorder="1" applyAlignment="1" applyProtection="1">
      <alignment horizontal="left" vertical="center" wrapText="1"/>
    </xf>
    <xf numFmtId="0" fontId="22" fillId="0" borderId="26" xfId="0" applyFont="1" applyBorder="1" applyAlignment="1" applyProtection="1">
      <alignment horizontal="left" vertical="center" wrapText="1"/>
    </xf>
    <xf numFmtId="9" fontId="22" fillId="11" borderId="32" xfId="1" applyFont="1" applyFill="1" applyBorder="1" applyAlignment="1" applyProtection="1">
      <alignment horizontal="center" vertical="center" wrapText="1"/>
    </xf>
    <xf numFmtId="9" fontId="22" fillId="11" borderId="34" xfId="1" applyFont="1" applyFill="1" applyBorder="1" applyAlignment="1" applyProtection="1">
      <alignment horizontal="center" vertical="center" wrapText="1"/>
    </xf>
    <xf numFmtId="0" fontId="22" fillId="0" borderId="24" xfId="0" applyFont="1" applyBorder="1" applyAlignment="1" applyProtection="1">
      <alignment vertical="center" wrapText="1"/>
    </xf>
    <xf numFmtId="0" fontId="15" fillId="0" borderId="26" xfId="0" applyFont="1" applyBorder="1" applyAlignment="1" applyProtection="1">
      <alignment vertical="center" wrapText="1"/>
    </xf>
    <xf numFmtId="9" fontId="24" fillId="4" borderId="10" xfId="1" applyFont="1" applyFill="1" applyBorder="1" applyAlignment="1" applyProtection="1">
      <alignment horizontal="center" vertical="center" wrapText="1"/>
    </xf>
    <xf numFmtId="9" fontId="24" fillId="4" borderId="5" xfId="1" applyFont="1" applyFill="1" applyBorder="1" applyAlignment="1" applyProtection="1">
      <alignment horizontal="center" vertical="center" wrapText="1"/>
    </xf>
    <xf numFmtId="0" fontId="29" fillId="29" borderId="43" xfId="0" applyFont="1" applyFill="1" applyBorder="1" applyAlignment="1" applyProtection="1">
      <alignment horizontal="center"/>
      <protection locked="0"/>
    </xf>
    <xf numFmtId="0" fontId="29" fillId="29" borderId="0" xfId="0" applyFont="1" applyFill="1" applyBorder="1" applyAlignment="1" applyProtection="1">
      <alignment horizontal="center"/>
      <protection locked="0"/>
    </xf>
    <xf numFmtId="0" fontId="11" fillId="30" borderId="16" xfId="0" applyFont="1" applyFill="1" applyBorder="1" applyAlignment="1" applyProtection="1">
      <alignment vertical="center" wrapText="1"/>
    </xf>
    <xf numFmtId="0" fontId="11" fillId="30" borderId="6" xfId="0" applyFont="1" applyFill="1" applyBorder="1" applyAlignment="1" applyProtection="1">
      <alignment vertical="center" wrapText="1"/>
    </xf>
    <xf numFmtId="0" fontId="11" fillId="30" borderId="7" xfId="0" applyFont="1" applyFill="1" applyBorder="1" applyAlignment="1" applyProtection="1">
      <alignment vertical="center" wrapText="1"/>
    </xf>
    <xf numFmtId="0" fontId="11" fillId="2" borderId="2" xfId="0" applyFont="1" applyFill="1" applyBorder="1" applyAlignment="1" applyProtection="1">
      <alignment vertical="center" wrapText="1"/>
    </xf>
    <xf numFmtId="0" fontId="11" fillId="2" borderId="3" xfId="0" applyFont="1" applyFill="1" applyBorder="1" applyAlignment="1" applyProtection="1">
      <alignment vertical="center" wrapText="1"/>
    </xf>
    <xf numFmtId="0" fontId="11" fillId="2" borderId="4" xfId="0" applyFont="1" applyFill="1" applyBorder="1" applyAlignment="1" applyProtection="1">
      <alignment vertical="center" wrapText="1"/>
    </xf>
    <xf numFmtId="0" fontId="53" fillId="4" borderId="0" xfId="0" applyFont="1" applyFill="1" applyBorder="1" applyAlignment="1" applyProtection="1">
      <alignment horizontal="center" vertical="center" wrapText="1"/>
    </xf>
    <xf numFmtId="0" fontId="54" fillId="4" borderId="0" xfId="0" applyFont="1" applyFill="1" applyBorder="1" applyAlignment="1">
      <alignment vertical="center" wrapText="1"/>
    </xf>
    <xf numFmtId="9" fontId="61" fillId="11" borderId="45" xfId="1" applyFont="1" applyFill="1" applyBorder="1" applyAlignment="1" applyProtection="1">
      <alignment horizontal="center" vertical="center" wrapText="1"/>
    </xf>
    <xf numFmtId="9" fontId="61" fillId="11" borderId="9" xfId="1" applyFont="1" applyFill="1" applyBorder="1" applyAlignment="1" applyProtection="1">
      <alignment horizontal="center" vertical="center" wrapText="1"/>
    </xf>
    <xf numFmtId="9" fontId="61" fillId="11" borderId="7" xfId="1" applyFont="1" applyFill="1" applyBorder="1" applyAlignment="1" applyProtection="1">
      <alignment horizontal="center" vertical="center" wrapText="1"/>
    </xf>
    <xf numFmtId="9" fontId="61" fillId="11" borderId="58" xfId="1" applyFont="1" applyFill="1" applyBorder="1" applyAlignment="1" applyProtection="1">
      <alignment horizontal="center" vertical="center" wrapText="1"/>
    </xf>
    <xf numFmtId="9" fontId="61" fillId="11" borderId="60" xfId="1" applyFont="1" applyFill="1" applyBorder="1" applyAlignment="1" applyProtection="1">
      <alignment horizontal="center" vertical="center" wrapText="1"/>
    </xf>
    <xf numFmtId="9" fontId="62" fillId="6" borderId="45" xfId="1" applyFont="1" applyFill="1" applyBorder="1" applyAlignment="1" applyProtection="1">
      <alignment horizontal="center" vertical="center" wrapText="1"/>
    </xf>
    <xf numFmtId="9" fontId="62" fillId="6" borderId="9" xfId="1" applyFont="1" applyFill="1" applyBorder="1" applyAlignment="1" applyProtection="1">
      <alignment horizontal="center" vertical="center" wrapText="1"/>
    </xf>
    <xf numFmtId="9" fontId="62" fillId="6" borderId="7" xfId="1" applyFont="1" applyFill="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9" fontId="62" fillId="0" borderId="58" xfId="1" applyFont="1" applyFill="1" applyBorder="1" applyAlignment="1" applyProtection="1">
      <alignment horizontal="center" vertical="center" wrapText="1"/>
    </xf>
    <xf numFmtId="9" fontId="62" fillId="0" borderId="59" xfId="1" applyFont="1" applyFill="1" applyBorder="1" applyAlignment="1" applyProtection="1">
      <alignment horizontal="center" vertical="center" wrapText="1"/>
    </xf>
    <xf numFmtId="9" fontId="62" fillId="0" borderId="60" xfId="1" applyFont="1" applyFill="1" applyBorder="1" applyAlignment="1" applyProtection="1">
      <alignment horizontal="center" vertical="center" wrapText="1"/>
    </xf>
    <xf numFmtId="0" fontId="29" fillId="12" borderId="2" xfId="0" applyFont="1" applyFill="1" applyBorder="1" applyAlignment="1" applyProtection="1">
      <alignment vertical="top" wrapText="1"/>
      <protection locked="0"/>
    </xf>
    <xf numFmtId="0" fontId="60" fillId="12" borderId="3" xfId="0" applyFont="1" applyFill="1" applyBorder="1" applyAlignment="1">
      <alignment vertical="top" wrapText="1"/>
    </xf>
    <xf numFmtId="0" fontId="60" fillId="12" borderId="4" xfId="0" applyFont="1" applyFill="1" applyBorder="1" applyAlignment="1">
      <alignment vertical="top" wrapText="1"/>
    </xf>
    <xf numFmtId="0" fontId="29" fillId="24" borderId="16" xfId="0" applyFont="1" applyFill="1" applyBorder="1" applyAlignment="1" applyProtection="1">
      <alignment horizontal="center"/>
      <protection locked="0"/>
    </xf>
    <xf numFmtId="0" fontId="29" fillId="24" borderId="6" xfId="0" applyFont="1" applyFill="1" applyBorder="1" applyAlignment="1" applyProtection="1">
      <alignment horizontal="center"/>
      <protection locked="0"/>
    </xf>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1" fillId="2" borderId="4" xfId="0" applyFont="1" applyFill="1" applyBorder="1" applyAlignment="1">
      <alignment vertical="center" wrapText="1"/>
    </xf>
    <xf numFmtId="0" fontId="2" fillId="3" borderId="43" xfId="0" applyFont="1" applyFill="1" applyBorder="1" applyAlignment="1">
      <alignment vertical="center" wrapText="1"/>
    </xf>
    <xf numFmtId="0" fontId="2" fillId="3" borderId="0" xfId="0" applyFont="1" applyFill="1" applyAlignment="1">
      <alignment vertical="center" wrapText="1"/>
    </xf>
    <xf numFmtId="0" fontId="2" fillId="3" borderId="9" xfId="0" applyFont="1" applyFill="1" applyBorder="1" applyAlignment="1">
      <alignment vertical="center" wrapText="1"/>
    </xf>
    <xf numFmtId="0" fontId="11" fillId="9" borderId="2" xfId="0" applyFont="1" applyFill="1" applyBorder="1" applyAlignment="1">
      <alignment vertical="center" wrapText="1"/>
    </xf>
    <xf numFmtId="0" fontId="11" fillId="9" borderId="3" xfId="0" applyFont="1" applyFill="1" applyBorder="1" applyAlignment="1">
      <alignment vertical="center" wrapText="1"/>
    </xf>
    <xf numFmtId="0" fontId="11" fillId="9" borderId="4" xfId="0" applyFont="1" applyFill="1" applyBorder="1" applyAlignment="1">
      <alignment vertical="center" wrapText="1"/>
    </xf>
    <xf numFmtId="0" fontId="2" fillId="11" borderId="43" xfId="0" applyFont="1" applyFill="1" applyBorder="1" applyAlignment="1">
      <alignment vertical="center" wrapText="1"/>
    </xf>
    <xf numFmtId="0" fontId="2" fillId="11" borderId="0" xfId="0" applyFont="1" applyFill="1" applyAlignment="1">
      <alignment vertical="center" wrapText="1"/>
    </xf>
    <xf numFmtId="0" fontId="2" fillId="11" borderId="9" xfId="0" applyFont="1" applyFill="1" applyBorder="1" applyAlignment="1">
      <alignment vertical="center" wrapText="1"/>
    </xf>
    <xf numFmtId="0" fontId="8" fillId="0" borderId="0" xfId="0" applyFont="1" applyAlignment="1" applyProtection="1">
      <alignment horizontal="center" vertical="center"/>
      <protection locked="0"/>
    </xf>
    <xf numFmtId="0" fontId="22" fillId="0" borderId="53" xfId="0" applyFont="1" applyBorder="1" applyAlignment="1">
      <alignment vertical="center" wrapText="1"/>
    </xf>
    <xf numFmtId="0" fontId="15" fillId="0" borderId="34" xfId="0" applyFont="1" applyBorder="1" applyAlignment="1">
      <alignment vertical="center" wrapText="1"/>
    </xf>
    <xf numFmtId="165" fontId="23" fillId="4" borderId="53" xfId="0" applyNumberFormat="1" applyFont="1" applyFill="1" applyBorder="1" applyAlignment="1">
      <alignment horizontal="center" vertical="center" wrapText="1"/>
    </xf>
    <xf numFmtId="165" fontId="23" fillId="4" borderId="34" xfId="0" applyNumberFormat="1" applyFont="1" applyFill="1" applyBorder="1" applyAlignment="1">
      <alignment horizontal="center" vertical="center" wrapText="1"/>
    </xf>
    <xf numFmtId="9" fontId="22" fillId="11" borderId="58" xfId="1" applyFont="1" applyFill="1" applyBorder="1" applyAlignment="1" applyProtection="1">
      <alignment horizontal="center" vertical="center" wrapText="1"/>
      <protection hidden="1"/>
    </xf>
    <xf numFmtId="9" fontId="22" fillId="11" borderId="60" xfId="1" applyFont="1" applyFill="1" applyBorder="1" applyAlignment="1" applyProtection="1">
      <alignment horizontal="center" vertical="center" wrapText="1"/>
      <protection hidden="1"/>
    </xf>
    <xf numFmtId="2" fontId="22" fillId="11" borderId="32" xfId="1" applyNumberFormat="1" applyFont="1" applyFill="1" applyBorder="1" applyAlignment="1" applyProtection="1">
      <alignment horizontal="center" vertical="center" wrapText="1"/>
      <protection hidden="1"/>
    </xf>
    <xf numFmtId="2" fontId="22" fillId="11" borderId="34" xfId="1" applyNumberFormat="1" applyFont="1" applyFill="1" applyBorder="1" applyAlignment="1" applyProtection="1">
      <alignment horizontal="center" vertical="center" wrapText="1"/>
      <protection hidden="1"/>
    </xf>
    <xf numFmtId="9" fontId="23" fillId="11" borderId="10" xfId="1" applyFont="1" applyFill="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22" fillId="0" borderId="24" xfId="0" applyFont="1" applyBorder="1" applyAlignment="1">
      <alignment horizontal="left" vertical="center" wrapText="1"/>
    </xf>
    <xf numFmtId="0" fontId="22" fillId="0" borderId="26" xfId="0" applyFont="1" applyBorder="1" applyAlignment="1">
      <alignment horizontal="left" vertical="center" wrapText="1"/>
    </xf>
    <xf numFmtId="165" fontId="23" fillId="20" borderId="32" xfId="0" applyNumberFormat="1" applyFont="1" applyFill="1" applyBorder="1" applyAlignment="1">
      <alignment horizontal="center" vertical="center" wrapText="1"/>
    </xf>
    <xf numFmtId="165" fontId="23" fillId="20" borderId="34" xfId="0" applyNumberFormat="1" applyFont="1" applyFill="1" applyBorder="1" applyAlignment="1">
      <alignment horizontal="center" vertical="center" wrapText="1"/>
    </xf>
    <xf numFmtId="0" fontId="23" fillId="3" borderId="42" xfId="0" applyFont="1" applyFill="1" applyBorder="1" applyAlignment="1">
      <alignment vertical="center" wrapText="1"/>
    </xf>
    <xf numFmtId="0" fontId="23" fillId="3" borderId="44" xfId="0" applyFont="1" applyFill="1" applyBorder="1" applyAlignment="1">
      <alignment vertical="center" wrapText="1"/>
    </xf>
    <xf numFmtId="0" fontId="23" fillId="3" borderId="45" xfId="0" applyFont="1" applyFill="1" applyBorder="1" applyAlignment="1">
      <alignment vertical="center" wrapText="1"/>
    </xf>
    <xf numFmtId="0" fontId="24" fillId="0" borderId="32" xfId="0" applyFont="1" applyBorder="1" applyAlignment="1">
      <alignment horizontal="left" vertical="center" wrapText="1"/>
    </xf>
    <xf numFmtId="0" fontId="24" fillId="0" borderId="33" xfId="0" applyFont="1" applyBorder="1" applyAlignment="1">
      <alignment horizontal="left" vertical="center"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165" fontId="25" fillId="4" borderId="32" xfId="0" applyNumberFormat="1" applyFont="1" applyFill="1" applyBorder="1" applyAlignment="1">
      <alignment horizontal="center" vertical="center" wrapText="1"/>
    </xf>
    <xf numFmtId="0" fontId="25" fillId="4" borderId="33" xfId="0" applyFont="1" applyFill="1" applyBorder="1" applyAlignment="1">
      <alignment horizontal="center" vertical="center" wrapText="1"/>
    </xf>
    <xf numFmtId="0" fontId="28" fillId="4" borderId="33" xfId="0" applyFont="1" applyFill="1" applyBorder="1" applyAlignment="1">
      <alignment horizontal="center" vertical="center" wrapText="1"/>
    </xf>
    <xf numFmtId="0" fontId="28" fillId="4" borderId="34" xfId="0" applyFont="1" applyFill="1" applyBorder="1" applyAlignment="1">
      <alignment horizontal="center" vertical="center" wrapText="1"/>
    </xf>
    <xf numFmtId="9" fontId="22" fillId="11" borderId="45" xfId="1" applyFont="1" applyFill="1" applyBorder="1" applyAlignment="1" applyProtection="1">
      <alignment horizontal="center" vertical="center" wrapText="1"/>
      <protection hidden="1"/>
    </xf>
    <xf numFmtId="9" fontId="22" fillId="11" borderId="9" xfId="1" applyFont="1" applyFill="1" applyBorder="1" applyAlignment="1" applyProtection="1">
      <alignment horizontal="center" vertical="center" wrapText="1"/>
      <protection hidden="1"/>
    </xf>
    <xf numFmtId="0" fontId="15" fillId="0" borderId="9" xfId="0" applyFont="1" applyBorder="1" applyAlignment="1" applyProtection="1">
      <alignment horizontal="center" vertical="center" wrapText="1"/>
      <protection hidden="1"/>
    </xf>
    <xf numFmtId="0" fontId="15" fillId="0" borderId="7" xfId="0" applyFont="1" applyBorder="1" applyAlignment="1" applyProtection="1">
      <alignment horizontal="center" vertical="center" wrapText="1"/>
      <protection hidden="1"/>
    </xf>
    <xf numFmtId="2" fontId="22" fillId="11" borderId="10" xfId="1" applyNumberFormat="1" applyFont="1" applyFill="1" applyBorder="1" applyAlignment="1" applyProtection="1">
      <alignment horizontal="center" vertical="center" wrapText="1"/>
      <protection hidden="1"/>
    </xf>
    <xf numFmtId="0" fontId="0" fillId="0" borderId="8"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2" fontId="24" fillId="6" borderId="10" xfId="1" applyNumberFormat="1" applyFont="1" applyFill="1" applyBorder="1" applyAlignment="1" applyProtection="1">
      <alignment horizontal="center" vertical="center" wrapText="1"/>
      <protection hidden="1"/>
    </xf>
    <xf numFmtId="0" fontId="15" fillId="0" borderId="8" xfId="0" applyFont="1" applyBorder="1" applyAlignment="1" applyProtection="1">
      <alignment horizontal="center" vertical="center" wrapText="1"/>
      <protection hidden="1"/>
    </xf>
    <xf numFmtId="0" fontId="23" fillId="3" borderId="2" xfId="0" applyFont="1" applyFill="1" applyBorder="1" applyAlignment="1">
      <alignment vertical="center" wrapText="1"/>
    </xf>
    <xf numFmtId="0" fontId="23" fillId="3" borderId="3" xfId="0" applyFont="1" applyFill="1" applyBorder="1" applyAlignment="1">
      <alignment vertical="center" wrapText="1"/>
    </xf>
    <xf numFmtId="0" fontId="23" fillId="3" borderId="4" xfId="0" applyFont="1" applyFill="1" applyBorder="1" applyAlignment="1">
      <alignment vertical="center" wrapText="1"/>
    </xf>
    <xf numFmtId="0" fontId="24" fillId="0" borderId="41" xfId="0" applyFont="1" applyBorder="1" applyAlignment="1">
      <alignment horizontal="left" vertical="center" wrapText="1"/>
    </xf>
    <xf numFmtId="0" fontId="25" fillId="4" borderId="41" xfId="0" applyFont="1" applyFill="1" applyBorder="1" applyAlignment="1">
      <alignment horizontal="center" vertical="center" wrapText="1"/>
    </xf>
    <xf numFmtId="9" fontId="22" fillId="11" borderId="7" xfId="1" applyFont="1" applyFill="1" applyBorder="1" applyAlignment="1" applyProtection="1">
      <alignment horizontal="center" vertical="center" wrapText="1"/>
      <protection hidden="1"/>
    </xf>
    <xf numFmtId="0" fontId="8" fillId="0" borderId="9" xfId="0" applyFont="1" applyBorder="1" applyAlignment="1" applyProtection="1">
      <alignment horizontal="center" vertical="center"/>
      <protection locked="0"/>
    </xf>
    <xf numFmtId="0" fontId="22" fillId="0" borderId="8" xfId="0" applyFont="1" applyBorder="1" applyAlignment="1">
      <alignment vertical="center" wrapText="1"/>
    </xf>
    <xf numFmtId="0" fontId="22" fillId="0" borderId="5" xfId="0" applyFont="1" applyBorder="1" applyAlignment="1">
      <alignment vertical="center" wrapText="1"/>
    </xf>
    <xf numFmtId="165" fontId="23" fillId="4" borderId="8" xfId="0" applyNumberFormat="1" applyFont="1" applyFill="1" applyBorder="1" applyAlignment="1">
      <alignment horizontal="center" vertical="center" wrapText="1"/>
    </xf>
    <xf numFmtId="165" fontId="23" fillId="4" borderId="5" xfId="0" applyNumberFormat="1" applyFont="1" applyFill="1" applyBorder="1" applyAlignment="1">
      <alignment horizontal="center" vertical="center" wrapText="1"/>
    </xf>
    <xf numFmtId="9" fontId="24" fillId="6" borderId="45" xfId="1" applyFont="1" applyFill="1" applyBorder="1" applyAlignment="1" applyProtection="1">
      <alignment horizontal="center" vertical="center" wrapText="1"/>
      <protection hidden="1"/>
    </xf>
    <xf numFmtId="9" fontId="24" fillId="6" borderId="9" xfId="1" applyFont="1" applyFill="1" applyBorder="1" applyAlignment="1" applyProtection="1">
      <alignment horizontal="center" vertical="center" wrapText="1"/>
      <protection hidden="1"/>
    </xf>
    <xf numFmtId="9" fontId="24" fillId="6" borderId="7" xfId="1" applyFont="1" applyFill="1" applyBorder="1" applyAlignment="1" applyProtection="1">
      <alignment horizontal="center" vertical="center" wrapText="1"/>
      <protection hidden="1"/>
    </xf>
    <xf numFmtId="0" fontId="30" fillId="3" borderId="43" xfId="0" applyFont="1" applyFill="1" applyBorder="1" applyAlignment="1">
      <alignment vertical="center" wrapText="1"/>
    </xf>
    <xf numFmtId="0" fontId="30" fillId="3" borderId="0" xfId="0" applyFont="1" applyFill="1" applyAlignment="1">
      <alignment vertical="center" wrapText="1"/>
    </xf>
    <xf numFmtId="0" fontId="30" fillId="3" borderId="9" xfId="0" applyFont="1" applyFill="1" applyBorder="1" applyAlignment="1">
      <alignment vertical="center" wrapText="1"/>
    </xf>
    <xf numFmtId="0" fontId="24" fillId="0" borderId="33" xfId="0" applyFont="1" applyBorder="1" applyAlignment="1">
      <alignment vertical="center" wrapText="1"/>
    </xf>
    <xf numFmtId="0" fontId="15" fillId="0" borderId="33" xfId="0" applyFont="1" applyBorder="1" applyAlignment="1">
      <alignment vertical="center" wrapText="1"/>
    </xf>
    <xf numFmtId="165" fontId="25" fillId="4" borderId="33" xfId="0" applyNumberFormat="1" applyFont="1" applyFill="1" applyBorder="1" applyAlignment="1">
      <alignment horizontal="center" vertical="center" wrapText="1"/>
    </xf>
    <xf numFmtId="0" fontId="23" fillId="3" borderId="70" xfId="0" applyFont="1" applyFill="1" applyBorder="1" applyAlignment="1">
      <alignment vertical="center" wrapText="1"/>
    </xf>
    <xf numFmtId="0" fontId="23" fillId="3" borderId="68" xfId="0" applyFont="1" applyFill="1" applyBorder="1" applyAlignment="1">
      <alignment vertical="center" wrapText="1"/>
    </xf>
    <xf numFmtId="0" fontId="23" fillId="3" borderId="71" xfId="0" applyFont="1" applyFill="1" applyBorder="1" applyAlignment="1">
      <alignment vertical="center" wrapText="1"/>
    </xf>
    <xf numFmtId="0" fontId="24" fillId="0" borderId="32" xfId="0" applyFont="1" applyBorder="1" applyAlignment="1">
      <alignment vertical="center" wrapText="1"/>
    </xf>
    <xf numFmtId="0" fontId="24" fillId="0" borderId="34" xfId="0" applyFont="1" applyBorder="1" applyAlignment="1">
      <alignment vertical="center" wrapText="1"/>
    </xf>
    <xf numFmtId="0" fontId="25" fillId="4" borderId="34" xfId="0" applyFont="1" applyFill="1" applyBorder="1" applyAlignment="1">
      <alignment horizontal="center" vertical="center" wrapText="1"/>
    </xf>
    <xf numFmtId="0" fontId="26" fillId="3" borderId="2" xfId="0" applyFont="1" applyFill="1" applyBorder="1" applyAlignment="1">
      <alignment vertical="center" wrapText="1"/>
    </xf>
    <xf numFmtId="0" fontId="26" fillId="3" borderId="3" xfId="0" applyFont="1" applyFill="1" applyBorder="1" applyAlignment="1">
      <alignment vertical="center" wrapText="1"/>
    </xf>
    <xf numFmtId="0" fontId="26" fillId="3" borderId="6" xfId="0" applyFont="1" applyFill="1" applyBorder="1" applyAlignment="1">
      <alignment vertical="center" wrapText="1"/>
    </xf>
    <xf numFmtId="0" fontId="26" fillId="3" borderId="4" xfId="0" applyFont="1" applyFill="1" applyBorder="1" applyAlignment="1">
      <alignment vertical="center" wrapText="1"/>
    </xf>
    <xf numFmtId="0" fontId="24" fillId="0" borderId="53" xfId="0" applyFont="1" applyBorder="1" applyAlignment="1">
      <alignment vertical="center" wrapText="1"/>
    </xf>
    <xf numFmtId="0" fontId="24" fillId="0" borderId="41" xfId="0" applyFont="1" applyBorder="1" applyAlignment="1">
      <alignment vertical="center" wrapText="1"/>
    </xf>
    <xf numFmtId="165" fontId="25" fillId="4" borderId="61" xfId="0" applyNumberFormat="1" applyFont="1" applyFill="1" applyBorder="1" applyAlignment="1">
      <alignment horizontal="center" vertical="center" wrapText="1"/>
    </xf>
    <xf numFmtId="0" fontId="25" fillId="4" borderId="40" xfId="0" applyFont="1" applyFill="1" applyBorder="1" applyAlignment="1">
      <alignment horizontal="center" vertical="center" wrapText="1"/>
    </xf>
    <xf numFmtId="9" fontId="24" fillId="0" borderId="9" xfId="1" applyFont="1" applyBorder="1" applyAlignment="1" applyProtection="1">
      <alignment horizontal="center" vertical="center" wrapText="1"/>
      <protection hidden="1"/>
    </xf>
    <xf numFmtId="0" fontId="24" fillId="0" borderId="34" xfId="0" applyFont="1" applyBorder="1" applyAlignment="1">
      <alignment horizontal="left" vertical="center" wrapText="1"/>
    </xf>
    <xf numFmtId="9" fontId="24" fillId="0" borderId="58" xfId="1" applyFont="1" applyBorder="1" applyAlignment="1" applyProtection="1">
      <alignment horizontal="center" vertical="center" wrapText="1"/>
      <protection hidden="1"/>
    </xf>
    <xf numFmtId="9" fontId="24" fillId="0" borderId="59" xfId="1" applyFont="1" applyBorder="1" applyAlignment="1" applyProtection="1">
      <alignment horizontal="center" vertical="center" wrapText="1"/>
      <protection hidden="1"/>
    </xf>
    <xf numFmtId="9" fontId="24" fillId="0" borderId="60" xfId="1" applyFont="1" applyBorder="1" applyAlignment="1" applyProtection="1">
      <alignment horizontal="center" vertical="center" wrapText="1"/>
      <protection hidden="1"/>
    </xf>
    <xf numFmtId="0" fontId="2" fillId="2" borderId="16"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9" fontId="25" fillId="6" borderId="45" xfId="1" applyFont="1" applyFill="1" applyBorder="1" applyAlignment="1" applyProtection="1">
      <alignment horizontal="center" vertical="center" wrapText="1"/>
      <protection hidden="1"/>
    </xf>
    <xf numFmtId="9" fontId="25" fillId="6" borderId="7" xfId="1" applyFont="1" applyFill="1" applyBorder="1" applyAlignment="1" applyProtection="1">
      <alignment horizontal="center" vertical="center" wrapText="1"/>
      <protection hidden="1"/>
    </xf>
    <xf numFmtId="9" fontId="24" fillId="6" borderId="58" xfId="1" applyFont="1" applyFill="1" applyBorder="1" applyAlignment="1" applyProtection="1">
      <alignment horizontal="center" vertical="center" wrapText="1"/>
      <protection hidden="1"/>
    </xf>
    <xf numFmtId="0" fontId="15" fillId="0" borderId="59" xfId="0" applyFont="1" applyBorder="1" applyAlignment="1" applyProtection="1">
      <alignment horizontal="center" vertical="center" wrapText="1"/>
      <protection hidden="1"/>
    </xf>
    <xf numFmtId="0" fontId="15" fillId="0" borderId="60" xfId="0" applyFont="1" applyBorder="1" applyAlignment="1" applyProtection="1">
      <alignment horizontal="center" vertical="center" wrapText="1"/>
      <protection hidden="1"/>
    </xf>
    <xf numFmtId="2" fontId="24" fillId="0" borderId="10" xfId="1" applyNumberFormat="1" applyFont="1" applyBorder="1" applyAlignment="1" applyProtection="1">
      <alignment horizontal="center" vertical="center" wrapText="1"/>
      <protection hidden="1"/>
    </xf>
    <xf numFmtId="165" fontId="25" fillId="4" borderId="34" xfId="0" applyNumberFormat="1" applyFont="1" applyFill="1" applyBorder="1" applyAlignment="1">
      <alignment horizontal="center" vertical="center" wrapText="1"/>
    </xf>
    <xf numFmtId="0" fontId="24" fillId="12" borderId="41" xfId="0" applyFont="1" applyFill="1" applyBorder="1" applyAlignment="1">
      <alignment vertical="center" wrapText="1"/>
    </xf>
    <xf numFmtId="0" fontId="24" fillId="12" borderId="5" xfId="0" applyFont="1" applyFill="1" applyBorder="1" applyAlignment="1">
      <alignment vertical="center" wrapText="1"/>
    </xf>
    <xf numFmtId="165" fontId="25" fillId="13" borderId="33" xfId="0" applyNumberFormat="1" applyFont="1" applyFill="1" applyBorder="1" applyAlignment="1">
      <alignment horizontal="center" vertical="center" wrapText="1"/>
    </xf>
    <xf numFmtId="165" fontId="25" fillId="13" borderId="34" xfId="0"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2" fontId="24" fillId="0" borderId="24" xfId="0" applyNumberFormat="1" applyFont="1" applyBorder="1" applyAlignment="1">
      <alignment horizontal="left" vertical="center" wrapText="1"/>
    </xf>
    <xf numFmtId="2" fontId="15" fillId="0" borderId="26" xfId="0" applyNumberFormat="1" applyFont="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3" fillId="3" borderId="16" xfId="0" applyFont="1" applyFill="1" applyBorder="1" applyAlignment="1">
      <alignment vertical="center" wrapText="1"/>
    </xf>
    <xf numFmtId="0" fontId="23" fillId="3" borderId="6" xfId="0" applyFont="1" applyFill="1" applyBorder="1" applyAlignment="1">
      <alignment vertical="center" wrapText="1"/>
    </xf>
    <xf numFmtId="0" fontId="23" fillId="3" borderId="7" xfId="0" applyFont="1" applyFill="1" applyBorder="1" applyAlignment="1">
      <alignment vertical="center" wrapText="1"/>
    </xf>
    <xf numFmtId="0" fontId="24" fillId="0" borderId="8" xfId="0" applyFont="1" applyBorder="1" applyAlignment="1">
      <alignment horizontal="center" vertical="center" wrapText="1"/>
    </xf>
    <xf numFmtId="0" fontId="24" fillId="0" borderId="5" xfId="0" applyFont="1" applyBorder="1" applyAlignment="1">
      <alignment horizontal="center" vertical="center" wrapText="1"/>
    </xf>
    <xf numFmtId="165" fontId="25" fillId="4" borderId="43" xfId="0" applyNumberFormat="1" applyFont="1" applyFill="1" applyBorder="1" applyAlignment="1">
      <alignment horizontal="center" vertical="center" wrapText="1"/>
    </xf>
    <xf numFmtId="0" fontId="25" fillId="4" borderId="43" xfId="0" applyFont="1" applyFill="1" applyBorder="1" applyAlignment="1">
      <alignment horizontal="center" vertical="center" wrapText="1"/>
    </xf>
    <xf numFmtId="0" fontId="25" fillId="4" borderId="16" xfId="0" applyFont="1" applyFill="1" applyBorder="1" applyAlignment="1">
      <alignment horizontal="center" vertical="center" wrapText="1"/>
    </xf>
    <xf numFmtId="0" fontId="24" fillId="0" borderId="8" xfId="0" applyFont="1" applyBorder="1" applyAlignment="1">
      <alignment horizontal="left" vertical="center" wrapText="1"/>
    </xf>
    <xf numFmtId="0" fontId="24" fillId="0" borderId="5" xfId="0" applyFont="1" applyBorder="1" applyAlignment="1">
      <alignment horizontal="left" vertical="center" wrapText="1"/>
    </xf>
    <xf numFmtId="165" fontId="28" fillId="4" borderId="10" xfId="0" applyNumberFormat="1" applyFont="1" applyFill="1" applyBorder="1" applyAlignment="1">
      <alignment horizontal="center" vertical="center" wrapText="1"/>
    </xf>
    <xf numFmtId="0" fontId="28" fillId="4" borderId="8" xfId="0" applyFont="1" applyFill="1" applyBorder="1" applyAlignment="1">
      <alignment horizontal="center" vertical="center" wrapText="1"/>
    </xf>
    <xf numFmtId="0" fontId="28" fillId="4" borderId="5" xfId="0" applyFont="1" applyFill="1" applyBorder="1" applyAlignment="1">
      <alignment horizontal="center" vertical="center" wrapText="1"/>
    </xf>
    <xf numFmtId="9" fontId="28" fillId="0" borderId="45" xfId="1" applyFont="1" applyBorder="1" applyAlignment="1" applyProtection="1">
      <alignment horizontal="center" vertical="center" wrapText="1"/>
      <protection hidden="1"/>
    </xf>
    <xf numFmtId="9" fontId="28" fillId="0" borderId="9" xfId="1" applyFont="1" applyBorder="1" applyAlignment="1" applyProtection="1">
      <alignment horizontal="center" vertical="center" wrapText="1"/>
      <protection hidden="1"/>
    </xf>
    <xf numFmtId="9" fontId="28" fillId="0" borderId="7" xfId="1" applyFont="1" applyBorder="1" applyAlignment="1" applyProtection="1">
      <alignment horizontal="center" vertical="center" wrapText="1"/>
      <protection hidden="1"/>
    </xf>
    <xf numFmtId="0" fontId="24" fillId="0" borderId="25" xfId="0" applyFont="1" applyBorder="1" applyAlignment="1">
      <alignment vertical="center" wrapText="1"/>
    </xf>
    <xf numFmtId="165" fontId="25" fillId="4" borderId="33" xfId="2" applyNumberFormat="1" applyFont="1" applyFill="1" applyBorder="1" applyAlignment="1">
      <alignment horizontal="center" vertical="center" wrapText="1"/>
    </xf>
    <xf numFmtId="165" fontId="25" fillId="4" borderId="29" xfId="0" applyNumberFormat="1" applyFont="1" applyFill="1" applyBorder="1" applyAlignment="1">
      <alignment horizontal="center" vertical="center" wrapText="1"/>
    </xf>
    <xf numFmtId="0" fontId="25" fillId="4" borderId="30" xfId="0" applyFont="1" applyFill="1" applyBorder="1" applyAlignment="1">
      <alignment horizontal="center" vertical="center" wrapText="1"/>
    </xf>
    <xf numFmtId="0" fontId="25" fillId="4" borderId="31" xfId="0" applyFont="1" applyFill="1" applyBorder="1" applyAlignment="1">
      <alignment horizontal="center" vertical="center" wrapText="1"/>
    </xf>
    <xf numFmtId="0" fontId="26" fillId="11" borderId="43" xfId="0" applyFont="1" applyFill="1" applyBorder="1" applyAlignment="1">
      <alignment vertical="center" wrapText="1"/>
    </xf>
    <xf numFmtId="0" fontId="26" fillId="11" borderId="0" xfId="0" applyFont="1" applyFill="1" applyAlignment="1">
      <alignment vertical="center" wrapText="1"/>
    </xf>
    <xf numFmtId="0" fontId="26" fillId="11" borderId="9" xfId="0" applyFont="1" applyFill="1" applyBorder="1" applyAlignment="1">
      <alignment vertical="center" wrapText="1"/>
    </xf>
    <xf numFmtId="0" fontId="24" fillId="0" borderId="24" xfId="0" applyFont="1" applyBorder="1" applyAlignment="1">
      <alignment vertical="center" wrapText="1"/>
    </xf>
    <xf numFmtId="0" fontId="24" fillId="0" borderId="26" xfId="0" applyFont="1" applyBorder="1" applyAlignment="1">
      <alignment vertical="center" wrapText="1"/>
    </xf>
    <xf numFmtId="165" fontId="25" fillId="4" borderId="24" xfId="0" applyNumberFormat="1" applyFont="1" applyFill="1" applyBorder="1" applyAlignment="1">
      <alignment horizontal="center" vertical="center" wrapText="1"/>
    </xf>
    <xf numFmtId="0" fontId="25" fillId="4" borderId="26" xfId="0" applyFont="1" applyFill="1" applyBorder="1" applyAlignment="1">
      <alignment horizontal="center" vertical="center" wrapText="1"/>
    </xf>
    <xf numFmtId="165" fontId="25" fillId="4" borderId="26" xfId="0" applyNumberFormat="1" applyFont="1" applyFill="1" applyBorder="1" applyAlignment="1">
      <alignment horizontal="center" vertical="center" wrapText="1"/>
    </xf>
    <xf numFmtId="9" fontId="0" fillId="0" borderId="45" xfId="0" applyNumberFormat="1" applyBorder="1" applyAlignment="1" applyProtection="1">
      <alignment horizontal="center" vertical="center" wrapText="1"/>
      <protection hidden="1"/>
    </xf>
    <xf numFmtId="9" fontId="0" fillId="0" borderId="7" xfId="0" applyNumberFormat="1" applyBorder="1" applyAlignment="1" applyProtection="1">
      <alignment horizontal="center" vertical="center" wrapText="1"/>
      <protection hidden="1"/>
    </xf>
    <xf numFmtId="0" fontId="29" fillId="12" borderId="3" xfId="0" applyFont="1" applyFill="1" applyBorder="1" applyAlignment="1" applyProtection="1">
      <alignment vertical="top" wrapText="1"/>
      <protection locked="0"/>
    </xf>
    <xf numFmtId="0" fontId="29" fillId="12" borderId="4" xfId="0" applyFont="1" applyFill="1" applyBorder="1" applyAlignment="1" applyProtection="1">
      <alignment vertical="top" wrapText="1"/>
      <protection locked="0"/>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11" borderId="2" xfId="0" applyFont="1" applyFill="1" applyBorder="1" applyAlignment="1">
      <alignment vertical="center" wrapText="1"/>
    </xf>
    <xf numFmtId="0" fontId="2" fillId="11" borderId="3" xfId="0" applyFont="1" applyFill="1" applyBorder="1" applyAlignment="1">
      <alignment vertical="center" wrapText="1"/>
    </xf>
    <xf numFmtId="0" fontId="2" fillId="11" borderId="4" xfId="0" applyFont="1" applyFill="1" applyBorder="1" applyAlignment="1">
      <alignment vertical="center" wrapText="1"/>
    </xf>
    <xf numFmtId="0" fontId="22" fillId="0" borderId="10" xfId="0" applyFont="1" applyBorder="1" applyAlignment="1">
      <alignment vertical="center" wrapText="1"/>
    </xf>
    <xf numFmtId="165" fontId="23" fillId="4" borderId="10" xfId="0" applyNumberFormat="1" applyFont="1" applyFill="1" applyBorder="1" applyAlignment="1">
      <alignment horizontal="center" vertical="center" wrapText="1"/>
    </xf>
    <xf numFmtId="9" fontId="22" fillId="11" borderId="10" xfId="1" applyFont="1" applyFill="1" applyBorder="1" applyAlignment="1" applyProtection="1">
      <alignment horizontal="center" vertical="center" wrapText="1"/>
      <protection hidden="1"/>
    </xf>
    <xf numFmtId="9" fontId="22" fillId="11" borderId="5" xfId="1" applyFont="1" applyFill="1" applyBorder="1" applyAlignment="1" applyProtection="1">
      <alignment horizontal="center" vertical="center" wrapText="1"/>
      <protection hidden="1"/>
    </xf>
    <xf numFmtId="2" fontId="22" fillId="11" borderId="5" xfId="1" applyNumberFormat="1" applyFont="1" applyFill="1" applyBorder="1" applyAlignment="1" applyProtection="1">
      <alignment horizontal="center" vertical="center" wrapText="1"/>
      <protection hidden="1"/>
    </xf>
    <xf numFmtId="9" fontId="23" fillId="11" borderId="5" xfId="1" applyFont="1" applyFill="1" applyBorder="1" applyAlignment="1" applyProtection="1">
      <alignment horizontal="center" vertical="center" wrapText="1"/>
      <protection hidden="1"/>
    </xf>
    <xf numFmtId="0" fontId="22" fillId="0" borderId="10" xfId="0" applyFont="1" applyBorder="1" applyAlignment="1">
      <alignment horizontal="left" vertical="center" wrapText="1"/>
    </xf>
    <xf numFmtId="0" fontId="22" fillId="0" borderId="5" xfId="0" applyFont="1" applyBorder="1" applyAlignment="1">
      <alignment horizontal="left" vertical="center" wrapText="1"/>
    </xf>
    <xf numFmtId="165" fontId="23" fillId="20" borderId="10" xfId="0" applyNumberFormat="1" applyFont="1" applyFill="1" applyBorder="1" applyAlignment="1">
      <alignment horizontal="center" vertical="center" wrapText="1"/>
    </xf>
    <xf numFmtId="165" fontId="23" fillId="20" borderId="5" xfId="0" applyNumberFormat="1" applyFont="1" applyFill="1" applyBorder="1" applyAlignment="1">
      <alignment horizontal="center" vertical="center" wrapText="1"/>
    </xf>
    <xf numFmtId="0" fontId="24" fillId="0" borderId="10" xfId="0" applyFont="1" applyBorder="1" applyAlignment="1">
      <alignment horizontal="left" vertical="center" wrapText="1"/>
    </xf>
    <xf numFmtId="165" fontId="25" fillId="4" borderId="10" xfId="0" applyNumberFormat="1" applyFont="1" applyFill="1" applyBorder="1" applyAlignment="1">
      <alignment horizontal="center" vertical="center" wrapText="1"/>
    </xf>
    <xf numFmtId="165" fontId="25" fillId="4" borderId="8" xfId="0" applyNumberFormat="1" applyFont="1" applyFill="1" applyBorder="1" applyAlignment="1">
      <alignment horizontal="center" vertical="center" wrapText="1"/>
    </xf>
    <xf numFmtId="165" fontId="25" fillId="4" borderId="5" xfId="0" applyNumberFormat="1" applyFont="1" applyFill="1" applyBorder="1" applyAlignment="1">
      <alignment horizontal="center" vertical="center" wrapText="1"/>
    </xf>
    <xf numFmtId="9" fontId="22" fillId="11" borderId="8" xfId="1" applyFont="1" applyFill="1" applyBorder="1" applyAlignment="1" applyProtection="1">
      <alignment horizontal="center" vertical="center" wrapText="1"/>
      <protection hidden="1"/>
    </xf>
    <xf numFmtId="2" fontId="22" fillId="11" borderId="8" xfId="1" applyNumberFormat="1" applyFont="1" applyFill="1" applyBorder="1" applyAlignment="1" applyProtection="1">
      <alignment horizontal="center" vertical="center" wrapText="1"/>
      <protection hidden="1"/>
    </xf>
    <xf numFmtId="2" fontId="24" fillId="6" borderId="8" xfId="1" applyNumberFormat="1" applyFont="1" applyFill="1" applyBorder="1" applyAlignment="1" applyProtection="1">
      <alignment horizontal="center" vertical="center" wrapText="1"/>
      <protection hidden="1"/>
    </xf>
    <xf numFmtId="2" fontId="24" fillId="6" borderId="5" xfId="1" applyNumberFormat="1" applyFont="1" applyFill="1" applyBorder="1" applyAlignment="1" applyProtection="1">
      <alignment horizontal="center" vertical="center" wrapText="1"/>
      <protection hidden="1"/>
    </xf>
    <xf numFmtId="9" fontId="23" fillId="11" borderId="8" xfId="1" applyFont="1" applyFill="1" applyBorder="1" applyAlignment="1" applyProtection="1">
      <alignment horizontal="center" vertical="center" wrapText="1"/>
      <protection hidden="1"/>
    </xf>
    <xf numFmtId="165" fontId="23" fillId="4" borderId="41" xfId="0" applyNumberFormat="1" applyFont="1" applyFill="1" applyBorder="1" applyAlignment="1">
      <alignment horizontal="center" vertical="center" wrapText="1"/>
    </xf>
    <xf numFmtId="9" fontId="24" fillId="6" borderId="10" xfId="1" applyFont="1" applyFill="1" applyBorder="1" applyAlignment="1" applyProtection="1">
      <alignment horizontal="center" vertical="center" wrapText="1"/>
      <protection hidden="1"/>
    </xf>
    <xf numFmtId="9" fontId="24" fillId="6" borderId="8" xfId="1" applyFont="1" applyFill="1" applyBorder="1" applyAlignment="1" applyProtection="1">
      <alignment horizontal="center" vertical="center" wrapText="1"/>
      <protection hidden="1"/>
    </xf>
    <xf numFmtId="9" fontId="24" fillId="6" borderId="5" xfId="1" applyFont="1" applyFill="1" applyBorder="1" applyAlignment="1" applyProtection="1">
      <alignment horizontal="center" vertical="center" wrapText="1"/>
      <protection hidden="1"/>
    </xf>
    <xf numFmtId="0" fontId="30" fillId="3" borderId="2" xfId="0" applyFont="1" applyFill="1" applyBorder="1" applyAlignment="1">
      <alignment vertical="center" wrapText="1"/>
    </xf>
    <xf numFmtId="0" fontId="30" fillId="3" borderId="3" xfId="0" applyFont="1" applyFill="1" applyBorder="1" applyAlignment="1">
      <alignment vertical="center" wrapText="1"/>
    </xf>
    <xf numFmtId="0" fontId="30" fillId="3" borderId="4" xfId="0" applyFont="1" applyFill="1" applyBorder="1" applyAlignment="1">
      <alignment vertical="center" wrapText="1"/>
    </xf>
    <xf numFmtId="0" fontId="24" fillId="0" borderId="8" xfId="0" applyFont="1" applyBorder="1" applyAlignment="1">
      <alignment vertical="center" wrapText="1"/>
    </xf>
    <xf numFmtId="165" fontId="25" fillId="4" borderId="41" xfId="0" applyNumberFormat="1" applyFont="1" applyFill="1" applyBorder="1" applyAlignment="1">
      <alignment horizontal="center" vertical="center" wrapText="1"/>
    </xf>
    <xf numFmtId="165" fontId="25" fillId="4" borderId="53" xfId="0" applyNumberFormat="1" applyFont="1" applyFill="1" applyBorder="1" applyAlignment="1">
      <alignment horizontal="center" vertical="center" wrapText="1"/>
    </xf>
    <xf numFmtId="0" fontId="24" fillId="0" borderId="10" xfId="0" applyFont="1" applyBorder="1" applyAlignment="1">
      <alignment vertical="center" wrapText="1"/>
    </xf>
    <xf numFmtId="0" fontId="24" fillId="0" borderId="5" xfId="0" applyFont="1" applyBorder="1" applyAlignment="1">
      <alignment vertical="center" wrapText="1"/>
    </xf>
    <xf numFmtId="9" fontId="24" fillId="0" borderId="10" xfId="1" applyFont="1" applyBorder="1" applyAlignment="1" applyProtection="1">
      <alignment horizontal="center" vertical="center" wrapText="1"/>
      <protection hidden="1"/>
    </xf>
    <xf numFmtId="9" fontId="24" fillId="0" borderId="5" xfId="1" applyFont="1" applyBorder="1" applyAlignment="1" applyProtection="1">
      <alignment horizontal="center" vertical="center" wrapText="1"/>
      <protection hidden="1"/>
    </xf>
    <xf numFmtId="9" fontId="24" fillId="0" borderId="8" xfId="1" applyFont="1" applyBorder="1" applyAlignment="1" applyProtection="1">
      <alignment horizontal="center" vertical="center" wrapText="1"/>
      <protection hidden="1"/>
    </xf>
    <xf numFmtId="9" fontId="25" fillId="6" borderId="10" xfId="1" applyFont="1" applyFill="1" applyBorder="1" applyAlignment="1" applyProtection="1">
      <alignment horizontal="center" vertical="center" wrapText="1"/>
      <protection hidden="1"/>
    </xf>
    <xf numFmtId="9" fontId="25" fillId="6" borderId="5" xfId="1" applyFont="1" applyFill="1" applyBorder="1" applyAlignment="1" applyProtection="1">
      <alignment horizontal="center" vertical="center" wrapText="1"/>
      <protection hidden="1"/>
    </xf>
    <xf numFmtId="2" fontId="24" fillId="0" borderId="8" xfId="1" applyNumberFormat="1" applyFont="1" applyBorder="1" applyAlignment="1" applyProtection="1">
      <alignment horizontal="center" vertical="center" wrapText="1"/>
      <protection hidden="1"/>
    </xf>
    <xf numFmtId="2" fontId="24" fillId="0" borderId="5" xfId="1" applyNumberFormat="1" applyFont="1" applyBorder="1" applyAlignment="1" applyProtection="1">
      <alignment horizontal="center" vertical="center" wrapText="1"/>
      <protection hidden="1"/>
    </xf>
    <xf numFmtId="165" fontId="25" fillId="13" borderId="41" xfId="0" applyNumberFormat="1" applyFont="1" applyFill="1" applyBorder="1" applyAlignment="1">
      <alignment horizontal="center" vertical="center" wrapText="1"/>
    </xf>
    <xf numFmtId="165" fontId="25" fillId="13" borderId="5" xfId="0" applyNumberFormat="1" applyFont="1" applyFill="1" applyBorder="1" applyAlignment="1">
      <alignment horizontal="center" vertical="center" wrapText="1"/>
    </xf>
    <xf numFmtId="2" fontId="24" fillId="0" borderId="10" xfId="0" applyNumberFormat="1" applyFont="1" applyBorder="1" applyAlignment="1">
      <alignment horizontal="left" vertical="center" wrapText="1"/>
    </xf>
    <xf numFmtId="2" fontId="24" fillId="0" borderId="5" xfId="0" applyNumberFormat="1" applyFont="1" applyBorder="1" applyAlignment="1">
      <alignment horizontal="left" vertical="center" wrapText="1"/>
    </xf>
    <xf numFmtId="0" fontId="24" fillId="0" borderId="10" xfId="0" applyFont="1" applyBorder="1" applyAlignment="1">
      <alignment horizontal="center" vertical="center" wrapText="1"/>
    </xf>
    <xf numFmtId="165" fontId="28" fillId="4" borderId="8" xfId="0" applyNumberFormat="1" applyFont="1" applyFill="1" applyBorder="1" applyAlignment="1">
      <alignment horizontal="center" vertical="center" wrapText="1"/>
    </xf>
    <xf numFmtId="165" fontId="28" fillId="4" borderId="5" xfId="0" applyNumberFormat="1" applyFont="1" applyFill="1" applyBorder="1" applyAlignment="1">
      <alignment horizontal="center" vertical="center" wrapText="1"/>
    </xf>
    <xf numFmtId="9" fontId="28" fillId="0" borderId="10" xfId="1" applyFont="1" applyBorder="1" applyAlignment="1" applyProtection="1">
      <alignment horizontal="center" vertical="center" wrapText="1"/>
      <protection hidden="1"/>
    </xf>
    <xf numFmtId="9" fontId="28" fillId="0" borderId="8" xfId="1" applyFont="1" applyBorder="1" applyAlignment="1" applyProtection="1">
      <alignment horizontal="center" vertical="center" wrapText="1"/>
      <protection hidden="1"/>
    </xf>
    <xf numFmtId="9" fontId="28" fillId="0" borderId="5" xfId="1" applyFont="1" applyBorder="1" applyAlignment="1" applyProtection="1">
      <alignment horizontal="center" vertical="center" wrapText="1"/>
      <protection hidden="1"/>
    </xf>
    <xf numFmtId="165" fontId="25" fillId="4" borderId="41" xfId="2" applyNumberFormat="1" applyFont="1" applyFill="1" applyBorder="1" applyAlignment="1">
      <alignment horizontal="center" vertical="center" wrapText="1"/>
    </xf>
    <xf numFmtId="165" fontId="25" fillId="4" borderId="8" xfId="2" applyNumberFormat="1" applyFont="1" applyFill="1" applyBorder="1" applyAlignment="1">
      <alignment horizontal="center" vertical="center" wrapText="1"/>
    </xf>
    <xf numFmtId="165" fontId="25" fillId="4" borderId="53" xfId="2" applyNumberFormat="1" applyFont="1" applyFill="1" applyBorder="1" applyAlignment="1">
      <alignment horizontal="center" vertical="center" wrapText="1"/>
    </xf>
    <xf numFmtId="0" fontId="26" fillId="11" borderId="2" xfId="0" applyFont="1" applyFill="1" applyBorder="1" applyAlignment="1">
      <alignment vertical="center" wrapText="1"/>
    </xf>
    <xf numFmtId="0" fontId="26" fillId="11" borderId="3" xfId="0" applyFont="1" applyFill="1" applyBorder="1" applyAlignment="1">
      <alignment vertical="center" wrapText="1"/>
    </xf>
    <xf numFmtId="0" fontId="26" fillId="11" borderId="4" xfId="0" applyFont="1" applyFill="1" applyBorder="1" applyAlignment="1">
      <alignment vertical="center" wrapText="1"/>
    </xf>
    <xf numFmtId="9" fontId="0" fillId="0" borderId="10" xfId="0" applyNumberFormat="1" applyBorder="1" applyAlignment="1" applyProtection="1">
      <alignment horizontal="center" vertical="center" wrapText="1"/>
      <protection hidden="1"/>
    </xf>
    <xf numFmtId="9" fontId="0" fillId="0" borderId="5" xfId="0" applyNumberFormat="1" applyBorder="1" applyAlignment="1" applyProtection="1">
      <alignment horizontal="center" vertical="center" wrapText="1"/>
      <protection hidden="1"/>
    </xf>
    <xf numFmtId="0" fontId="29" fillId="12" borderId="2" xfId="0" applyFont="1" applyFill="1" applyBorder="1" applyAlignment="1" applyProtection="1">
      <alignment vertical="top" wrapText="1"/>
      <protection hidden="1"/>
    </xf>
    <xf numFmtId="0" fontId="60" fillId="12" borderId="3" xfId="0" applyFont="1" applyFill="1" applyBorder="1" applyAlignment="1" applyProtection="1">
      <alignment vertical="top" wrapText="1"/>
      <protection hidden="1"/>
    </xf>
    <xf numFmtId="0" fontId="60" fillId="12" borderId="4" xfId="0" applyFont="1" applyFill="1" applyBorder="1" applyAlignment="1" applyProtection="1">
      <alignment vertical="top" wrapText="1"/>
      <protection hidden="1"/>
    </xf>
    <xf numFmtId="0" fontId="29" fillId="24" borderId="16" xfId="0" applyFont="1" applyFill="1" applyBorder="1" applyAlignment="1" applyProtection="1">
      <alignment horizontal="center"/>
      <protection hidden="1"/>
    </xf>
    <xf numFmtId="0" fontId="29" fillId="24" borderId="6" xfId="0" applyFont="1" applyFill="1" applyBorder="1" applyAlignment="1" applyProtection="1">
      <alignment horizontal="center"/>
      <protection hidden="1"/>
    </xf>
  </cellXfs>
  <cellStyles count="4">
    <cellStyle name="Comma" xfId="2" builtinId="3"/>
    <cellStyle name="Hyperlink" xfId="3" builtinId="8"/>
    <cellStyle name="Normal" xfId="0" builtinId="0"/>
    <cellStyle name="Percent" xfId="1" builtinId="5"/>
  </cellStyles>
  <dxfs count="0"/>
  <tableStyles count="0" defaultTableStyle="TableStyleMedium2" defaultPivotStyle="PivotStyleLight16"/>
  <colors>
    <mruColors>
      <color rgb="FFFF9933"/>
      <color rgb="FFFF6600"/>
      <color rgb="FFCCFF33"/>
      <color rgb="FF00FF00"/>
      <color rgb="FFCCFF66"/>
      <color rgb="FFCCFF99"/>
      <color rgb="FFFF5050"/>
      <color rgb="FF006600"/>
      <color rgb="FFFFCC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101890609398731"/>
          <c:y val="0.16020748730001719"/>
          <c:w val="0.35796205771676309"/>
          <c:h val="0.67336902070516902"/>
        </c:manualLayout>
      </c:layout>
      <c:radarChart>
        <c:radarStyle val="marker"/>
        <c:varyColors val="0"/>
        <c:ser>
          <c:idx val="0"/>
          <c:order val="0"/>
          <c:tx>
            <c:strRef>
              <c:f>'Aspiration Chart'!$B$3</c:f>
              <c:strCache>
                <c:ptCount val="1"/>
                <c:pt idx="0">
                  <c:v>Achievement</c:v>
                </c:pt>
              </c:strCache>
            </c:strRef>
          </c:tx>
          <c:spPr>
            <a:ln w="28575" cap="rnd">
              <a:solidFill>
                <a:schemeClr val="accent1"/>
              </a:solidFill>
              <a:round/>
            </a:ln>
            <a:effectLst/>
          </c:spPr>
          <c:marker>
            <c:symbol val="none"/>
          </c:marker>
          <c:dLbls>
            <c:dLbl>
              <c:idx val="0"/>
              <c:layout>
                <c:manualLayout>
                  <c:x val="1.6522098306485529E-3"/>
                  <c:y val="0"/>
                </c:manualLayout>
              </c:layout>
              <c:spPr>
                <a:solidFill>
                  <a:srgbClr val="FF9933"/>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1A8-4178-8334-E3F2CC107E7E}"/>
                </c:ext>
              </c:extLst>
            </c:dLbl>
            <c:dLbl>
              <c:idx val="1"/>
              <c:layout>
                <c:manualLayout>
                  <c:x val="-3.3044196612969846E-2"/>
                  <c:y val="-1.0878008215894106E-2"/>
                </c:manualLayout>
              </c:layout>
              <c:spPr>
                <a:solidFill>
                  <a:srgbClr val="FFFF00"/>
                </a:solid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3.5819909128459317E-2"/>
                      <c:h val="4.6573537538060795E-2"/>
                    </c:manualLayout>
                  </c15:layout>
                </c:ext>
                <c:ext xmlns:c16="http://schemas.microsoft.com/office/drawing/2014/chart" uri="{C3380CC4-5D6E-409C-BE32-E72D297353CC}">
                  <c16:uniqueId val="{00000001-F1A8-4178-8334-E3F2CC107E7E}"/>
                </c:ext>
              </c:extLst>
            </c:dLbl>
            <c:dLbl>
              <c:idx val="2"/>
              <c:spPr>
                <a:solidFill>
                  <a:srgbClr val="FF6600"/>
                </a:solidFill>
                <a:ln>
                  <a:solidFill>
                    <a:srgbClr val="0070C0"/>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2-F1A8-4178-8334-E3F2CC107E7E}"/>
                </c:ext>
              </c:extLst>
            </c:dLbl>
            <c:dLbl>
              <c:idx val="3"/>
              <c:layout>
                <c:manualLayout>
                  <c:x val="0"/>
                  <c:y val="-3.1080023473983084E-3"/>
                </c:manualLayout>
              </c:layout>
              <c:spPr>
                <a:solidFill>
                  <a:srgbClr val="FFFF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1A8-4178-8334-E3F2CC107E7E}"/>
                </c:ext>
              </c:extLst>
            </c:dLbl>
            <c:dLbl>
              <c:idx val="4"/>
              <c:spPr>
                <a:solidFill>
                  <a:srgbClr val="FF66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4-F1A8-4178-8334-E3F2CC107E7E}"/>
                </c:ext>
              </c:extLst>
            </c:dLbl>
            <c:dLbl>
              <c:idx val="5"/>
              <c:spPr>
                <a:solidFill>
                  <a:srgbClr val="FFC0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5-F1A8-4178-8334-E3F2CC107E7E}"/>
                </c:ext>
              </c:extLst>
            </c:dLbl>
            <c:dLbl>
              <c:idx val="6"/>
              <c:layout>
                <c:manualLayout>
                  <c:x val="0"/>
                  <c:y val="5.9052044600567802E-2"/>
                </c:manualLayout>
              </c:layout>
              <c:spPr>
                <a:solidFill>
                  <a:srgbClr val="FFC0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1A8-4178-8334-E3F2CC107E7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'Aspiration Chart'!$A$4:$A$10</c:f>
              <c:strCache>
                <c:ptCount val="7"/>
                <c:pt idx="0">
                  <c:v>Apriration 1:  A properous Africa based on inclusive growth and sustainable development</c:v>
                </c:pt>
                <c:pt idx="1">
                  <c:v> Aspiration 2:  An integrated continent, politically united and based on the ideals of Pan - Africanism and a Vision of the African Renaissance</c:v>
                </c:pt>
                <c:pt idx="2">
                  <c:v>Aspiration 3: An African of good governance, democracy, respect for human rigjhts and the rule of law</c:v>
                </c:pt>
                <c:pt idx="3">
                  <c:v> Aspiration 4. A peaceful and secure Africa</c:v>
                </c:pt>
                <c:pt idx="4">
                  <c:v>Aspiration 5: African with a strong cultural identity, common heritage, value and beliefs</c:v>
                </c:pt>
                <c:pt idx="5">
                  <c:v>Aspiration 6 An Africa whose development of people driven, relying on the potential of the African People</c:v>
                </c:pt>
                <c:pt idx="6">
                  <c:v> Aspiration 7: Africa as a strong and influential global partner</c:v>
                </c:pt>
              </c:strCache>
            </c:strRef>
          </c:cat>
          <c:val>
            <c:numRef>
              <c:f>'Aspiration Chart'!$B$4:$B$10</c:f>
              <c:numCache>
                <c:formatCode>0%</c:formatCode>
                <c:ptCount val="7"/>
                <c:pt idx="0">
                  <c:v>0.32324995573810883</c:v>
                </c:pt>
                <c:pt idx="1">
                  <c:v>0.54879846028855261</c:v>
                </c:pt>
                <c:pt idx="2">
                  <c:v>0.2875065281416414</c:v>
                </c:pt>
                <c:pt idx="3">
                  <c:v>0.57969157161775386</c:v>
                </c:pt>
                <c:pt idx="4">
                  <c:v>0.28325223033252228</c:v>
                </c:pt>
                <c:pt idx="5">
                  <c:v>0.49232230190803566</c:v>
                </c:pt>
                <c:pt idx="6">
                  <c:v>0.42770125962740896</c:v>
                </c:pt>
              </c:numCache>
            </c:numRef>
          </c:val>
          <c:extLst>
            <c:ext xmlns:c16="http://schemas.microsoft.com/office/drawing/2014/chart" uri="{C3380CC4-5D6E-409C-BE32-E72D297353CC}">
              <c16:uniqueId val="{00000007-F1A8-4178-8334-E3F2CC107E7E}"/>
            </c:ext>
          </c:extLst>
        </c:ser>
        <c:dLbls>
          <c:showLegendKey val="0"/>
          <c:showVal val="0"/>
          <c:showCatName val="0"/>
          <c:showSerName val="0"/>
          <c:showPercent val="0"/>
          <c:showBubbleSize val="0"/>
        </c:dLbls>
        <c:axId val="2053271680"/>
        <c:axId val="1858782976"/>
      </c:radarChart>
      <c:catAx>
        <c:axId val="20532716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8782976"/>
        <c:crosses val="autoZero"/>
        <c:auto val="1"/>
        <c:lblAlgn val="ctr"/>
        <c:lblOffset val="100"/>
        <c:noMultiLvlLbl val="0"/>
      </c:catAx>
      <c:valAx>
        <c:axId val="1858782976"/>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20532716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847557258122225E-2"/>
          <c:y val="1.9196212729668042E-2"/>
          <c:w val="0.92860254583032675"/>
          <c:h val="0.86577617299847409"/>
        </c:manualLayout>
      </c:layout>
      <c:barChart>
        <c:barDir val="col"/>
        <c:grouping val="stacked"/>
        <c:varyColors val="0"/>
        <c:ser>
          <c:idx val="0"/>
          <c:order val="0"/>
          <c:tx>
            <c:strRef>
              <c:f>'Performance by Goal'!$D$1</c:f>
              <c:strCache>
                <c:ptCount val="1"/>
                <c:pt idx="0">
                  <c:v>Decription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'Performance by Goal'!$C$2:$C$23</c:f>
              <c:strCache>
                <c:ptCount val="20"/>
                <c:pt idx="0">
                  <c:v>Goal 1</c:v>
                </c:pt>
                <c:pt idx="1">
                  <c:v>Goal 2</c:v>
                </c:pt>
                <c:pt idx="2">
                  <c:v>Goal 3</c:v>
                </c:pt>
                <c:pt idx="3">
                  <c:v>Goal 4</c:v>
                </c:pt>
                <c:pt idx="4">
                  <c:v>Goal 5</c:v>
                </c:pt>
                <c:pt idx="5">
                  <c:v>Goal 6</c:v>
                </c:pt>
                <c:pt idx="6">
                  <c:v>Goal 7</c:v>
                </c:pt>
                <c:pt idx="7">
                  <c:v>Goal 8</c:v>
                </c:pt>
                <c:pt idx="8">
                  <c:v>Goal 9</c:v>
                </c:pt>
                <c:pt idx="9">
                  <c:v>Goal 10</c:v>
                </c:pt>
                <c:pt idx="10">
                  <c:v>Goal 11</c:v>
                </c:pt>
                <c:pt idx="11">
                  <c:v>Goal 12</c:v>
                </c:pt>
                <c:pt idx="12">
                  <c:v>Goal 13</c:v>
                </c:pt>
                <c:pt idx="13">
                  <c:v>Goal 14</c:v>
                </c:pt>
                <c:pt idx="14">
                  <c:v>Goal 15</c:v>
                </c:pt>
                <c:pt idx="15">
                  <c:v>Goal 16</c:v>
                </c:pt>
                <c:pt idx="16">
                  <c:v>Goal 17</c:v>
                </c:pt>
                <c:pt idx="17">
                  <c:v>Goal 18</c:v>
                </c:pt>
                <c:pt idx="18">
                  <c:v>Goal 19</c:v>
                </c:pt>
                <c:pt idx="19">
                  <c:v>Goal 20</c:v>
                </c:pt>
              </c:strCache>
            </c:strRef>
          </c:cat>
          <c:val>
            <c:numRef>
              <c:f>'Performance by Goal'!$D$2:$D$23</c:f>
            </c:numRef>
          </c:val>
          <c:extLst>
            <c:ext xmlns:c16="http://schemas.microsoft.com/office/drawing/2014/chart" uri="{C3380CC4-5D6E-409C-BE32-E72D297353CC}">
              <c16:uniqueId val="{00000000-3BD5-42DB-A8DD-68ED77B36605}"/>
            </c:ext>
          </c:extLst>
        </c:ser>
        <c:ser>
          <c:idx val="1"/>
          <c:order val="1"/>
          <c:tx>
            <c:strRef>
              <c:f>'Performance by Goal'!$E$1</c:f>
              <c:strCache>
                <c:ptCount val="1"/>
                <c:pt idx="0">
                  <c:v>Achievement</c:v>
                </c:pt>
              </c:strCache>
            </c:strRef>
          </c:tx>
          <c:spPr>
            <a:solidFill>
              <a:schemeClr val="accent2"/>
            </a:solidFill>
            <a:ln>
              <a:noFill/>
            </a:ln>
            <a:effectLst/>
          </c:spPr>
          <c:invertIfNegative val="0"/>
          <c:dPt>
            <c:idx val="0"/>
            <c:invertIfNegative val="0"/>
            <c:bubble3D val="0"/>
            <c:spPr>
              <a:solidFill>
                <a:srgbClr val="FFFF00"/>
              </a:solidFill>
              <a:ln>
                <a:noFill/>
              </a:ln>
              <a:effectLst/>
            </c:spPr>
            <c:extLst>
              <c:ext xmlns:c16="http://schemas.microsoft.com/office/drawing/2014/chart" uri="{C3380CC4-5D6E-409C-BE32-E72D297353CC}">
                <c16:uniqueId val="{00000001-DF58-4B5C-AB0F-1BFB69053935}"/>
              </c:ext>
            </c:extLst>
          </c:dPt>
          <c:dPt>
            <c:idx val="1"/>
            <c:invertIfNegative val="0"/>
            <c:bubble3D val="0"/>
            <c:spPr>
              <a:solidFill>
                <a:srgbClr val="FF9933"/>
              </a:solidFill>
              <a:ln>
                <a:noFill/>
              </a:ln>
              <a:effectLst/>
            </c:spPr>
            <c:extLst>
              <c:ext xmlns:c16="http://schemas.microsoft.com/office/drawing/2014/chart" uri="{C3380CC4-5D6E-409C-BE32-E72D297353CC}">
                <c16:uniqueId val="{00000003-DF58-4B5C-AB0F-1BFB69053935}"/>
              </c:ext>
            </c:extLst>
          </c:dPt>
          <c:dPt>
            <c:idx val="2"/>
            <c:invertIfNegative val="0"/>
            <c:bubble3D val="0"/>
            <c:spPr>
              <a:solidFill>
                <a:srgbClr val="FFC000"/>
              </a:solidFill>
              <a:ln>
                <a:noFill/>
              </a:ln>
              <a:effectLst/>
            </c:spPr>
            <c:extLst>
              <c:ext xmlns:c16="http://schemas.microsoft.com/office/drawing/2014/chart" uri="{C3380CC4-5D6E-409C-BE32-E72D297353CC}">
                <c16:uniqueId val="{00000005-DF58-4B5C-AB0F-1BFB69053935}"/>
              </c:ext>
            </c:extLst>
          </c:dPt>
          <c:dPt>
            <c:idx val="3"/>
            <c:invertIfNegative val="0"/>
            <c:bubble3D val="0"/>
            <c:spPr>
              <a:solidFill>
                <a:srgbClr val="FF6600"/>
              </a:solidFill>
              <a:ln>
                <a:noFill/>
              </a:ln>
              <a:effectLst/>
            </c:spPr>
            <c:extLst>
              <c:ext xmlns:c16="http://schemas.microsoft.com/office/drawing/2014/chart" uri="{C3380CC4-5D6E-409C-BE32-E72D297353CC}">
                <c16:uniqueId val="{00000007-DF58-4B5C-AB0F-1BFB69053935}"/>
              </c:ext>
            </c:extLst>
          </c:dPt>
          <c:dPt>
            <c:idx val="4"/>
            <c:invertIfNegative val="0"/>
            <c:bubble3D val="0"/>
            <c:spPr>
              <a:solidFill>
                <a:srgbClr val="FF0000"/>
              </a:solidFill>
              <a:ln>
                <a:noFill/>
              </a:ln>
              <a:effectLst/>
            </c:spPr>
            <c:extLst>
              <c:ext xmlns:c16="http://schemas.microsoft.com/office/drawing/2014/chart" uri="{C3380CC4-5D6E-409C-BE32-E72D297353CC}">
                <c16:uniqueId val="{00000009-DF58-4B5C-AB0F-1BFB69053935}"/>
              </c:ext>
            </c:extLst>
          </c:dPt>
          <c:dPt>
            <c:idx val="5"/>
            <c:invertIfNegative val="0"/>
            <c:bubble3D val="0"/>
            <c:spPr>
              <a:solidFill>
                <a:srgbClr val="FF0000"/>
              </a:solidFill>
              <a:ln>
                <a:noFill/>
              </a:ln>
              <a:effectLst/>
            </c:spPr>
            <c:extLst>
              <c:ext xmlns:c16="http://schemas.microsoft.com/office/drawing/2014/chart" uri="{C3380CC4-5D6E-409C-BE32-E72D297353CC}">
                <c16:uniqueId val="{0000000B-DF58-4B5C-AB0F-1BFB69053935}"/>
              </c:ext>
            </c:extLst>
          </c:dPt>
          <c:dPt>
            <c:idx val="6"/>
            <c:invertIfNegative val="0"/>
            <c:bubble3D val="0"/>
            <c:spPr>
              <a:solidFill>
                <a:srgbClr val="FF9933"/>
              </a:solidFill>
              <a:ln>
                <a:noFill/>
              </a:ln>
              <a:effectLst/>
            </c:spPr>
            <c:extLst>
              <c:ext xmlns:c16="http://schemas.microsoft.com/office/drawing/2014/chart" uri="{C3380CC4-5D6E-409C-BE32-E72D297353CC}">
                <c16:uniqueId val="{0000000D-DF58-4B5C-AB0F-1BFB69053935}"/>
              </c:ext>
            </c:extLst>
          </c:dPt>
          <c:dPt>
            <c:idx val="7"/>
            <c:invertIfNegative val="0"/>
            <c:bubble3D val="0"/>
            <c:spPr>
              <a:solidFill>
                <a:srgbClr val="FF9933"/>
              </a:solidFill>
              <a:ln>
                <a:noFill/>
              </a:ln>
              <a:effectLst/>
            </c:spPr>
            <c:extLst>
              <c:ext xmlns:c16="http://schemas.microsoft.com/office/drawing/2014/chart" uri="{C3380CC4-5D6E-409C-BE32-E72D297353CC}">
                <c16:uniqueId val="{0000000F-DF58-4B5C-AB0F-1BFB69053935}"/>
              </c:ext>
            </c:extLst>
          </c:dPt>
          <c:dPt>
            <c:idx val="8"/>
            <c:invertIfNegative val="0"/>
            <c:bubble3D val="0"/>
            <c:spPr>
              <a:solidFill>
                <a:srgbClr val="006600"/>
              </a:solidFill>
              <a:ln>
                <a:noFill/>
              </a:ln>
              <a:effectLst/>
            </c:spPr>
            <c:extLst>
              <c:ext xmlns:c16="http://schemas.microsoft.com/office/drawing/2014/chart" uri="{C3380CC4-5D6E-409C-BE32-E72D297353CC}">
                <c16:uniqueId val="{00000011-DF58-4B5C-AB0F-1BFB69053935}"/>
              </c:ext>
            </c:extLst>
          </c:dPt>
          <c:dPt>
            <c:idx val="9"/>
            <c:invertIfNegative val="0"/>
            <c:bubble3D val="0"/>
            <c:spPr>
              <a:solidFill>
                <a:srgbClr val="FF9933"/>
              </a:solidFill>
              <a:ln>
                <a:noFill/>
              </a:ln>
              <a:effectLst/>
            </c:spPr>
            <c:extLst>
              <c:ext xmlns:c16="http://schemas.microsoft.com/office/drawing/2014/chart" uri="{C3380CC4-5D6E-409C-BE32-E72D297353CC}">
                <c16:uniqueId val="{00000013-DF58-4B5C-AB0F-1BFB69053935}"/>
              </c:ext>
            </c:extLst>
          </c:dPt>
          <c:dPt>
            <c:idx val="10"/>
            <c:invertIfNegative val="0"/>
            <c:bubble3D val="0"/>
            <c:spPr>
              <a:solidFill>
                <a:srgbClr val="FFC000"/>
              </a:solidFill>
              <a:ln>
                <a:noFill/>
              </a:ln>
              <a:effectLst/>
            </c:spPr>
            <c:extLst>
              <c:ext xmlns:c16="http://schemas.microsoft.com/office/drawing/2014/chart" uri="{C3380CC4-5D6E-409C-BE32-E72D297353CC}">
                <c16:uniqueId val="{00000015-DF58-4B5C-AB0F-1BFB69053935}"/>
              </c:ext>
            </c:extLst>
          </c:dPt>
          <c:dPt>
            <c:idx val="11"/>
            <c:invertIfNegative val="0"/>
            <c:bubble3D val="0"/>
            <c:spPr>
              <a:solidFill>
                <a:srgbClr val="FF0000"/>
              </a:solidFill>
              <a:ln>
                <a:noFill/>
              </a:ln>
              <a:effectLst/>
            </c:spPr>
            <c:extLst>
              <c:ext xmlns:c16="http://schemas.microsoft.com/office/drawing/2014/chart" uri="{C3380CC4-5D6E-409C-BE32-E72D297353CC}">
                <c16:uniqueId val="{00000017-DF58-4B5C-AB0F-1BFB69053935}"/>
              </c:ext>
            </c:extLst>
          </c:dPt>
          <c:dPt>
            <c:idx val="12"/>
            <c:invertIfNegative val="0"/>
            <c:bubble3D val="0"/>
            <c:spPr>
              <a:solidFill>
                <a:srgbClr val="FF9933"/>
              </a:solidFill>
              <a:ln>
                <a:noFill/>
              </a:ln>
              <a:effectLst/>
            </c:spPr>
            <c:extLst>
              <c:ext xmlns:c16="http://schemas.microsoft.com/office/drawing/2014/chart" uri="{C3380CC4-5D6E-409C-BE32-E72D297353CC}">
                <c16:uniqueId val="{00000019-DF58-4B5C-AB0F-1BFB69053935}"/>
              </c:ext>
            </c:extLst>
          </c:dPt>
          <c:dPt>
            <c:idx val="13"/>
            <c:invertIfNegative val="0"/>
            <c:bubble3D val="0"/>
            <c:spPr>
              <a:solidFill>
                <a:srgbClr val="FFFF00"/>
              </a:solidFill>
              <a:ln>
                <a:noFill/>
              </a:ln>
              <a:effectLst/>
            </c:spPr>
            <c:extLst>
              <c:ext xmlns:c16="http://schemas.microsoft.com/office/drawing/2014/chart" uri="{C3380CC4-5D6E-409C-BE32-E72D297353CC}">
                <c16:uniqueId val="{0000001B-DF58-4B5C-AB0F-1BFB69053935}"/>
              </c:ext>
            </c:extLst>
          </c:dPt>
          <c:dPt>
            <c:idx val="14"/>
            <c:invertIfNegative val="0"/>
            <c:bubble3D val="0"/>
            <c:spPr>
              <a:solidFill>
                <a:srgbClr val="00FF00"/>
              </a:solidFill>
              <a:ln>
                <a:noFill/>
              </a:ln>
              <a:effectLst/>
            </c:spPr>
            <c:extLst>
              <c:ext xmlns:c16="http://schemas.microsoft.com/office/drawing/2014/chart" uri="{C3380CC4-5D6E-409C-BE32-E72D297353CC}">
                <c16:uniqueId val="{0000001D-DF58-4B5C-AB0F-1BFB69053935}"/>
              </c:ext>
            </c:extLst>
          </c:dPt>
          <c:dPt>
            <c:idx val="15"/>
            <c:invertIfNegative val="0"/>
            <c:bubble3D val="0"/>
            <c:spPr>
              <a:solidFill>
                <a:srgbClr val="FF6600"/>
              </a:solidFill>
              <a:ln>
                <a:noFill/>
              </a:ln>
              <a:effectLst/>
            </c:spPr>
            <c:extLst>
              <c:ext xmlns:c16="http://schemas.microsoft.com/office/drawing/2014/chart" uri="{C3380CC4-5D6E-409C-BE32-E72D297353CC}">
                <c16:uniqueId val="{00000025-77E3-48E2-9CD8-270ACE34747F}"/>
              </c:ext>
            </c:extLst>
          </c:dPt>
          <c:dPt>
            <c:idx val="16"/>
            <c:invertIfNegative val="0"/>
            <c:bubble3D val="0"/>
            <c:spPr>
              <a:solidFill>
                <a:srgbClr val="FFFF00"/>
              </a:solidFill>
              <a:ln>
                <a:noFill/>
              </a:ln>
              <a:effectLst/>
            </c:spPr>
            <c:extLst>
              <c:ext xmlns:c16="http://schemas.microsoft.com/office/drawing/2014/chart" uri="{C3380CC4-5D6E-409C-BE32-E72D297353CC}">
                <c16:uniqueId val="{00000021-DF58-4B5C-AB0F-1BFB69053935}"/>
              </c:ext>
            </c:extLst>
          </c:dPt>
          <c:dPt>
            <c:idx val="17"/>
            <c:invertIfNegative val="0"/>
            <c:bubble3D val="0"/>
            <c:spPr>
              <a:solidFill>
                <a:srgbClr val="FF6600"/>
              </a:solidFill>
              <a:ln>
                <a:noFill/>
              </a:ln>
              <a:effectLst/>
            </c:spPr>
            <c:extLst>
              <c:ext xmlns:c16="http://schemas.microsoft.com/office/drawing/2014/chart" uri="{C3380CC4-5D6E-409C-BE32-E72D297353CC}">
                <c16:uniqueId val="{00000023-DF58-4B5C-AB0F-1BFB69053935}"/>
              </c:ext>
            </c:extLst>
          </c:dPt>
          <c:dPt>
            <c:idx val="18"/>
            <c:invertIfNegative val="0"/>
            <c:bubble3D val="0"/>
            <c:spPr>
              <a:solidFill>
                <a:srgbClr val="FFFF00"/>
              </a:solidFill>
              <a:ln>
                <a:noFill/>
              </a:ln>
              <a:effectLst/>
            </c:spPr>
            <c:extLst>
              <c:ext xmlns:c16="http://schemas.microsoft.com/office/drawing/2014/chart" uri="{C3380CC4-5D6E-409C-BE32-E72D297353CC}">
                <c16:uniqueId val="{00000023-77E3-48E2-9CD8-270ACE34747F}"/>
              </c:ext>
            </c:extLst>
          </c:dPt>
          <c:dPt>
            <c:idx val="19"/>
            <c:invertIfNegative val="0"/>
            <c:bubble3D val="0"/>
            <c:spPr>
              <a:solidFill>
                <a:srgbClr val="FF9933"/>
              </a:solidFill>
              <a:ln>
                <a:noFill/>
              </a:ln>
              <a:effectLst/>
            </c:spPr>
            <c:extLst>
              <c:ext xmlns:c16="http://schemas.microsoft.com/office/drawing/2014/chart" uri="{C3380CC4-5D6E-409C-BE32-E72D297353CC}">
                <c16:uniqueId val="{00000024-77E3-48E2-9CD8-270ACE34747F}"/>
              </c:ext>
            </c:extLst>
          </c:dPt>
          <c:dLbls>
            <c:dLbl>
              <c:idx val="0"/>
              <c:layout>
                <c:manualLayout>
                  <c:x val="0"/>
                  <c:y val="-0.2490149106147414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F58-4B5C-AB0F-1BFB69053935}"/>
                </c:ext>
              </c:extLst>
            </c:dLbl>
            <c:dLbl>
              <c:idx val="1"/>
              <c:layout>
                <c:manualLayout>
                  <c:x val="-1.5065737868006929E-17"/>
                  <c:y val="-0.1828210736158862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8-4B5C-AB0F-1BFB69053935}"/>
                </c:ext>
              </c:extLst>
            </c:dLbl>
            <c:dLbl>
              <c:idx val="2"/>
              <c:layout>
                <c:manualLayout>
                  <c:x val="6.5742161056129697E-3"/>
                  <c:y val="-0.2332544732340616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8-4B5C-AB0F-1BFB69053935}"/>
                </c:ext>
              </c:extLst>
            </c:dLbl>
            <c:dLbl>
              <c:idx val="3"/>
              <c:layout>
                <c:manualLayout>
                  <c:x val="1.6435540264032424E-3"/>
                  <c:y val="-0.1418436882302542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F58-4B5C-AB0F-1BFB69053935}"/>
                </c:ext>
              </c:extLst>
            </c:dLbl>
            <c:dLbl>
              <c:idx val="4"/>
              <c:layout>
                <c:manualLayout>
                  <c:x val="3.2871080528064848E-3"/>
                  <c:y val="-3.152087476135967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F58-4B5C-AB0F-1BFB69053935}"/>
                </c:ext>
              </c:extLst>
            </c:dLbl>
            <c:dLbl>
              <c:idx val="5"/>
              <c:layout>
                <c:manualLayout>
                  <c:x val="0"/>
                  <c:y val="-7.88021869033991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F58-4B5C-AB0F-1BFB69053935}"/>
                </c:ext>
              </c:extLst>
            </c:dLbl>
            <c:dLbl>
              <c:idx val="6"/>
              <c:layout>
                <c:manualLayout>
                  <c:x val="0"/>
                  <c:y val="-0.1576043738067983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F58-4B5C-AB0F-1BFB69053935}"/>
                </c:ext>
              </c:extLst>
            </c:dLbl>
            <c:dLbl>
              <c:idx val="7"/>
              <c:layout>
                <c:manualLayout>
                  <c:x val="-1.6435540264033027E-3"/>
                  <c:y val="-0.1733648111874782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F58-4B5C-AB0F-1BFB69053935}"/>
                </c:ext>
              </c:extLst>
            </c:dLbl>
            <c:dLbl>
              <c:idx val="8"/>
              <c:layout>
                <c:manualLayout>
                  <c:x val="1.6435540264031821E-3"/>
                  <c:y val="-0.4192276343260836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F58-4B5C-AB0F-1BFB69053935}"/>
                </c:ext>
              </c:extLst>
            </c:dLbl>
            <c:dLbl>
              <c:idx val="9"/>
              <c:layout>
                <c:manualLayout>
                  <c:x val="-1.6435540264032424E-3"/>
                  <c:y val="-0.1859731610920220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F58-4B5C-AB0F-1BFB69053935}"/>
                </c:ext>
              </c:extLst>
            </c:dLbl>
            <c:dLbl>
              <c:idx val="10"/>
              <c:layout>
                <c:manualLayout>
                  <c:x val="1.6435540264032424E-3"/>
                  <c:y val="-0.2048856859488379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F58-4B5C-AB0F-1BFB69053935}"/>
                </c:ext>
              </c:extLst>
            </c:dLbl>
            <c:dLbl>
              <c:idx val="11"/>
              <c:layout>
                <c:manualLayout>
                  <c:x val="0"/>
                  <c:y val="-0.107170974188622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F58-4B5C-AB0F-1BFB69053935}"/>
                </c:ext>
              </c:extLst>
            </c:dLbl>
            <c:dLbl>
              <c:idx val="12"/>
              <c:layout>
                <c:manualLayout>
                  <c:x val="-1.643554026403363E-3"/>
                  <c:y val="-0.2017335984727018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F58-4B5C-AB0F-1BFB69053935}"/>
                </c:ext>
              </c:extLst>
            </c:dLbl>
            <c:dLbl>
              <c:idx val="13"/>
              <c:layout>
                <c:manualLayout>
                  <c:x val="1.6435540264031219E-3"/>
                  <c:y val="-0.2490149106147415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F58-4B5C-AB0F-1BFB69053935}"/>
                </c:ext>
              </c:extLst>
            </c:dLbl>
            <c:dLbl>
              <c:idx val="14"/>
              <c:layout>
                <c:manualLayout>
                  <c:x val="1.6435540264032424E-3"/>
                  <c:y val="-0.3782504971363161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F58-4B5C-AB0F-1BFB69053935}"/>
                </c:ext>
              </c:extLst>
            </c:dLbl>
            <c:dLbl>
              <c:idx val="15"/>
              <c:layout>
                <c:manualLayout>
                  <c:x val="0"/>
                  <c:y val="-0.1481481113783904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77E3-48E2-9CD8-270ACE34747F}"/>
                </c:ext>
              </c:extLst>
            </c:dLbl>
            <c:dLbl>
              <c:idx val="16"/>
              <c:layout>
                <c:manualLayout>
                  <c:x val="-1.643554026403363E-3"/>
                  <c:y val="-0.2962962227567809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DF58-4B5C-AB0F-1BFB69053935}"/>
                </c:ext>
              </c:extLst>
            </c:dLbl>
            <c:dLbl>
              <c:idx val="17"/>
              <c:layout>
                <c:manualLayout>
                  <c:x val="1.6435540264032424E-3"/>
                  <c:y val="-0.1197793240931667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DF58-4B5C-AB0F-1BFB69053935}"/>
                </c:ext>
              </c:extLst>
            </c:dLbl>
            <c:dLbl>
              <c:idx val="18"/>
              <c:layout>
                <c:manualLayout>
                  <c:x val="1.643554026403363E-3"/>
                  <c:y val="-0.3057524851851888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7E3-48E2-9CD8-270ACE34747F}"/>
                </c:ext>
              </c:extLst>
            </c:dLbl>
            <c:dLbl>
              <c:idx val="19"/>
              <c:layout>
                <c:manualLayout>
                  <c:x val="-3.2871080528064848E-3"/>
                  <c:y val="-0.1859731610920221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7E3-48E2-9CD8-270ACE34747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'Performance by Goal'!$C$2:$C$23</c:f>
              <c:strCache>
                <c:ptCount val="20"/>
                <c:pt idx="0">
                  <c:v>Goal 1</c:v>
                </c:pt>
                <c:pt idx="1">
                  <c:v>Goal 2</c:v>
                </c:pt>
                <c:pt idx="2">
                  <c:v>Goal 3</c:v>
                </c:pt>
                <c:pt idx="3">
                  <c:v>Goal 4</c:v>
                </c:pt>
                <c:pt idx="4">
                  <c:v>Goal 5</c:v>
                </c:pt>
                <c:pt idx="5">
                  <c:v>Goal 6</c:v>
                </c:pt>
                <c:pt idx="6">
                  <c:v>Goal 7</c:v>
                </c:pt>
                <c:pt idx="7">
                  <c:v>Goal 8</c:v>
                </c:pt>
                <c:pt idx="8">
                  <c:v>Goal 9</c:v>
                </c:pt>
                <c:pt idx="9">
                  <c:v>Goal 10</c:v>
                </c:pt>
                <c:pt idx="10">
                  <c:v>Goal 11</c:v>
                </c:pt>
                <c:pt idx="11">
                  <c:v>Goal 12</c:v>
                </c:pt>
                <c:pt idx="12">
                  <c:v>Goal 13</c:v>
                </c:pt>
                <c:pt idx="13">
                  <c:v>Goal 14</c:v>
                </c:pt>
                <c:pt idx="14">
                  <c:v>Goal 15</c:v>
                </c:pt>
                <c:pt idx="15">
                  <c:v>Goal 16</c:v>
                </c:pt>
                <c:pt idx="16">
                  <c:v>Goal 17</c:v>
                </c:pt>
                <c:pt idx="17">
                  <c:v>Goal 18</c:v>
                </c:pt>
                <c:pt idx="18">
                  <c:v>Goal 19</c:v>
                </c:pt>
                <c:pt idx="19">
                  <c:v>Goal 20</c:v>
                </c:pt>
              </c:strCache>
            </c:strRef>
          </c:cat>
          <c:val>
            <c:numRef>
              <c:f>'Performance by Goal'!$E$2:$E$23</c:f>
              <c:numCache>
                <c:formatCode>0%</c:formatCode>
                <c:ptCount val="20"/>
                <c:pt idx="0">
                  <c:v>0.50187641083698098</c:v>
                </c:pt>
                <c:pt idx="1">
                  <c:v>0.36296414364912111</c:v>
                </c:pt>
                <c:pt idx="2">
                  <c:v>0.47071162366341884</c:v>
                </c:pt>
                <c:pt idx="3">
                  <c:v>0.26805387418894078</c:v>
                </c:pt>
                <c:pt idx="4">
                  <c:v>1.7397507570463534E-2</c:v>
                </c:pt>
                <c:pt idx="5">
                  <c:v>0.13888888888888887</c:v>
                </c:pt>
                <c:pt idx="6">
                  <c:v>0.31119257581870746</c:v>
                </c:pt>
                <c:pt idx="7">
                  <c:v>0.33892115223041325</c:v>
                </c:pt>
                <c:pt idx="8">
                  <c:v>0.9127777777777778</c:v>
                </c:pt>
                <c:pt idx="9">
                  <c:v>0.39469645085746635</c:v>
                </c:pt>
                <c:pt idx="10">
                  <c:v>0.40834638961661618</c:v>
                </c:pt>
                <c:pt idx="11">
                  <c:v>0.16666666666666666</c:v>
                </c:pt>
                <c:pt idx="12">
                  <c:v>0.40574138151992822</c:v>
                </c:pt>
                <c:pt idx="13">
                  <c:v>0.5</c:v>
                </c:pt>
                <c:pt idx="14">
                  <c:v>0.83333333333333337</c:v>
                </c:pt>
                <c:pt idx="15">
                  <c:v>0.28325223033252228</c:v>
                </c:pt>
                <c:pt idx="16">
                  <c:v>0.63119290285753105</c:v>
                </c:pt>
                <c:pt idx="17">
                  <c:v>0.21458110000904473</c:v>
                </c:pt>
                <c:pt idx="18">
                  <c:v>0.62725504857011372</c:v>
                </c:pt>
                <c:pt idx="19">
                  <c:v>0.36118332997984076</c:v>
                </c:pt>
              </c:numCache>
            </c:numRef>
          </c:val>
          <c:extLst>
            <c:ext xmlns:c16="http://schemas.microsoft.com/office/drawing/2014/chart" uri="{C3380CC4-5D6E-409C-BE32-E72D297353CC}">
              <c16:uniqueId val="{00000022-77E3-48E2-9CD8-270ACE34747F}"/>
            </c:ext>
          </c:extLst>
        </c:ser>
        <c:dLbls>
          <c:showLegendKey val="0"/>
          <c:showVal val="0"/>
          <c:showCatName val="0"/>
          <c:showSerName val="0"/>
          <c:showPercent val="0"/>
          <c:showBubbleSize val="0"/>
        </c:dLbls>
        <c:gapWidth val="150"/>
        <c:overlap val="100"/>
        <c:axId val="2052780656"/>
        <c:axId val="2051166640"/>
      </c:barChart>
      <c:catAx>
        <c:axId val="205278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166640"/>
        <c:crosses val="autoZero"/>
        <c:auto val="1"/>
        <c:lblAlgn val="ctr"/>
        <c:lblOffset val="100"/>
        <c:noMultiLvlLbl val="0"/>
      </c:catAx>
      <c:valAx>
        <c:axId val="20511666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052780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133349</xdr:colOff>
      <xdr:row>10</xdr:row>
      <xdr:rowOff>123824</xdr:rowOff>
    </xdr:from>
    <xdr:to>
      <xdr:col>2</xdr:col>
      <xdr:colOff>404811</xdr:colOff>
      <xdr:row>33</xdr:row>
      <xdr:rowOff>47625</xdr:rowOff>
    </xdr:to>
    <xdr:graphicFrame macro="">
      <xdr:nvGraphicFramePr>
        <xdr:cNvPr id="3" name="Chart 2">
          <a:extLst>
            <a:ext uri="{FF2B5EF4-FFF2-40B4-BE49-F238E27FC236}">
              <a16:creationId xmlns:a16="http://schemas.microsoft.com/office/drawing/2014/main" id="{FDC33054-816A-4312-B67C-1D671D5113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130967</xdr:colOff>
      <xdr:row>1</xdr:row>
      <xdr:rowOff>33337</xdr:rowOff>
    </xdr:from>
    <xdr:to>
      <xdr:col>15</xdr:col>
      <xdr:colOff>347662</xdr:colOff>
      <xdr:row>15</xdr:row>
      <xdr:rowOff>185738</xdr:rowOff>
    </xdr:to>
    <xdr:graphicFrame macro="">
      <xdr:nvGraphicFramePr>
        <xdr:cNvPr id="2" name="Chart 1">
          <a:extLst>
            <a:ext uri="{FF2B5EF4-FFF2-40B4-BE49-F238E27FC236}">
              <a16:creationId xmlns:a16="http://schemas.microsoft.com/office/drawing/2014/main" id="{FFEA0A31-29D2-4AD0-86B5-E9F1425171C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dsonn/Desktop/Member%20States%20Reports/Version%20for%20MS%20Validation%2013%20Dec%202019/Validated%20Reports/Indexed%20Versions_24th%20Dec%202019/Country%20Reports%209th%20Jan%202019/Tanzania%20Updated%2014th%20Jan%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nzania"/>
      <sheetName val="Mainland"/>
      <sheetName val="Zanzibar"/>
    </sheetNames>
    <sheetDataSet>
      <sheetData sheetId="0"/>
      <sheetData sheetId="1">
        <row r="11">
          <cell r="H11">
            <v>1086</v>
          </cell>
          <cell r="I11">
            <v>1015</v>
          </cell>
        </row>
        <row r="12">
          <cell r="H12">
            <v>9.6999999999999993</v>
          </cell>
          <cell r="I12">
            <v>10.3</v>
          </cell>
        </row>
        <row r="13">
          <cell r="H13">
            <v>34.799999999999997</v>
          </cell>
          <cell r="I13">
            <v>35</v>
          </cell>
        </row>
        <row r="14">
          <cell r="H14">
            <v>80</v>
          </cell>
          <cell r="I14">
            <v>57</v>
          </cell>
        </row>
        <row r="15">
          <cell r="H15">
            <v>29</v>
          </cell>
          <cell r="I15">
            <v>18</v>
          </cell>
        </row>
        <row r="16">
          <cell r="H16">
            <v>29</v>
          </cell>
          <cell r="I16">
            <v>18</v>
          </cell>
        </row>
        <row r="17">
          <cell r="H17">
            <v>40.799999999999997</v>
          </cell>
          <cell r="I17">
            <v>20.8</v>
          </cell>
        </row>
        <row r="19">
          <cell r="H19">
            <v>39.9</v>
          </cell>
          <cell r="I19">
            <v>35.5</v>
          </cell>
        </row>
        <row r="20">
          <cell r="H20">
            <v>91.1</v>
          </cell>
          <cell r="I20">
            <v>89.7</v>
          </cell>
        </row>
        <row r="21">
          <cell r="H21"/>
          <cell r="I21"/>
        </row>
        <row r="22">
          <cell r="H22">
            <v>3</v>
          </cell>
          <cell r="I22">
            <v>1.8</v>
          </cell>
        </row>
        <row r="25">
          <cell r="H25">
            <v>556</v>
          </cell>
          <cell r="I25">
            <v>454</v>
          </cell>
        </row>
        <row r="26">
          <cell r="H26">
            <v>25</v>
          </cell>
          <cell r="I26">
            <v>26</v>
          </cell>
        </row>
        <row r="27">
          <cell r="H27">
            <v>79</v>
          </cell>
          <cell r="I27">
            <v>81</v>
          </cell>
        </row>
        <row r="28">
          <cell r="H28">
            <v>4.7</v>
          </cell>
          <cell r="I28">
            <v>5.0999999999999996</v>
          </cell>
        </row>
        <row r="29">
          <cell r="H29">
            <v>253</v>
          </cell>
          <cell r="I29">
            <v>306</v>
          </cell>
        </row>
        <row r="30">
          <cell r="H30">
            <v>1.1299999999999999</v>
          </cell>
          <cell r="I30">
            <v>1.42</v>
          </cell>
        </row>
        <row r="33">
          <cell r="H33">
            <v>7</v>
          </cell>
          <cell r="I33">
            <v>6.8</v>
          </cell>
        </row>
        <row r="34">
          <cell r="H34">
            <v>9624</v>
          </cell>
          <cell r="I34">
            <v>6293</v>
          </cell>
        </row>
        <row r="35">
          <cell r="H35">
            <v>1.5</v>
          </cell>
          <cell r="I35">
            <v>1.2</v>
          </cell>
        </row>
        <row r="36">
          <cell r="H36">
            <v>2.2000000000000002</v>
          </cell>
          <cell r="I36">
            <v>1.9</v>
          </cell>
        </row>
        <row r="41">
          <cell r="H41"/>
          <cell r="I41"/>
        </row>
        <row r="49">
          <cell r="H49">
            <v>935162374</v>
          </cell>
          <cell r="I49">
            <v>865574748.23347831</v>
          </cell>
        </row>
        <row r="51">
          <cell r="H51">
            <v>50</v>
          </cell>
          <cell r="I51">
            <v>0</v>
          </cell>
        </row>
        <row r="56">
          <cell r="H56">
            <v>7154000</v>
          </cell>
          <cell r="I56">
            <v>5946200</v>
          </cell>
        </row>
        <row r="57">
          <cell r="H57">
            <v>78</v>
          </cell>
          <cell r="I57">
            <v>57.2</v>
          </cell>
        </row>
        <row r="64">
          <cell r="H64">
            <v>100</v>
          </cell>
          <cell r="I64">
            <v>100</v>
          </cell>
        </row>
        <row r="65">
          <cell r="H65">
            <v>100</v>
          </cell>
          <cell r="I65">
            <v>100</v>
          </cell>
        </row>
        <row r="68">
          <cell r="H68">
            <v>36</v>
          </cell>
          <cell r="I68">
            <v>32</v>
          </cell>
        </row>
        <row r="71">
          <cell r="H71">
            <v>27</v>
          </cell>
        </row>
        <row r="81">
          <cell r="H81"/>
        </row>
        <row r="82">
          <cell r="H82">
            <v>37</v>
          </cell>
          <cell r="I82">
            <v>36</v>
          </cell>
        </row>
        <row r="83">
          <cell r="H83"/>
          <cell r="I83"/>
        </row>
        <row r="84">
          <cell r="H84"/>
        </row>
        <row r="85">
          <cell r="H85"/>
          <cell r="I85"/>
        </row>
        <row r="87">
          <cell r="H87">
            <v>11.7</v>
          </cell>
          <cell r="I87">
            <v>13.2</v>
          </cell>
        </row>
        <row r="88">
          <cell r="H88">
            <v>28.8</v>
          </cell>
          <cell r="I88">
            <v>31.1</v>
          </cell>
        </row>
        <row r="94">
          <cell r="H94">
            <v>100</v>
          </cell>
          <cell r="I94">
            <v>100</v>
          </cell>
        </row>
        <row r="95">
          <cell r="H95">
            <v>4.5</v>
          </cell>
          <cell r="I95">
            <v>4.5</v>
          </cell>
        </row>
        <row r="99">
          <cell r="H99">
            <v>12.3</v>
          </cell>
          <cell r="I99">
            <v>11.9</v>
          </cell>
        </row>
        <row r="100">
          <cell r="H100">
            <v>8</v>
          </cell>
          <cell r="I100">
            <v>20</v>
          </cell>
        </row>
      </sheetData>
      <sheetData sheetId="2">
        <row r="11">
          <cell r="H11">
            <v>1026</v>
          </cell>
          <cell r="I11">
            <v>868</v>
          </cell>
        </row>
        <row r="12">
          <cell r="H12">
            <v>14.3</v>
          </cell>
          <cell r="I12">
            <v>5.5</v>
          </cell>
        </row>
        <row r="13">
          <cell r="H13">
            <v>14</v>
          </cell>
          <cell r="I13">
            <v>20</v>
          </cell>
        </row>
        <row r="14">
          <cell r="H14">
            <v>98</v>
          </cell>
          <cell r="I14">
            <v>90</v>
          </cell>
        </row>
        <row r="15">
          <cell r="H15">
            <v>81</v>
          </cell>
          <cell r="I15">
            <v>38.4</v>
          </cell>
        </row>
        <row r="16">
          <cell r="H16">
            <v>44.2</v>
          </cell>
          <cell r="I16">
            <v>38.299999999999997</v>
          </cell>
        </row>
        <row r="17">
          <cell r="H17">
            <v>33</v>
          </cell>
          <cell r="I17"/>
        </row>
        <row r="19">
          <cell r="H19">
            <v>28</v>
          </cell>
          <cell r="I19">
            <v>20.100000000000001</v>
          </cell>
        </row>
        <row r="20">
          <cell r="H20">
            <v>86</v>
          </cell>
          <cell r="I20">
            <v>82</v>
          </cell>
        </row>
        <row r="21">
          <cell r="H21">
            <v>97</v>
          </cell>
          <cell r="I21">
            <v>95</v>
          </cell>
        </row>
        <row r="22">
          <cell r="H22">
            <v>87.2</v>
          </cell>
          <cell r="I22">
            <v>65.400000000000006</v>
          </cell>
        </row>
        <row r="25">
          <cell r="H25">
            <v>81</v>
          </cell>
          <cell r="I25">
            <v>103</v>
          </cell>
        </row>
        <row r="26">
          <cell r="H26">
            <v>28</v>
          </cell>
          <cell r="I26">
            <v>29</v>
          </cell>
        </row>
        <row r="27">
          <cell r="H27">
            <v>56</v>
          </cell>
          <cell r="I27">
            <v>73</v>
          </cell>
        </row>
        <row r="28">
          <cell r="H28">
            <v>0.4</v>
          </cell>
          <cell r="I28">
            <v>0.6</v>
          </cell>
        </row>
        <row r="29">
          <cell r="H29">
            <v>0.6</v>
          </cell>
          <cell r="I29">
            <v>0.41</v>
          </cell>
        </row>
        <row r="30">
          <cell r="H30">
            <v>3</v>
          </cell>
          <cell r="I30"/>
        </row>
        <row r="33">
          <cell r="H33">
            <v>7.1</v>
          </cell>
          <cell r="I33">
            <v>4.3</v>
          </cell>
        </row>
        <row r="34">
          <cell r="H34">
            <v>6</v>
          </cell>
          <cell r="I34">
            <v>8</v>
          </cell>
        </row>
        <row r="35">
          <cell r="H35"/>
          <cell r="I35"/>
        </row>
        <row r="36">
          <cell r="H36"/>
          <cell r="I36"/>
        </row>
        <row r="41">
          <cell r="H41">
            <v>5.2</v>
          </cell>
          <cell r="I41">
            <v>6.2</v>
          </cell>
        </row>
        <row r="49">
          <cell r="H49"/>
          <cell r="I49"/>
        </row>
        <row r="51">
          <cell r="H51"/>
          <cell r="I51"/>
        </row>
        <row r="56">
          <cell r="H56"/>
          <cell r="I56"/>
        </row>
        <row r="57">
          <cell r="H57">
            <v>70</v>
          </cell>
          <cell r="I57">
            <v>59</v>
          </cell>
        </row>
        <row r="64">
          <cell r="H64"/>
          <cell r="I64"/>
        </row>
        <row r="65">
          <cell r="H65"/>
          <cell r="I65"/>
        </row>
        <row r="68">
          <cell r="H68"/>
          <cell r="I68"/>
        </row>
        <row r="71">
          <cell r="H71"/>
        </row>
        <row r="81">
          <cell r="H81">
            <v>27</v>
          </cell>
        </row>
        <row r="82">
          <cell r="H82">
            <v>37</v>
          </cell>
          <cell r="I82">
            <v>33</v>
          </cell>
        </row>
        <row r="83">
          <cell r="H83">
            <v>15</v>
          </cell>
          <cell r="I83">
            <v>14.5</v>
          </cell>
        </row>
        <row r="84">
          <cell r="H84">
            <v>0.1</v>
          </cell>
        </row>
        <row r="85">
          <cell r="H85">
            <v>97</v>
          </cell>
          <cell r="I85">
            <v>71</v>
          </cell>
        </row>
        <row r="87">
          <cell r="H87">
            <v>27</v>
          </cell>
          <cell r="I87">
            <v>8.6999999999999993</v>
          </cell>
        </row>
        <row r="88">
          <cell r="H88">
            <v>5.6</v>
          </cell>
          <cell r="I88"/>
        </row>
        <row r="94">
          <cell r="H94"/>
          <cell r="I94"/>
        </row>
        <row r="95">
          <cell r="H95"/>
          <cell r="I95"/>
        </row>
        <row r="99">
          <cell r="H99">
            <v>21.7</v>
          </cell>
          <cell r="I99">
            <v>15.1</v>
          </cell>
        </row>
        <row r="100">
          <cell r="H100">
            <v>5.6</v>
          </cell>
          <cell r="I100">
            <v>13.1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E6453-5B53-4B7A-8243-4114A4C9C88E}">
  <dimension ref="A1:B10"/>
  <sheetViews>
    <sheetView topLeftCell="A16" workbookViewId="0">
      <selection activeCell="B11" sqref="B11"/>
    </sheetView>
  </sheetViews>
  <sheetFormatPr defaultRowHeight="14.25" x14ac:dyDescent="0.45"/>
  <cols>
    <col min="1" max="1" width="91.46484375" customWidth="1"/>
    <col min="2" max="2" width="12.33203125" customWidth="1"/>
  </cols>
  <sheetData>
    <row r="1" spans="1:2" x14ac:dyDescent="0.45">
      <c r="A1" t="s">
        <v>425</v>
      </c>
      <c r="B1" t="s">
        <v>395</v>
      </c>
    </row>
    <row r="3" spans="1:2" x14ac:dyDescent="0.45">
      <c r="A3" t="s">
        <v>426</v>
      </c>
      <c r="B3" t="s">
        <v>396</v>
      </c>
    </row>
    <row r="4" spans="1:2" x14ac:dyDescent="0.45">
      <c r="A4" s="440" t="s">
        <v>456</v>
      </c>
      <c r="B4" s="441">
        <f>'Initial Analysis Table'!E2</f>
        <v>0.32324995573810883</v>
      </c>
    </row>
    <row r="5" spans="1:2" ht="24" x14ac:dyDescent="0.45">
      <c r="A5" s="440" t="s">
        <v>457</v>
      </c>
      <c r="B5" s="441">
        <f>'Initial Analysis Table'!E10</f>
        <v>0.54879846028855261</v>
      </c>
    </row>
    <row r="6" spans="1:2" x14ac:dyDescent="0.45">
      <c r="A6" s="440" t="s">
        <v>458</v>
      </c>
      <c r="B6" s="441">
        <f>'Initial Analysis Table'!E14</f>
        <v>0.2875065281416414</v>
      </c>
    </row>
    <row r="7" spans="1:2" x14ac:dyDescent="0.45">
      <c r="A7" s="440" t="s">
        <v>459</v>
      </c>
      <c r="B7" s="441">
        <f>'Initial Analysis Table'!E17</f>
        <v>0.57969157161775386</v>
      </c>
    </row>
    <row r="8" spans="1:2" x14ac:dyDescent="0.45">
      <c r="A8" s="440" t="s">
        <v>460</v>
      </c>
      <c r="B8" s="441">
        <f>'Initial Analysis Table'!E21</f>
        <v>0.28325223033252228</v>
      </c>
    </row>
    <row r="9" spans="1:2" x14ac:dyDescent="0.45">
      <c r="A9" s="440" t="s">
        <v>461</v>
      </c>
      <c r="B9" s="441">
        <f>'Initial Analysis Table'!E23</f>
        <v>0.49232230190803566</v>
      </c>
    </row>
    <row r="10" spans="1:2" x14ac:dyDescent="0.45">
      <c r="A10" s="440" t="s">
        <v>462</v>
      </c>
      <c r="B10" s="441">
        <f>'Initial Analysis Table'!E26</f>
        <v>0.42770125962740896</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0D19AC-1B53-4B57-A86B-8948186C9E03}">
  <dimension ref="A1:AA168"/>
  <sheetViews>
    <sheetView topLeftCell="C40" zoomScale="60" zoomScaleNormal="60" workbookViewId="0">
      <selection activeCell="K71" sqref="K71"/>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555"/>
      <c r="R1" s="3"/>
      <c r="S1" s="4"/>
      <c r="U1" s="556"/>
      <c r="V1" s="556"/>
      <c r="W1" s="556"/>
      <c r="X1" s="556"/>
      <c r="Y1" s="556"/>
      <c r="Z1" s="556"/>
      <c r="AA1" s="556"/>
    </row>
    <row r="2" spans="1:27" ht="30" x14ac:dyDescent="1.1000000000000001">
      <c r="B2" s="557"/>
      <c r="C2" s="558"/>
      <c r="D2" s="559" t="s">
        <v>286</v>
      </c>
      <c r="E2" s="558"/>
      <c r="F2" s="560"/>
      <c r="G2" s="560"/>
      <c r="H2" s="560"/>
      <c r="I2" s="560"/>
      <c r="J2" s="560"/>
      <c r="K2" s="560"/>
      <c r="L2" s="560"/>
      <c r="M2" s="560"/>
      <c r="N2" s="560"/>
      <c r="O2" s="560"/>
      <c r="P2" s="560"/>
      <c r="Q2" s="558"/>
      <c r="R2" s="560"/>
      <c r="S2" s="6"/>
    </row>
    <row r="3" spans="1:27" ht="14.65" thickBot="1" x14ac:dyDescent="0.5">
      <c r="B3" s="561"/>
      <c r="C3" s="562"/>
      <c r="D3" s="562"/>
      <c r="E3" s="562"/>
      <c r="F3" s="563"/>
      <c r="G3" s="563"/>
      <c r="H3" s="563"/>
      <c r="I3" s="563"/>
      <c r="J3" s="563"/>
      <c r="K3" s="563"/>
      <c r="L3" s="563"/>
      <c r="M3" s="563"/>
      <c r="N3" s="563"/>
      <c r="O3" s="563"/>
      <c r="P3" s="563"/>
      <c r="Q3" s="562"/>
      <c r="R3" s="563"/>
      <c r="S3" s="7"/>
    </row>
    <row r="4" spans="1:27" ht="26.45" customHeight="1" thickBot="1" x14ac:dyDescent="0.5">
      <c r="B4" s="561"/>
      <c r="C4" s="562"/>
      <c r="D4" s="564" t="s">
        <v>195</v>
      </c>
      <c r="E4" s="562"/>
      <c r="F4" s="8" t="s">
        <v>259</v>
      </c>
      <c r="G4" s="563"/>
      <c r="H4" s="563"/>
      <c r="I4" s="563"/>
      <c r="J4" s="563"/>
      <c r="K4" s="1434" t="s">
        <v>464</v>
      </c>
      <c r="L4" s="1435"/>
      <c r="M4" s="1436"/>
      <c r="N4" s="1092">
        <f>(N9+N46+N59+N69+N76+N79+N92)/7</f>
        <v>-9.7919951116668694E-2</v>
      </c>
      <c r="O4" s="1093">
        <f>(O9+O46+O59+O69+O76+O79+O92)</f>
        <v>35.016677357712716</v>
      </c>
      <c r="P4" s="1092">
        <f>O4/100</f>
        <v>0.35016677357712717</v>
      </c>
      <c r="Q4" s="562"/>
      <c r="R4" s="563"/>
      <c r="S4" s="7"/>
    </row>
    <row r="5" spans="1:27" ht="18.399999999999999" thickBot="1" x14ac:dyDescent="0.6">
      <c r="B5" s="1437"/>
      <c r="C5" s="1438"/>
      <c r="D5" s="1438"/>
      <c r="E5" s="1438"/>
      <c r="F5" s="1438"/>
      <c r="G5" s="1438"/>
      <c r="H5" s="1438"/>
      <c r="I5" s="1438"/>
      <c r="J5" s="1438"/>
      <c r="K5" s="1438"/>
      <c r="L5" s="66"/>
      <c r="M5" s="565">
        <f>100/28</f>
        <v>3.5714285714285716</v>
      </c>
      <c r="N5" s="9"/>
      <c r="O5" s="456"/>
      <c r="P5" s="456"/>
      <c r="Q5" s="566"/>
      <c r="R5" s="9"/>
      <c r="S5" s="10"/>
    </row>
    <row r="6" spans="1:27" ht="33.6" customHeight="1" thickBot="1" x14ac:dyDescent="0.5">
      <c r="B6" s="1439"/>
      <c r="C6" s="1440"/>
      <c r="D6" s="1440"/>
      <c r="E6" s="1440"/>
      <c r="F6" s="1441"/>
      <c r="G6" s="567"/>
      <c r="H6" s="567"/>
      <c r="I6" s="567"/>
      <c r="J6" s="567"/>
      <c r="K6" s="567"/>
      <c r="L6" s="567"/>
      <c r="M6" s="567"/>
      <c r="N6" s="568"/>
      <c r="O6" s="569"/>
      <c r="P6" s="569"/>
      <c r="Q6" s="568"/>
      <c r="R6" s="12"/>
      <c r="S6" s="13"/>
    </row>
    <row r="7" spans="1:27" ht="55.8" customHeight="1" thickBot="1" x14ac:dyDescent="0.5">
      <c r="B7" s="1442"/>
      <c r="C7" s="1443"/>
      <c r="D7" s="1443"/>
      <c r="E7" s="1443"/>
      <c r="F7" s="1444"/>
      <c r="G7" s="570"/>
      <c r="H7" s="571" t="s">
        <v>218</v>
      </c>
      <c r="I7" s="572" t="s">
        <v>219</v>
      </c>
      <c r="J7" s="573" t="s">
        <v>91</v>
      </c>
      <c r="K7" s="574" t="s">
        <v>107</v>
      </c>
      <c r="L7" s="574" t="s">
        <v>104</v>
      </c>
      <c r="M7" s="574" t="s">
        <v>105</v>
      </c>
      <c r="N7" s="572" t="s">
        <v>106</v>
      </c>
      <c r="O7" s="572" t="s">
        <v>465</v>
      </c>
      <c r="P7" s="575" t="s">
        <v>466</v>
      </c>
      <c r="Q7" s="576" t="s">
        <v>93</v>
      </c>
      <c r="R7" s="577" t="s">
        <v>110</v>
      </c>
      <c r="S7" s="578" t="s">
        <v>103</v>
      </c>
    </row>
    <row r="8" spans="1:27" ht="25.25" customHeight="1" thickBot="1" x14ac:dyDescent="0.5">
      <c r="B8" s="579" t="s">
        <v>2</v>
      </c>
      <c r="C8" s="579" t="s">
        <v>92</v>
      </c>
      <c r="D8" s="579" t="s">
        <v>3</v>
      </c>
      <c r="E8" s="579" t="s">
        <v>94</v>
      </c>
      <c r="F8" s="579" t="s">
        <v>102</v>
      </c>
      <c r="G8" s="579" t="s">
        <v>96</v>
      </c>
      <c r="H8" s="580"/>
      <c r="I8" s="581"/>
      <c r="J8" s="580"/>
      <c r="K8" s="582"/>
      <c r="L8" s="582"/>
      <c r="M8" s="579"/>
      <c r="N8" s="583"/>
      <c r="O8" s="584"/>
      <c r="P8" s="585"/>
      <c r="Q8" s="581"/>
      <c r="R8" s="583"/>
      <c r="S8" s="583"/>
      <c r="V8" s="586" t="s">
        <v>151</v>
      </c>
      <c r="W8" s="587"/>
      <c r="X8" s="587"/>
      <c r="Y8" s="587"/>
      <c r="Z8" s="588"/>
    </row>
    <row r="9" spans="1:27" s="144" customFormat="1" ht="25.25" customHeight="1" thickBot="1" x14ac:dyDescent="0.5">
      <c r="B9" s="1445" t="s">
        <v>0</v>
      </c>
      <c r="C9" s="1446"/>
      <c r="D9" s="1446"/>
      <c r="E9" s="1446"/>
      <c r="F9" s="1447"/>
      <c r="G9" s="589"/>
      <c r="H9" s="756"/>
      <c r="I9" s="757"/>
      <c r="J9" s="758"/>
      <c r="K9" s="758"/>
      <c r="L9" s="758"/>
      <c r="M9" s="759"/>
      <c r="N9" s="760">
        <f>(N10+N18+N23+N32+N37+N40+N43)/7</f>
        <v>0.2124896502872759</v>
      </c>
      <c r="O9" s="761">
        <f>(O10+O18+O23+O32+O37+O40+O43)</f>
        <v>9.998175103676747</v>
      </c>
      <c r="P9" s="762">
        <f>O9/42.857136</f>
        <v>0.23329078974565048</v>
      </c>
      <c r="Q9" s="758"/>
      <c r="R9" s="590"/>
      <c r="S9" s="590"/>
      <c r="U9" s="591"/>
      <c r="V9" s="592"/>
      <c r="W9" s="593"/>
      <c r="X9" s="593"/>
      <c r="Y9" s="593"/>
      <c r="Z9" s="594"/>
      <c r="AA9" s="591"/>
    </row>
    <row r="10" spans="1:27" s="96" customFormat="1" ht="25.25" customHeight="1" thickBot="1" x14ac:dyDescent="0.5">
      <c r="B10" s="1448" t="s">
        <v>1</v>
      </c>
      <c r="C10" s="1449"/>
      <c r="D10" s="1449"/>
      <c r="E10" s="1449"/>
      <c r="F10" s="1450"/>
      <c r="G10" s="595"/>
      <c r="H10" s="763"/>
      <c r="I10" s="764"/>
      <c r="J10" s="765"/>
      <c r="K10" s="765"/>
      <c r="L10" s="765"/>
      <c r="M10" s="766"/>
      <c r="N10" s="760">
        <f>(N11+N13+N15)/3</f>
        <v>1.0943188262472592</v>
      </c>
      <c r="O10" s="761">
        <f>(O11+O13+O15)</f>
        <v>6.426747103676747</v>
      </c>
      <c r="P10" s="762">
        <f>O10/10.714284</f>
        <v>0.59982982564926857</v>
      </c>
      <c r="Q10" s="765"/>
      <c r="R10" s="596"/>
      <c r="S10" s="596"/>
      <c r="U10" s="597"/>
      <c r="V10" s="598"/>
      <c r="W10" s="599"/>
      <c r="X10" s="599"/>
      <c r="Y10" s="599"/>
      <c r="Z10" s="600"/>
      <c r="AA10" s="597"/>
    </row>
    <row r="11" spans="1:27" ht="27.6" customHeight="1" x14ac:dyDescent="0.45">
      <c r="A11" s="1451">
        <v>1</v>
      </c>
      <c r="B11" s="1462" t="s">
        <v>4</v>
      </c>
      <c r="C11" s="1464">
        <f>M5</f>
        <v>3.5714285714285716</v>
      </c>
      <c r="D11" s="601" t="s">
        <v>111</v>
      </c>
      <c r="E11" s="602">
        <f>$C$11/2</f>
        <v>1.7857142857142858</v>
      </c>
      <c r="F11" s="603" t="s">
        <v>5</v>
      </c>
      <c r="G11" s="604">
        <f>E11/1</f>
        <v>1.7857142857142858</v>
      </c>
      <c r="H11" s="767">
        <v>6.5</v>
      </c>
      <c r="I11" s="768">
        <v>6.1</v>
      </c>
      <c r="J11" s="769">
        <f>(H11-I11)</f>
        <v>0.40000000000000036</v>
      </c>
      <c r="K11" s="770">
        <f>(0.3*I11)*6/10</f>
        <v>1.0979999999999999</v>
      </c>
      <c r="L11" s="771">
        <f>I11+K11</f>
        <v>7.1979999999999995</v>
      </c>
      <c r="M11" s="772">
        <f>IF(K11&lt;&gt;0,J11/K11,"0%")</f>
        <v>0.36429872495446303</v>
      </c>
      <c r="N11" s="1456">
        <f>(((G11/C11)*M11)+((G12/C11)*M12))</f>
        <v>0.25307134829283473</v>
      </c>
      <c r="O11" s="1458">
        <f>IF((((G11/C11)*M11)+((G12/C11)*M12))&gt;=1,3.57148,IF((((G11/C11)*M11)+((G12/C11)*M12))&lt;=0,0, (((G11/C11)*M11)+((G12/C11)*M12))*3.571428))</f>
        <v>0.90382609929078217</v>
      </c>
      <c r="P11" s="1460">
        <f>O11/3.571428</f>
        <v>0.25307134829283473</v>
      </c>
      <c r="Q11" s="773" t="s">
        <v>97</v>
      </c>
      <c r="R11" s="240" t="s">
        <v>428</v>
      </c>
      <c r="S11" s="489"/>
      <c r="V11" s="605" t="s">
        <v>109</v>
      </c>
      <c r="W11" s="606" t="e">
        <f>#REF!</f>
        <v>#REF!</v>
      </c>
      <c r="X11" s="607"/>
      <c r="Y11" s="607"/>
      <c r="Z11" s="608"/>
    </row>
    <row r="12" spans="1:27" ht="27" customHeight="1" thickBot="1" x14ac:dyDescent="0.5">
      <c r="A12" s="1451"/>
      <c r="B12" s="1463"/>
      <c r="C12" s="1465"/>
      <c r="D12" s="609" t="s">
        <v>112</v>
      </c>
      <c r="E12" s="610">
        <f>$C$11/2</f>
        <v>1.7857142857142858</v>
      </c>
      <c r="F12" s="611" t="s">
        <v>281</v>
      </c>
      <c r="G12" s="612">
        <f>E12/1</f>
        <v>1.7857142857142858</v>
      </c>
      <c r="H12" s="774">
        <v>9.1999999999999993</v>
      </c>
      <c r="I12" s="775">
        <v>9.4</v>
      </c>
      <c r="J12" s="776">
        <f>I12-H12</f>
        <v>0.20000000000000107</v>
      </c>
      <c r="K12" s="777">
        <f>(0.25*I12)*(6/10)</f>
        <v>1.41</v>
      </c>
      <c r="L12" s="778">
        <f>I12-K12</f>
        <v>7.99</v>
      </c>
      <c r="M12" s="779">
        <f>IF(K12&lt;&gt;0,J12/K12,"0%")</f>
        <v>0.14184397163120643</v>
      </c>
      <c r="N12" s="1457"/>
      <c r="O12" s="1459"/>
      <c r="P12" s="1461"/>
      <c r="Q12" s="780" t="s">
        <v>98</v>
      </c>
      <c r="R12" s="242" t="s">
        <v>429</v>
      </c>
      <c r="S12" s="490"/>
      <c r="V12" s="613">
        <v>0.02</v>
      </c>
      <c r="W12" s="614" t="e">
        <f>(W11-(W11*V12))</f>
        <v>#REF!</v>
      </c>
      <c r="X12" s="614" t="e">
        <f>W11-(V12*W11)</f>
        <v>#REF!</v>
      </c>
      <c r="Y12" s="607"/>
      <c r="Z12" s="608"/>
    </row>
    <row r="13" spans="1:27" ht="32.450000000000003" customHeight="1" x14ac:dyDescent="0.45">
      <c r="A13" s="1451">
        <v>2</v>
      </c>
      <c r="B13" s="1452" t="s">
        <v>6</v>
      </c>
      <c r="C13" s="1454">
        <f>M5</f>
        <v>3.5714285714285716</v>
      </c>
      <c r="D13" s="615" t="s">
        <v>273</v>
      </c>
      <c r="E13" s="616">
        <f>$C$13/2</f>
        <v>1.7857142857142858</v>
      </c>
      <c r="F13" s="617" t="s">
        <v>7</v>
      </c>
      <c r="G13" s="618">
        <f>E13/1</f>
        <v>1.7857142857142858</v>
      </c>
      <c r="H13" s="781">
        <v>10.5</v>
      </c>
      <c r="I13" s="782">
        <v>13.8</v>
      </c>
      <c r="J13" s="783">
        <f>IF(I13=H13,(5-H13),I13-H13)</f>
        <v>3.3000000000000007</v>
      </c>
      <c r="K13" s="784">
        <f>IF(I13&lt;=5,0,((I13-5)*(6/10)))</f>
        <v>5.28</v>
      </c>
      <c r="L13" s="785">
        <f>I13-K13</f>
        <v>8.52</v>
      </c>
      <c r="M13" s="786">
        <f>IF(I13&lt;=5,(1+(5-H13)/5),(J13/K13))</f>
        <v>0.62500000000000011</v>
      </c>
      <c r="N13" s="1456">
        <f>(((G13/C13)*M13)+((G14/C13)*M14))</f>
        <v>0.54641812865497075</v>
      </c>
      <c r="O13" s="1458">
        <f>IF((((G13/C13)*M13)+((G14/C13)*M14))&gt;=1,3.57148,IF((((G13/C13)*M13)+((G14/C13)*M14))&lt;=0,0, (((G13/C13)*M13)+((G14/C13)*M14))*3.571428))</f>
        <v>1.9514930043859648</v>
      </c>
      <c r="P13" s="1460">
        <f>O13/3.571428</f>
        <v>0.54641812865497075</v>
      </c>
      <c r="Q13" s="787" t="s">
        <v>99</v>
      </c>
      <c r="R13" s="167" t="s">
        <v>430</v>
      </c>
      <c r="S13" s="421"/>
      <c r="V13" s="613">
        <v>0.02</v>
      </c>
      <c r="W13" s="614" t="e">
        <f>(#REF!-(#REF!*V13))</f>
        <v>#REF!</v>
      </c>
      <c r="X13" s="614" t="e">
        <f>(W11-(V12*W11))-((W11-(V12*W11))*0.02)-(((W11-(V12*W11))-((W11-(V12*W11))*0.02))*0.02)-(((W11-(V12*W11))-((W11-(V12*W11))*0.02)-(((W11-(V12*W11))-((W11-(V12*W11))*0.02))*0.02))*0.02)</f>
        <v>#REF!</v>
      </c>
      <c r="Y13" s="619" t="e">
        <f>(W11-W14)/W11</f>
        <v>#REF!</v>
      </c>
      <c r="Z13" s="608"/>
    </row>
    <row r="14" spans="1:27" ht="33" customHeight="1" thickBot="1" x14ac:dyDescent="0.5">
      <c r="A14" s="1451"/>
      <c r="B14" s="1453"/>
      <c r="C14" s="1455"/>
      <c r="D14" s="609" t="s">
        <v>274</v>
      </c>
      <c r="E14" s="620">
        <f>$C$13/2</f>
        <v>1.7857142857142858</v>
      </c>
      <c r="F14" s="621" t="s">
        <v>8</v>
      </c>
      <c r="G14" s="622">
        <f>E14/1</f>
        <v>1.7857142857142858</v>
      </c>
      <c r="H14" s="788">
        <v>78</v>
      </c>
      <c r="I14" s="789">
        <v>70</v>
      </c>
      <c r="J14" s="790">
        <f>H14-I14</f>
        <v>8</v>
      </c>
      <c r="K14" s="791">
        <f>(0.95*(100-I14))*6/10</f>
        <v>17.100000000000001</v>
      </c>
      <c r="L14" s="792">
        <f>K14+I14</f>
        <v>87.1</v>
      </c>
      <c r="M14" s="793">
        <f>IF(K14&lt;&gt;0,J14/K14,"1%")</f>
        <v>0.46783625730994149</v>
      </c>
      <c r="N14" s="1457"/>
      <c r="O14" s="1459"/>
      <c r="P14" s="1461"/>
      <c r="Q14" s="794" t="s">
        <v>100</v>
      </c>
      <c r="R14" s="422" t="s">
        <v>430</v>
      </c>
      <c r="S14" s="423"/>
      <c r="V14" s="623">
        <v>0.02</v>
      </c>
      <c r="W14" s="624" t="e">
        <f>(#REF!-(#REF!*V14))</f>
        <v>#REF!</v>
      </c>
      <c r="X14" s="62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625" t="e">
        <f>W11-X14</f>
        <v>#REF!</v>
      </c>
      <c r="Z14" s="626"/>
    </row>
    <row r="15" spans="1:27" ht="22.25" customHeight="1" x14ac:dyDescent="0.45">
      <c r="A15" s="1492">
        <v>3</v>
      </c>
      <c r="B15" s="1493" t="s">
        <v>9</v>
      </c>
      <c r="C15" s="1495">
        <f>M5</f>
        <v>3.5714285714285716</v>
      </c>
      <c r="D15" s="1493" t="s">
        <v>113</v>
      </c>
      <c r="E15" s="1495">
        <f>$C$15/1</f>
        <v>3.5714285714285716</v>
      </c>
      <c r="F15" s="627" t="s">
        <v>221</v>
      </c>
      <c r="G15" s="628">
        <f>$E$15/3</f>
        <v>1.1904761904761905</v>
      </c>
      <c r="H15" s="795">
        <v>26.7</v>
      </c>
      <c r="I15" s="796">
        <v>14.6</v>
      </c>
      <c r="J15" s="797">
        <f>H15-I15</f>
        <v>12.1</v>
      </c>
      <c r="K15" s="798">
        <f>(0.5*I15)*6/10</f>
        <v>4.38</v>
      </c>
      <c r="L15" s="771">
        <f>I15+K15</f>
        <v>18.98</v>
      </c>
      <c r="M15" s="772">
        <f>IF(K15&lt;&gt;0,J15/K15,"0%")</f>
        <v>2.7625570776255706</v>
      </c>
      <c r="N15" s="1497">
        <f>(((G15/C15)*M15)+((G16/C15)*M16)+((G17/C15)*M17))</f>
        <v>2.4834670017939722</v>
      </c>
      <c r="O15" s="1484">
        <f>IF((((G15/C15)*M15)+((G16/C15)*M16)+((G17/C15)*M17))&gt;=1,3.571428,IF((((G15/C15)*M15)+((G16/C15)*M16)+((G17/C15)*M17))&lt;=0,0,(((G15/C15)*M15)+((G16/C15)*M16)+((G17/C15)*M17))*3.571428))</f>
        <v>3.571428</v>
      </c>
      <c r="P15" s="1460">
        <f>O15/3.571428</f>
        <v>1</v>
      </c>
      <c r="Q15" s="799" t="s">
        <v>101</v>
      </c>
      <c r="R15" s="424" t="s">
        <v>430</v>
      </c>
      <c r="S15" s="491"/>
    </row>
    <row r="16" spans="1:27" x14ac:dyDescent="0.45">
      <c r="A16" s="1492"/>
      <c r="B16" s="1493"/>
      <c r="C16" s="1495"/>
      <c r="D16" s="1493"/>
      <c r="E16" s="1495"/>
      <c r="F16" s="629" t="s">
        <v>220</v>
      </c>
      <c r="G16" s="630">
        <f t="shared" ref="G16:G17" si="0">$E$15/3</f>
        <v>1.1904761904761905</v>
      </c>
      <c r="H16" s="800">
        <v>22.1</v>
      </c>
      <c r="I16" s="801">
        <v>13.9</v>
      </c>
      <c r="J16" s="802">
        <f>H16-I16</f>
        <v>8.2000000000000011</v>
      </c>
      <c r="K16" s="803">
        <f>(0.5*I16)*6/10</f>
        <v>4.17</v>
      </c>
      <c r="L16" s="804">
        <f t="shared" ref="L16:L17" si="1">I16+K16</f>
        <v>18.07</v>
      </c>
      <c r="M16" s="805">
        <f>IF(K16&lt;&gt;0,J16/K16,"0%")</f>
        <v>1.9664268585131897</v>
      </c>
      <c r="N16" s="1498"/>
      <c r="O16" s="1482"/>
      <c r="P16" s="1485"/>
      <c r="Q16" s="806" t="s">
        <v>95</v>
      </c>
      <c r="R16" s="492" t="s">
        <v>430</v>
      </c>
      <c r="S16" s="426"/>
    </row>
    <row r="17" spans="1:19" ht="25.25" customHeight="1" thickBot="1" x14ac:dyDescent="0.5">
      <c r="A17" s="1492"/>
      <c r="B17" s="1494"/>
      <c r="C17" s="1496"/>
      <c r="D17" s="1494"/>
      <c r="E17" s="1496"/>
      <c r="F17" s="631" t="s">
        <v>10</v>
      </c>
      <c r="G17" s="632">
        <f t="shared" si="0"/>
        <v>1.1904761904761905</v>
      </c>
      <c r="H17" s="807">
        <v>37.6</v>
      </c>
      <c r="I17" s="808">
        <v>20.7</v>
      </c>
      <c r="J17" s="809">
        <f>H17-I17</f>
        <v>16.900000000000002</v>
      </c>
      <c r="K17" s="810">
        <f>(0.5*I17)*6/10</f>
        <v>6.2099999999999991</v>
      </c>
      <c r="L17" s="778">
        <f t="shared" si="1"/>
        <v>26.909999999999997</v>
      </c>
      <c r="M17" s="779">
        <f>IF(K17&lt;&gt;0,J17/K17,"0%")</f>
        <v>2.7214170692431567</v>
      </c>
      <c r="N17" s="1499"/>
      <c r="O17" s="1483"/>
      <c r="P17" s="1485"/>
      <c r="Q17" s="811" t="s">
        <v>162</v>
      </c>
      <c r="R17" s="420" t="s">
        <v>431</v>
      </c>
      <c r="S17" s="490" t="s">
        <v>432</v>
      </c>
    </row>
    <row r="18" spans="1:19" ht="21.4" thickBot="1" x14ac:dyDescent="0.7">
      <c r="A18" s="14"/>
      <c r="B18" s="1486" t="s">
        <v>11</v>
      </c>
      <c r="C18" s="1487"/>
      <c r="D18" s="1487"/>
      <c r="E18" s="1487"/>
      <c r="F18" s="1488"/>
      <c r="G18" s="633"/>
      <c r="H18" s="812"/>
      <c r="I18" s="812"/>
      <c r="J18" s="813"/>
      <c r="K18" s="813"/>
      <c r="L18" s="813"/>
      <c r="M18" s="814"/>
      <c r="N18" s="760">
        <f>N19</f>
        <v>-5.4079812163305992E-2</v>
      </c>
      <c r="O18" s="761">
        <f>O19</f>
        <v>0</v>
      </c>
      <c r="P18" s="762">
        <f>O18/3.571428</f>
        <v>0</v>
      </c>
      <c r="Q18" s="813"/>
      <c r="R18" s="245"/>
      <c r="S18" s="493"/>
    </row>
    <row r="19" spans="1:19" ht="34.25" customHeight="1" thickBot="1" x14ac:dyDescent="0.5">
      <c r="A19" s="1451">
        <v>4</v>
      </c>
      <c r="B19" s="1469" t="s">
        <v>12</v>
      </c>
      <c r="C19" s="1473">
        <f>M5</f>
        <v>3.5714285714285716</v>
      </c>
      <c r="D19" s="635" t="s">
        <v>114</v>
      </c>
      <c r="E19" s="604">
        <f>$C$19/4</f>
        <v>0.8928571428571429</v>
      </c>
      <c r="F19" s="636" t="s">
        <v>222</v>
      </c>
      <c r="G19" s="628">
        <f>E19/1</f>
        <v>0.8928571428571429</v>
      </c>
      <c r="H19" s="795">
        <v>9.1</v>
      </c>
      <c r="I19" s="796">
        <v>10.1</v>
      </c>
      <c r="J19" s="815">
        <f>H19-I19</f>
        <v>-1</v>
      </c>
      <c r="K19" s="798">
        <f>(2*I19)*6/10</f>
        <v>12.12</v>
      </c>
      <c r="L19" s="816">
        <f t="shared" ref="L19:L22" si="2">K19+I19</f>
        <v>22.22</v>
      </c>
      <c r="M19" s="772">
        <f>IF(K19&lt;&gt;0,J19/K19,"0%")</f>
        <v>-8.2508250825082508E-2</v>
      </c>
      <c r="N19" s="1477">
        <f>(((G19/C19)*M19)+((G20/C19)*M20)+((G21/C19)*M21)+((G22/C19)*M22))</f>
        <v>-5.4079812163305992E-2</v>
      </c>
      <c r="O19" s="1481">
        <f>IF((((G19/C19)*M19)+((G20/C19)*M20)+((G21/C19)*M21)+((G22/C19)*M22))&gt;=1,3.571428,IF((((G19/C19)*M19)+((G20/C19)*M20)+((G21/C19)*M21)+((G22/C19)*M22))&lt;=0,0,((((G19/C19)*M19)+((G20/C19)*M20)+((G21/C19)*M21)+((G22/C19)*M22))*3.571428)))</f>
        <v>0</v>
      </c>
      <c r="P19" s="1460">
        <f>O19/3.571428</f>
        <v>0</v>
      </c>
      <c r="Q19" s="817" t="s">
        <v>163</v>
      </c>
      <c r="R19" s="494" t="s">
        <v>433</v>
      </c>
      <c r="S19" s="491"/>
    </row>
    <row r="20" spans="1:19" ht="39" customHeight="1" thickBot="1" x14ac:dyDescent="0.5">
      <c r="A20" s="1451"/>
      <c r="B20" s="1470"/>
      <c r="C20" s="1474"/>
      <c r="D20" s="637" t="s">
        <v>152</v>
      </c>
      <c r="E20" s="638">
        <f>($C$19/4)</f>
        <v>0.8928571428571429</v>
      </c>
      <c r="F20" s="639" t="s">
        <v>265</v>
      </c>
      <c r="G20" s="630">
        <f>E20/1</f>
        <v>0.8928571428571429</v>
      </c>
      <c r="H20" s="818">
        <v>79.5</v>
      </c>
      <c r="I20" s="819">
        <v>82.3</v>
      </c>
      <c r="J20" s="820">
        <f t="shared" ref="J20:J24" si="3">H20-I20</f>
        <v>-2.7999999999999972</v>
      </c>
      <c r="K20" s="803">
        <f>(100-I20)*(6/10)</f>
        <v>10.620000000000001</v>
      </c>
      <c r="L20" s="821">
        <f t="shared" si="2"/>
        <v>92.92</v>
      </c>
      <c r="M20" s="772">
        <f>IF(K20&lt;&gt;0,J20/K20,"0%")</f>
        <v>-0.26365348399246674</v>
      </c>
      <c r="N20" s="1478"/>
      <c r="O20" s="1482"/>
      <c r="P20" s="1485"/>
      <c r="Q20" s="822" t="s">
        <v>164</v>
      </c>
      <c r="R20" s="168" t="s">
        <v>429</v>
      </c>
      <c r="S20" s="426"/>
    </row>
    <row r="21" spans="1:19" ht="56.45" customHeight="1" thickBot="1" x14ac:dyDescent="0.5">
      <c r="A21" s="1451"/>
      <c r="B21" s="1470"/>
      <c r="C21" s="1474"/>
      <c r="D21" s="637" t="s">
        <v>153</v>
      </c>
      <c r="E21" s="638">
        <f t="shared" ref="E21:E22" si="4">($C$19/4)</f>
        <v>0.8928571428571429</v>
      </c>
      <c r="F21" s="639" t="s">
        <v>155</v>
      </c>
      <c r="G21" s="630">
        <f>E21/1</f>
        <v>0.8928571428571429</v>
      </c>
      <c r="H21" s="823"/>
      <c r="I21" s="824"/>
      <c r="J21" s="820">
        <f t="shared" si="3"/>
        <v>0</v>
      </c>
      <c r="K21" s="803">
        <f>(0.3*I21)*6/10</f>
        <v>0</v>
      </c>
      <c r="L21" s="821">
        <f t="shared" si="2"/>
        <v>0</v>
      </c>
      <c r="M21" s="805" t="str">
        <f>IF(K21&lt;&gt;0,J21/K21,"0%")</f>
        <v>0%</v>
      </c>
      <c r="N21" s="1478"/>
      <c r="O21" s="1482"/>
      <c r="P21" s="1485"/>
      <c r="Q21" s="822" t="s">
        <v>165</v>
      </c>
      <c r="R21" s="425"/>
      <c r="S21" s="495" t="s">
        <v>463</v>
      </c>
    </row>
    <row r="22" spans="1:19" ht="36.6" customHeight="1" thickBot="1" x14ac:dyDescent="0.5">
      <c r="A22" s="1451"/>
      <c r="B22" s="1489"/>
      <c r="C22" s="1490"/>
      <c r="D22" s="621" t="s">
        <v>154</v>
      </c>
      <c r="E22" s="640">
        <f t="shared" si="4"/>
        <v>0.8928571428571429</v>
      </c>
      <c r="F22" s="641" t="s">
        <v>156</v>
      </c>
      <c r="G22" s="642">
        <f>E22/1</f>
        <v>0.8928571428571429</v>
      </c>
      <c r="H22" s="825">
        <v>27.8</v>
      </c>
      <c r="I22" s="826">
        <v>21.7</v>
      </c>
      <c r="J22" s="827">
        <f t="shared" si="3"/>
        <v>6.1000000000000014</v>
      </c>
      <c r="K22" s="810">
        <f>(100-I22)*(6/10)</f>
        <v>46.98</v>
      </c>
      <c r="L22" s="828">
        <f t="shared" si="2"/>
        <v>68.679999999999993</v>
      </c>
      <c r="M22" s="779">
        <f>IF(K22&lt;&gt;0,J22/K22,"100%")</f>
        <v>0.12984248616432528</v>
      </c>
      <c r="N22" s="1491"/>
      <c r="O22" s="1483"/>
      <c r="P22" s="1461"/>
      <c r="Q22" s="829" t="s">
        <v>95</v>
      </c>
      <c r="R22" s="494" t="s">
        <v>429</v>
      </c>
      <c r="S22" s="426"/>
    </row>
    <row r="23" spans="1:19" ht="20.45" customHeight="1" thickBot="1" x14ac:dyDescent="0.5">
      <c r="B23" s="1466" t="s">
        <v>13</v>
      </c>
      <c r="C23" s="1467"/>
      <c r="D23" s="1467"/>
      <c r="E23" s="1467"/>
      <c r="F23" s="1468"/>
      <c r="G23" s="633"/>
      <c r="H23" s="812"/>
      <c r="I23" s="812"/>
      <c r="J23" s="830"/>
      <c r="K23" s="831"/>
      <c r="L23" s="831"/>
      <c r="M23" s="832"/>
      <c r="N23" s="760">
        <f>N24</f>
        <v>1.4444520587199106</v>
      </c>
      <c r="O23" s="761">
        <f>O24</f>
        <v>3.571428</v>
      </c>
      <c r="P23" s="762">
        <f>O23/3.571428</f>
        <v>1</v>
      </c>
      <c r="Q23" s="813"/>
      <c r="R23" s="248"/>
      <c r="S23" s="496"/>
    </row>
    <row r="24" spans="1:19" ht="36" customHeight="1" thickBot="1" x14ac:dyDescent="0.5">
      <c r="A24" s="1451">
        <v>5</v>
      </c>
      <c r="B24" s="1469" t="s">
        <v>14</v>
      </c>
      <c r="C24" s="1473">
        <f>M5</f>
        <v>3.5714285714285716</v>
      </c>
      <c r="D24" s="635" t="s">
        <v>115</v>
      </c>
      <c r="E24" s="604">
        <f>$C$24/4</f>
        <v>0.8928571428571429</v>
      </c>
      <c r="F24" s="635" t="s">
        <v>280</v>
      </c>
      <c r="G24" s="604">
        <f>E24/1</f>
        <v>0.8928571428571429</v>
      </c>
      <c r="H24" s="795">
        <v>53.9</v>
      </c>
      <c r="I24" s="796">
        <v>30</v>
      </c>
      <c r="J24" s="833">
        <f t="shared" si="3"/>
        <v>23.9</v>
      </c>
      <c r="K24" s="798">
        <f>(0.3*I24)*6/10</f>
        <v>5.4</v>
      </c>
      <c r="L24" s="816">
        <f>K24+I24</f>
        <v>35.4</v>
      </c>
      <c r="M24" s="772">
        <f t="shared" ref="M24:M31" si="5">IF(K24&lt;&gt;0,J24/K24,"0%")</f>
        <v>4.4259259259259256</v>
      </c>
      <c r="N24" s="1477">
        <f>(((G24/C24)*M24)+((G25/C24)*M25)+ ((G26/C24)*M26)+((G27/C24)*M27)+((G28/C24)*M28)+((G29/C24)*M29)+((G30/C24)*M30)+((G31/C24)*M31))</f>
        <v>1.4444520587199106</v>
      </c>
      <c r="O24" s="1481">
        <f>IF((((G24/C24)*M24)+((G25/C24)*M25)+ ((G26/C24)*M26)+((G27/C24)*M27)+((G28/C24)*M28)+((G29/C24)*M29)+((G30/C24)*M30)+((G31/C24)*M31))&gt;=1,3.571428,IF((((G24/C24)*M24)+((G25/C24)*M25)+ ((G26/C24)*M26)+((G27/C24)*M27)+((G28/C24)*M28)+((G29/C24)*M29)+((G30/C24)*M30)+((G31/C24)*M31))&lt;=0,0,((((G24/C24)*M24)+((G25/C24)*M25)+ ((G26/C24)*M26)+((G27/C24)*M27)+((G28/C24)*M28)+((G29/C24)*M29)+((G30/C24)*M30)+((G31/C24)*M31))*3.571428)))</f>
        <v>3.571428</v>
      </c>
      <c r="P24" s="1460">
        <f>O24/3.571428</f>
        <v>1</v>
      </c>
      <c r="Q24" s="834" t="s">
        <v>166</v>
      </c>
      <c r="R24" s="497" t="s">
        <v>430</v>
      </c>
      <c r="S24" s="491" t="s">
        <v>435</v>
      </c>
    </row>
    <row r="25" spans="1:19" ht="19.8" customHeight="1" thickBot="1" x14ac:dyDescent="0.5">
      <c r="A25" s="1451"/>
      <c r="B25" s="1470"/>
      <c r="C25" s="1474"/>
      <c r="D25" s="1503" t="s">
        <v>158</v>
      </c>
      <c r="E25" s="1505">
        <v>0.9</v>
      </c>
      <c r="F25" s="637" t="s">
        <v>15</v>
      </c>
      <c r="G25" s="638">
        <f>$E$25/3</f>
        <v>0.3</v>
      </c>
      <c r="H25" s="835">
        <v>336</v>
      </c>
      <c r="I25" s="836">
        <v>438</v>
      </c>
      <c r="J25" s="837">
        <f t="shared" ref="J25:J30" si="6">I25-H25</f>
        <v>102</v>
      </c>
      <c r="K25" s="803">
        <f>(0.5*I25)*6/10</f>
        <v>131.4</v>
      </c>
      <c r="L25" s="821">
        <f t="shared" ref="L25:L30" si="7">I25-K25</f>
        <v>306.60000000000002</v>
      </c>
      <c r="M25" s="805">
        <f t="shared" si="5"/>
        <v>0.77625570776255703</v>
      </c>
      <c r="N25" s="1478"/>
      <c r="O25" s="1482"/>
      <c r="P25" s="1485"/>
      <c r="Q25" s="838" t="s">
        <v>167</v>
      </c>
      <c r="R25" s="497" t="s">
        <v>430</v>
      </c>
      <c r="S25" s="426"/>
    </row>
    <row r="26" spans="1:19" ht="19.8" customHeight="1" thickBot="1" x14ac:dyDescent="0.5">
      <c r="A26" s="1451"/>
      <c r="B26" s="1470"/>
      <c r="C26" s="1474"/>
      <c r="D26" s="1504"/>
      <c r="E26" s="1475"/>
      <c r="F26" s="637" t="s">
        <v>16</v>
      </c>
      <c r="G26" s="638">
        <f t="shared" ref="G26:G27" si="8">$E$25/3</f>
        <v>0.3</v>
      </c>
      <c r="H26" s="835">
        <v>27</v>
      </c>
      <c r="I26" s="836">
        <v>27</v>
      </c>
      <c r="J26" s="837">
        <f t="shared" si="6"/>
        <v>0</v>
      </c>
      <c r="K26" s="803">
        <f>(0.8*I26)*6/10</f>
        <v>12.960000000000003</v>
      </c>
      <c r="L26" s="821">
        <f t="shared" si="7"/>
        <v>14.039999999999997</v>
      </c>
      <c r="M26" s="805">
        <f t="shared" si="5"/>
        <v>0</v>
      </c>
      <c r="N26" s="1478"/>
      <c r="O26" s="1482"/>
      <c r="P26" s="1485"/>
      <c r="Q26" s="838" t="s">
        <v>168</v>
      </c>
      <c r="R26" s="497" t="s">
        <v>430</v>
      </c>
      <c r="S26" s="426"/>
    </row>
    <row r="27" spans="1:19" ht="19.8" customHeight="1" thickBot="1" x14ac:dyDescent="0.5">
      <c r="A27" s="1451"/>
      <c r="B27" s="1470"/>
      <c r="C27" s="1474"/>
      <c r="D27" s="1504"/>
      <c r="E27" s="1475"/>
      <c r="F27" s="637" t="s">
        <v>17</v>
      </c>
      <c r="G27" s="638">
        <f t="shared" si="8"/>
        <v>0.3</v>
      </c>
      <c r="H27" s="835">
        <v>64</v>
      </c>
      <c r="I27" s="836">
        <v>90</v>
      </c>
      <c r="J27" s="837">
        <f t="shared" si="6"/>
        <v>26</v>
      </c>
      <c r="K27" s="803">
        <f>(0.5*I27)*(6/10)</f>
        <v>27</v>
      </c>
      <c r="L27" s="821">
        <f t="shared" si="7"/>
        <v>63</v>
      </c>
      <c r="M27" s="805">
        <f t="shared" si="5"/>
        <v>0.96296296296296291</v>
      </c>
      <c r="N27" s="1478"/>
      <c r="O27" s="1482"/>
      <c r="P27" s="1485"/>
      <c r="Q27" s="838" t="s">
        <v>169</v>
      </c>
      <c r="R27" s="497" t="s">
        <v>430</v>
      </c>
      <c r="S27" s="426"/>
    </row>
    <row r="28" spans="1:19" ht="30.6" customHeight="1" thickBot="1" x14ac:dyDescent="0.5">
      <c r="A28" s="21"/>
      <c r="B28" s="1470"/>
      <c r="C28" s="1474"/>
      <c r="D28" s="1503" t="s">
        <v>116</v>
      </c>
      <c r="E28" s="1505">
        <f t="shared" ref="E28:E31" si="9">$C$24/4</f>
        <v>0.8928571428571429</v>
      </c>
      <c r="F28" s="637" t="s">
        <v>148</v>
      </c>
      <c r="G28" s="638">
        <f>$E$28/3</f>
        <v>0.29761904761904762</v>
      </c>
      <c r="H28" s="800">
        <v>2</v>
      </c>
      <c r="I28" s="801"/>
      <c r="J28" s="837">
        <f t="shared" si="6"/>
        <v>-2</v>
      </c>
      <c r="K28" s="803">
        <f>(0.5*I28)*(6/10)</f>
        <v>0</v>
      </c>
      <c r="L28" s="821">
        <f t="shared" si="7"/>
        <v>0</v>
      </c>
      <c r="M28" s="805" t="str">
        <f t="shared" si="5"/>
        <v>0%</v>
      </c>
      <c r="N28" s="1479"/>
      <c r="O28" s="1482"/>
      <c r="P28" s="1485"/>
      <c r="Q28" s="838" t="s">
        <v>170</v>
      </c>
      <c r="R28" s="498"/>
      <c r="S28" s="495" t="s">
        <v>508</v>
      </c>
    </row>
    <row r="29" spans="1:19" ht="20.45" customHeight="1" thickBot="1" x14ac:dyDescent="0.5">
      <c r="A29" s="21"/>
      <c r="B29" s="1470"/>
      <c r="C29" s="1474"/>
      <c r="D29" s="1504"/>
      <c r="E29" s="1475"/>
      <c r="F29" s="637" t="s">
        <v>149</v>
      </c>
      <c r="G29" s="638">
        <f t="shared" ref="G29:G30" si="10">$E$28/3</f>
        <v>0.29761904761904762</v>
      </c>
      <c r="H29" s="800">
        <v>200</v>
      </c>
      <c r="I29" s="801">
        <v>235</v>
      </c>
      <c r="J29" s="837">
        <f t="shared" si="6"/>
        <v>35</v>
      </c>
      <c r="K29" s="803">
        <f>(0.5*I29)*(6/10)</f>
        <v>70.5</v>
      </c>
      <c r="L29" s="821">
        <f t="shared" si="7"/>
        <v>164.5</v>
      </c>
      <c r="M29" s="805">
        <f t="shared" si="5"/>
        <v>0.49645390070921985</v>
      </c>
      <c r="N29" s="1479"/>
      <c r="O29" s="1482"/>
      <c r="P29" s="1485"/>
      <c r="Q29" s="838" t="s">
        <v>171</v>
      </c>
      <c r="R29" s="498"/>
      <c r="S29" s="495" t="s">
        <v>508</v>
      </c>
    </row>
    <row r="30" spans="1:19" ht="20.45" customHeight="1" thickBot="1" x14ac:dyDescent="0.5">
      <c r="A30" s="21"/>
      <c r="B30" s="1471"/>
      <c r="C30" s="1475"/>
      <c r="D30" s="1504"/>
      <c r="E30" s="1475"/>
      <c r="F30" s="637" t="s">
        <v>150</v>
      </c>
      <c r="G30" s="638">
        <f t="shared" si="10"/>
        <v>0.29761904761904762</v>
      </c>
      <c r="H30" s="800">
        <v>9</v>
      </c>
      <c r="I30" s="801">
        <v>11</v>
      </c>
      <c r="J30" s="837">
        <f t="shared" si="6"/>
        <v>2</v>
      </c>
      <c r="K30" s="803">
        <f>(0.5*I30)*(6/10)</f>
        <v>3.3</v>
      </c>
      <c r="L30" s="821">
        <f t="shared" si="7"/>
        <v>7.7</v>
      </c>
      <c r="M30" s="805">
        <f t="shared" si="5"/>
        <v>0.60606060606060608</v>
      </c>
      <c r="N30" s="1479"/>
      <c r="O30" s="1482"/>
      <c r="P30" s="1485"/>
      <c r="Q30" s="838" t="s">
        <v>172</v>
      </c>
      <c r="R30" s="498"/>
      <c r="S30" s="495" t="s">
        <v>508</v>
      </c>
    </row>
    <row r="31" spans="1:19" ht="34.9" customHeight="1" thickBot="1" x14ac:dyDescent="0.5">
      <c r="A31" s="21"/>
      <c r="B31" s="1472"/>
      <c r="C31" s="1476"/>
      <c r="D31" s="643" t="s">
        <v>117</v>
      </c>
      <c r="E31" s="612">
        <f t="shared" si="9"/>
        <v>0.8928571428571429</v>
      </c>
      <c r="F31" s="644" t="s">
        <v>223</v>
      </c>
      <c r="G31" s="612">
        <f>E31/1</f>
        <v>0.8928571428571429</v>
      </c>
      <c r="H31" s="807">
        <v>90.5</v>
      </c>
      <c r="I31" s="808">
        <v>87.5</v>
      </c>
      <c r="J31" s="839">
        <f t="shared" ref="J31" si="11">H31-I31</f>
        <v>3</v>
      </c>
      <c r="K31" s="810">
        <f>(100-I31)*(6/10)</f>
        <v>7.5</v>
      </c>
      <c r="L31" s="828">
        <f>K31+I31</f>
        <v>95</v>
      </c>
      <c r="M31" s="793">
        <f t="shared" si="5"/>
        <v>0.4</v>
      </c>
      <c r="N31" s="1480"/>
      <c r="O31" s="1483"/>
      <c r="P31" s="1461"/>
      <c r="Q31" s="840" t="s">
        <v>95</v>
      </c>
      <c r="R31" s="499"/>
      <c r="S31" s="495" t="s">
        <v>508</v>
      </c>
    </row>
    <row r="32" spans="1:19" ht="20.45" customHeight="1" thickBot="1" x14ac:dyDescent="0.5">
      <c r="B32" s="1506" t="s">
        <v>18</v>
      </c>
      <c r="C32" s="1507"/>
      <c r="D32" s="1507"/>
      <c r="E32" s="1507"/>
      <c r="F32" s="1508"/>
      <c r="G32" s="633"/>
      <c r="H32" s="841"/>
      <c r="I32" s="842"/>
      <c r="J32" s="843"/>
      <c r="K32" s="844"/>
      <c r="L32" s="845"/>
      <c r="M32" s="846"/>
      <c r="N32" s="760">
        <f>(N33+N34+N35+N36)/4</f>
        <v>-0.67675070028011219</v>
      </c>
      <c r="O32" s="761">
        <f>(O33+O34+O35+O36)</f>
        <v>0</v>
      </c>
      <c r="P32" s="762">
        <f>O32/14.285712</f>
        <v>0</v>
      </c>
      <c r="Q32" s="813"/>
      <c r="R32" s="246"/>
      <c r="S32" s="493"/>
    </row>
    <row r="33" spans="1:19" ht="33.6" customHeight="1" thickBot="1" x14ac:dyDescent="0.5">
      <c r="A33" s="21">
        <v>6</v>
      </c>
      <c r="B33" s="645" t="s">
        <v>19</v>
      </c>
      <c r="C33" s="646">
        <f>$M$5</f>
        <v>3.5714285714285716</v>
      </c>
      <c r="D33" s="647" t="s">
        <v>287</v>
      </c>
      <c r="E33" s="648">
        <f>C33/1</f>
        <v>3.5714285714285716</v>
      </c>
      <c r="F33" s="645" t="s">
        <v>288</v>
      </c>
      <c r="G33" s="646">
        <f>E33/1</f>
        <v>3.5714285714285716</v>
      </c>
      <c r="H33" s="847">
        <v>6.1</v>
      </c>
      <c r="I33" s="848">
        <v>5.0999999999999996</v>
      </c>
      <c r="J33" s="849">
        <f>IF(H33&lt;7,(H33-7),(H33-I33))</f>
        <v>-0.90000000000000036</v>
      </c>
      <c r="K33" s="850">
        <f>IF((7-H33&gt;=0),(7-H33),0)</f>
        <v>0.90000000000000036</v>
      </c>
      <c r="L33" s="851">
        <f>IF((I33&lt;7),7,I33)</f>
        <v>7</v>
      </c>
      <c r="M33" s="852">
        <f>IF(K33&lt;&gt;0,J33/7,(1+((H33-I33)/I33)))</f>
        <v>-0.12857142857142861</v>
      </c>
      <c r="N33" s="853">
        <f>((G33/C33)*M33)</f>
        <v>-0.12857142857142861</v>
      </c>
      <c r="O33" s="854">
        <f>IF(((G33/C33)*M33)&gt;=1,3.571428,IF(((G33/C33)*M33)&lt;=0,0,((G33/C33)*M33)*3.571428))</f>
        <v>0</v>
      </c>
      <c r="P33" s="762">
        <f>O33/3.571428</f>
        <v>0</v>
      </c>
      <c r="Q33" s="855" t="s">
        <v>97</v>
      </c>
      <c r="R33" s="497" t="s">
        <v>436</v>
      </c>
      <c r="S33" s="748"/>
    </row>
    <row r="34" spans="1:19" ht="51" customHeight="1" thickBot="1" x14ac:dyDescent="0.5">
      <c r="A34" s="21">
        <v>7</v>
      </c>
      <c r="B34" s="645" t="s">
        <v>20</v>
      </c>
      <c r="C34" s="646">
        <f t="shared" ref="C34:C36" si="12">$M$5</f>
        <v>3.5714285714285716</v>
      </c>
      <c r="D34" s="645" t="s">
        <v>118</v>
      </c>
      <c r="E34" s="648">
        <f t="shared" ref="E34:E36" si="13">C34/1</f>
        <v>3.5714285714285716</v>
      </c>
      <c r="F34" s="645" t="s">
        <v>21</v>
      </c>
      <c r="G34" s="646">
        <f>E34/1</f>
        <v>3.5714285714285716</v>
      </c>
      <c r="H34" s="856">
        <v>8.3000000000000007</v>
      </c>
      <c r="I34" s="857">
        <v>8.5</v>
      </c>
      <c r="J34" s="858">
        <f>H34-I34</f>
        <v>-0.19999999999999929</v>
      </c>
      <c r="K34" s="859">
        <f>(0.5*I34)*(6/10)</f>
        <v>2.5499999999999998</v>
      </c>
      <c r="L34" s="860">
        <f>K34+I34</f>
        <v>11.05</v>
      </c>
      <c r="M34" s="852">
        <f>IF(K34&lt;&gt;0,J34/K34,"0%")</f>
        <v>-7.8431372549019329E-2</v>
      </c>
      <c r="N34" s="853">
        <f>((G34/C34)*M34)</f>
        <v>-7.8431372549019329E-2</v>
      </c>
      <c r="O34" s="854">
        <f>IF(((G34/C34)*M34)&gt;=1,3.571428,IF(((G34/C34)*M34)&lt;=0,0,((G34/C34)*M34)*3.571428))</f>
        <v>0</v>
      </c>
      <c r="P34" s="762">
        <f t="shared" ref="P34:P36" si="14">O34/3.571428</f>
        <v>0</v>
      </c>
      <c r="Q34" s="855" t="s">
        <v>173</v>
      </c>
      <c r="R34" s="497" t="s">
        <v>436</v>
      </c>
      <c r="S34" s="749"/>
    </row>
    <row r="35" spans="1:19" ht="40.799999999999997" customHeight="1" thickBot="1" x14ac:dyDescent="0.5">
      <c r="A35" s="21">
        <v>8</v>
      </c>
      <c r="B35" s="645" t="s">
        <v>22</v>
      </c>
      <c r="C35" s="646">
        <f t="shared" si="12"/>
        <v>3.5714285714285716</v>
      </c>
      <c r="D35" s="645" t="s">
        <v>119</v>
      </c>
      <c r="E35" s="648">
        <f t="shared" si="13"/>
        <v>3.5714285714285716</v>
      </c>
      <c r="F35" s="645" t="s">
        <v>23</v>
      </c>
      <c r="G35" s="646">
        <f>E35/1</f>
        <v>3.5714285714285716</v>
      </c>
      <c r="H35" s="856">
        <v>0.5</v>
      </c>
      <c r="I35" s="857">
        <v>0.8</v>
      </c>
      <c r="J35" s="861">
        <f>H35-I35</f>
        <v>-0.30000000000000004</v>
      </c>
      <c r="K35" s="862">
        <f>IF((I35&gt;=1),0,((1-I35)*0.6))</f>
        <v>0.11999999999999997</v>
      </c>
      <c r="L35" s="851">
        <f>I35+K35</f>
        <v>0.92</v>
      </c>
      <c r="M35" s="852">
        <f>IF(K35&lt;&gt;0,J35/K35,"0%")</f>
        <v>-2.5000000000000009</v>
      </c>
      <c r="N35" s="853">
        <f>((G35/C35)*M35)</f>
        <v>-2.5000000000000009</v>
      </c>
      <c r="O35" s="854">
        <f>IF(((G35/C35)*M35)&gt;=1,3.571428,IF(((G35/C35)*M35)&lt;=0,0,((G35/C35)*M35)*3.571428))</f>
        <v>0</v>
      </c>
      <c r="P35" s="762">
        <f t="shared" si="14"/>
        <v>0</v>
      </c>
      <c r="Q35" s="855" t="s">
        <v>174</v>
      </c>
      <c r="R35" s="497" t="s">
        <v>436</v>
      </c>
      <c r="S35" s="749"/>
    </row>
    <row r="36" spans="1:19" ht="32.450000000000003" customHeight="1" thickBot="1" x14ac:dyDescent="0.5">
      <c r="A36" s="21">
        <v>9</v>
      </c>
      <c r="B36" s="645" t="s">
        <v>24</v>
      </c>
      <c r="C36" s="646">
        <f t="shared" si="12"/>
        <v>3.5714285714285716</v>
      </c>
      <c r="D36" s="645" t="s">
        <v>275</v>
      </c>
      <c r="E36" s="648">
        <f t="shared" si="13"/>
        <v>3.5714285714285716</v>
      </c>
      <c r="F36" s="650" t="s">
        <v>25</v>
      </c>
      <c r="G36" s="646">
        <f>E36/1</f>
        <v>3.5714285714285716</v>
      </c>
      <c r="H36" s="863"/>
      <c r="I36" s="864"/>
      <c r="J36" s="865">
        <f>H36-I36</f>
        <v>0</v>
      </c>
      <c r="K36" s="866">
        <f>(1*I36)*(6/10)</f>
        <v>0</v>
      </c>
      <c r="L36" s="867">
        <f>I36+K36</f>
        <v>0</v>
      </c>
      <c r="M36" s="852" t="str">
        <f>IF(K36&lt;&gt;0,J36/K36,"0%")</f>
        <v>0%</v>
      </c>
      <c r="N36" s="853">
        <f>((G36/C36)*M36)</f>
        <v>0</v>
      </c>
      <c r="O36" s="854">
        <f>IF(((G36/C36)*M36)&gt;=1,3.571428,IF(((G36/C36)*M36)&lt;=0,0,((G36/C36)*M36)*3.571428))</f>
        <v>0</v>
      </c>
      <c r="P36" s="762">
        <f t="shared" si="14"/>
        <v>0</v>
      </c>
      <c r="Q36" s="868" t="s">
        <v>175</v>
      </c>
      <c r="R36" s="500"/>
      <c r="S36" s="495" t="s">
        <v>463</v>
      </c>
    </row>
    <row r="37" spans="1:19" ht="30.6" customHeight="1" thickBot="1" x14ac:dyDescent="0.5">
      <c r="B37" s="1500" t="s">
        <v>26</v>
      </c>
      <c r="C37" s="1501"/>
      <c r="D37" s="1501"/>
      <c r="E37" s="1501"/>
      <c r="F37" s="1502"/>
      <c r="G37" s="651"/>
      <c r="H37" s="869"/>
      <c r="I37" s="869"/>
      <c r="J37" s="870"/>
      <c r="K37" s="871"/>
      <c r="L37" s="871"/>
      <c r="M37" s="872"/>
      <c r="N37" s="760">
        <f>N38</f>
        <v>0</v>
      </c>
      <c r="O37" s="761">
        <f>O38</f>
        <v>0</v>
      </c>
      <c r="P37" s="762">
        <f>O37/3.571428</f>
        <v>0</v>
      </c>
      <c r="Q37" s="873"/>
      <c r="R37" s="245"/>
      <c r="S37" s="493"/>
    </row>
    <row r="38" spans="1:19" ht="25.8" customHeight="1" thickBot="1" x14ac:dyDescent="0.5">
      <c r="A38" s="1451">
        <v>10</v>
      </c>
      <c r="B38" s="1469" t="s">
        <v>27</v>
      </c>
      <c r="C38" s="1473">
        <f>M5</f>
        <v>3.5714285714285716</v>
      </c>
      <c r="D38" s="627" t="s">
        <v>120</v>
      </c>
      <c r="E38" s="604">
        <f>$C$38/2</f>
        <v>1.7857142857142858</v>
      </c>
      <c r="F38" s="652" t="s">
        <v>224</v>
      </c>
      <c r="G38" s="604">
        <f>E38/1</f>
        <v>1.7857142857142858</v>
      </c>
      <c r="H38" s="874"/>
      <c r="I38" s="875"/>
      <c r="J38" s="876">
        <f>H38-I38</f>
        <v>0</v>
      </c>
      <c r="K38" s="877">
        <f>(1*I38)*(6/10)</f>
        <v>0</v>
      </c>
      <c r="L38" s="878">
        <f>I38+K38</f>
        <v>0</v>
      </c>
      <c r="M38" s="772" t="str">
        <f>IF(K38&lt;&gt;0,J38/K38,"0%")</f>
        <v>0%</v>
      </c>
      <c r="N38" s="1497">
        <f>(((G38/C38)*M38)+((G39/C38)*M39))</f>
        <v>0</v>
      </c>
      <c r="O38" s="1458">
        <f>IF((((G38/C38)*M38)+((G39/C38)*M39))&gt;=1,3.57148,IF((((G38/C38)*M38)+((G39/C38)*M39))&lt;=0,0, (((G38/C38)*M38)+((G39/C38)*M39))*3.571428))</f>
        <v>0</v>
      </c>
      <c r="P38" s="1460">
        <f>O38/3.571428</f>
        <v>0</v>
      </c>
      <c r="Q38" s="879" t="s">
        <v>176</v>
      </c>
      <c r="R38" s="241"/>
      <c r="S38" s="495" t="s">
        <v>463</v>
      </c>
    </row>
    <row r="39" spans="1:19" ht="35.25" thickBot="1" x14ac:dyDescent="0.5">
      <c r="A39" s="1451"/>
      <c r="B39" s="1470"/>
      <c r="C39" s="1474"/>
      <c r="D39" s="629" t="s">
        <v>157</v>
      </c>
      <c r="E39" s="612">
        <f>$C$38/2</f>
        <v>1.7857142857142858</v>
      </c>
      <c r="F39" s="653" t="s">
        <v>225</v>
      </c>
      <c r="G39" s="638">
        <f>E39/1</f>
        <v>1.7857142857142858</v>
      </c>
      <c r="H39" s="880"/>
      <c r="I39" s="881"/>
      <c r="J39" s="882">
        <f>H39-I39</f>
        <v>0</v>
      </c>
      <c r="K39" s="883">
        <f>IF(AND(I39&gt;=10,H39&gt;=I39),0,((10-H39)*(6/10)))</f>
        <v>6</v>
      </c>
      <c r="L39" s="884">
        <f>I39+K39</f>
        <v>6</v>
      </c>
      <c r="M39" s="779">
        <f>IF(K39&lt;&gt;0,J39/K39,"0%")</f>
        <v>0</v>
      </c>
      <c r="N39" s="1498"/>
      <c r="O39" s="1459"/>
      <c r="P39" s="1461"/>
      <c r="Q39" s="885" t="s">
        <v>95</v>
      </c>
      <c r="R39" s="247"/>
      <c r="S39" s="495" t="s">
        <v>463</v>
      </c>
    </row>
    <row r="40" spans="1:19" ht="20.45" customHeight="1" thickBot="1" x14ac:dyDescent="0.5">
      <c r="B40" s="1512" t="s">
        <v>28</v>
      </c>
      <c r="C40" s="1513"/>
      <c r="D40" s="1513"/>
      <c r="E40" s="1514"/>
      <c r="F40" s="1515"/>
      <c r="G40" s="651"/>
      <c r="H40" s="886"/>
      <c r="I40" s="886"/>
      <c r="J40" s="887"/>
      <c r="K40" s="888"/>
      <c r="L40" s="888"/>
      <c r="M40" s="889"/>
      <c r="N40" s="760">
        <f>N41</f>
        <v>-0.32051282051282048</v>
      </c>
      <c r="O40" s="761">
        <f>O41</f>
        <v>0</v>
      </c>
      <c r="P40" s="762">
        <f>O40/3.571428</f>
        <v>0</v>
      </c>
      <c r="Q40" s="890"/>
      <c r="R40" s="248"/>
      <c r="S40" s="501"/>
    </row>
    <row r="41" spans="1:19" ht="35.25" thickBot="1" x14ac:dyDescent="0.5">
      <c r="A41" s="1451">
        <v>11</v>
      </c>
      <c r="B41" s="1516" t="s">
        <v>29</v>
      </c>
      <c r="C41" s="1518">
        <f>M5</f>
        <v>3.5714285714285716</v>
      </c>
      <c r="D41" s="654" t="s">
        <v>121</v>
      </c>
      <c r="E41" s="655">
        <f>$C$41/2</f>
        <v>1.7857142857142858</v>
      </c>
      <c r="F41" s="617" t="s">
        <v>30</v>
      </c>
      <c r="G41" s="656">
        <f>E41/1</f>
        <v>1.7857142857142858</v>
      </c>
      <c r="H41" s="891">
        <v>2.1</v>
      </c>
      <c r="I41" s="892">
        <v>2.6</v>
      </c>
      <c r="J41" s="893">
        <f>H41-I41</f>
        <v>-0.5</v>
      </c>
      <c r="K41" s="894">
        <f>(0.5*I41)*(6/10)</f>
        <v>0.78</v>
      </c>
      <c r="L41" s="895">
        <f>I41+K41</f>
        <v>3.38</v>
      </c>
      <c r="M41" s="772">
        <f>IF(K41&lt;&gt;0,J41/K41,"0%")</f>
        <v>-0.64102564102564097</v>
      </c>
      <c r="N41" s="1520">
        <f>(((G41/C41)*M41)+(G42/C41)*M42)</f>
        <v>-0.32051282051282048</v>
      </c>
      <c r="O41" s="1458">
        <f>IF((((G41/C41)*M41)+((G42/C41)*M42))&gt;=1,3.57148,IF((((G41/C41)*M41)+((G42/C41)*M42))&lt;=0,0, (((G41/C41)*M41)+((G42/C41)*M42))*3.571428))</f>
        <v>0</v>
      </c>
      <c r="P41" s="1460">
        <f>O41/3.571428</f>
        <v>0</v>
      </c>
      <c r="Q41" s="896" t="s">
        <v>177</v>
      </c>
      <c r="R41" s="497" t="s">
        <v>436</v>
      </c>
      <c r="S41" s="502"/>
    </row>
    <row r="42" spans="1:19" ht="23.65" thickBot="1" x14ac:dyDescent="0.5">
      <c r="A42" s="1451"/>
      <c r="B42" s="1517"/>
      <c r="C42" s="1519"/>
      <c r="D42" s="657" t="s">
        <v>122</v>
      </c>
      <c r="E42" s="640">
        <f>$C$41/2</f>
        <v>1.7857142857142858</v>
      </c>
      <c r="F42" s="621" t="s">
        <v>31</v>
      </c>
      <c r="G42" s="658">
        <f>E42/1</f>
        <v>1.7857142857142858</v>
      </c>
      <c r="H42" s="897"/>
      <c r="I42" s="898"/>
      <c r="J42" s="899">
        <f>H42-I42</f>
        <v>0</v>
      </c>
      <c r="K42" s="791">
        <f>(0.5*I42)*(6/10)</f>
        <v>0</v>
      </c>
      <c r="L42" s="900">
        <f>I42+K42</f>
        <v>0</v>
      </c>
      <c r="M42" s="779" t="str">
        <f>IF(K42&lt;&gt;0,J42/K42,"0%")</f>
        <v>0%</v>
      </c>
      <c r="N42" s="1520"/>
      <c r="O42" s="1459"/>
      <c r="P42" s="1461"/>
      <c r="Q42" s="896" t="s">
        <v>95</v>
      </c>
      <c r="R42" s="420"/>
      <c r="S42" s="495" t="s">
        <v>463</v>
      </c>
    </row>
    <row r="43" spans="1:19" ht="30.6" customHeight="1" thickBot="1" x14ac:dyDescent="0.5">
      <c r="B43" s="1486" t="s">
        <v>32</v>
      </c>
      <c r="C43" s="1487"/>
      <c r="D43" s="1487"/>
      <c r="E43" s="1487"/>
      <c r="F43" s="1488"/>
      <c r="G43" s="633"/>
      <c r="H43" s="901"/>
      <c r="I43" s="901"/>
      <c r="J43" s="902"/>
      <c r="K43" s="903"/>
      <c r="L43" s="903"/>
      <c r="M43" s="904"/>
      <c r="N43" s="760">
        <f>N44</f>
        <v>0</v>
      </c>
      <c r="O43" s="761">
        <f>O44</f>
        <v>0</v>
      </c>
      <c r="P43" s="762">
        <f>O43/3.571428</f>
        <v>0</v>
      </c>
      <c r="Q43" s="905"/>
      <c r="R43" s="248"/>
      <c r="S43" s="501"/>
    </row>
    <row r="44" spans="1:19" ht="37.799999999999997" customHeight="1" thickBot="1" x14ac:dyDescent="0.5">
      <c r="A44" s="1451">
        <v>12</v>
      </c>
      <c r="B44" s="1509" t="s">
        <v>33</v>
      </c>
      <c r="C44" s="1473">
        <f>M5</f>
        <v>3.5714285714285716</v>
      </c>
      <c r="D44" s="635" t="s">
        <v>123</v>
      </c>
      <c r="E44" s="660">
        <f>C44/2</f>
        <v>1.7857142857142858</v>
      </c>
      <c r="F44" s="635" t="s">
        <v>34</v>
      </c>
      <c r="G44" s="604">
        <f>$E$44/1</f>
        <v>1.7857142857142858</v>
      </c>
      <c r="H44" s="906"/>
      <c r="I44" s="907"/>
      <c r="J44" s="908">
        <f>IF(I44=H44,(H44-30),H44-I44)</f>
        <v>-30</v>
      </c>
      <c r="K44" s="798">
        <f>IF(I44&gt;=30,0,((30-I44)*(6/10)))</f>
        <v>18</v>
      </c>
      <c r="L44" s="909">
        <f>I44+K44</f>
        <v>18</v>
      </c>
      <c r="M44" s="779" t="str">
        <f>IF(H44=0,"0%",J44/K44)</f>
        <v>0%</v>
      </c>
      <c r="N44" s="1497">
        <f>(((G44/C44)*M44)+((G45/C44)*M45))</f>
        <v>0</v>
      </c>
      <c r="O44" s="1458">
        <f>IF((((G44/C44)*M44)+((G45/C44)*M45))&gt;=1,3.57148,IF((((G44/C44)*M44)+((G45/C44)*M45))&lt;=0,0, (((G44/C44)*M44)+((G45/C44)*M45))*3.571428))</f>
        <v>0</v>
      </c>
      <c r="P44" s="1460">
        <f>O44/3.571428</f>
        <v>0</v>
      </c>
      <c r="Q44" s="799" t="s">
        <v>178</v>
      </c>
      <c r="R44" s="243"/>
      <c r="S44" s="495" t="s">
        <v>463</v>
      </c>
    </row>
    <row r="45" spans="1:19" ht="35.25" thickBot="1" x14ac:dyDescent="0.5">
      <c r="A45" s="1451"/>
      <c r="B45" s="1510"/>
      <c r="C45" s="1511"/>
      <c r="D45" s="643" t="s">
        <v>124</v>
      </c>
      <c r="E45" s="661">
        <f>(C44/2)</f>
        <v>1.7857142857142858</v>
      </c>
      <c r="F45" s="643" t="s">
        <v>35</v>
      </c>
      <c r="G45" s="612">
        <f>$E$45/1</f>
        <v>1.7857142857142858</v>
      </c>
      <c r="H45" s="910"/>
      <c r="I45" s="911"/>
      <c r="J45" s="912">
        <f>IF(I45=H45,(H45-17),H45-I45)</f>
        <v>-17</v>
      </c>
      <c r="K45" s="913">
        <f>IF(I45&gt;=17,0,((17-I45)*(6/10)))</f>
        <v>10.199999999999999</v>
      </c>
      <c r="L45" s="914">
        <f>I45+K45</f>
        <v>10.199999999999999</v>
      </c>
      <c r="M45" s="915" t="str">
        <f>IF(K45&lt;&gt;0,"0%",J45/K45)</f>
        <v>0%</v>
      </c>
      <c r="N45" s="1499"/>
      <c r="O45" s="1459"/>
      <c r="P45" s="1461"/>
      <c r="Q45" s="811" t="s">
        <v>179</v>
      </c>
      <c r="R45" s="244"/>
      <c r="S45" s="495" t="s">
        <v>463</v>
      </c>
    </row>
    <row r="46" spans="1:19" ht="30.6" customHeight="1" thickBot="1" x14ac:dyDescent="0.5">
      <c r="B46" s="1525" t="s">
        <v>36</v>
      </c>
      <c r="C46" s="1526"/>
      <c r="D46" s="1526"/>
      <c r="E46" s="1526"/>
      <c r="F46" s="1527"/>
      <c r="G46" s="662"/>
      <c r="H46" s="916"/>
      <c r="I46" s="917"/>
      <c r="J46" s="918"/>
      <c r="K46" s="919"/>
      <c r="L46" s="919"/>
      <c r="M46" s="920"/>
      <c r="N46" s="760">
        <f>(N47+N50+N52)/3</f>
        <v>0.59999016772919278</v>
      </c>
      <c r="O46" s="761">
        <f>(O47+O50+O52)</f>
        <v>4.1594688245633122</v>
      </c>
      <c r="P46" s="762">
        <f>O46/10.714284</f>
        <v>0.38821715240732024</v>
      </c>
      <c r="Q46" s="921"/>
      <c r="R46" s="250"/>
      <c r="S46" s="503"/>
    </row>
    <row r="47" spans="1:19" ht="20.45" customHeight="1" thickBot="1" x14ac:dyDescent="0.5">
      <c r="B47" s="1466" t="s">
        <v>37</v>
      </c>
      <c r="C47" s="1467"/>
      <c r="D47" s="1467"/>
      <c r="E47" s="1467"/>
      <c r="F47" s="1468"/>
      <c r="G47" s="663"/>
      <c r="H47" s="886"/>
      <c r="I47" s="886"/>
      <c r="J47" s="922"/>
      <c r="K47" s="923"/>
      <c r="L47" s="923"/>
      <c r="M47" s="904"/>
      <c r="N47" s="760">
        <f>N48</f>
        <v>-3.1347620701048962E-2</v>
      </c>
      <c r="O47" s="761">
        <f>O48</f>
        <v>0</v>
      </c>
      <c r="P47" s="762">
        <f>O47/3.571428</f>
        <v>0</v>
      </c>
      <c r="Q47" s="905"/>
      <c r="R47" s="248"/>
      <c r="S47" s="496"/>
    </row>
    <row r="48" spans="1:19" ht="37.799999999999997" customHeight="1" thickBot="1" x14ac:dyDescent="0.5">
      <c r="A48" s="1451">
        <v>13</v>
      </c>
      <c r="B48" s="1509" t="s">
        <v>38</v>
      </c>
      <c r="C48" s="1473">
        <f>M5</f>
        <v>3.5714285714285716</v>
      </c>
      <c r="D48" s="635" t="s">
        <v>125</v>
      </c>
      <c r="E48" s="604">
        <f>$C$48/2</f>
        <v>1.7857142857142858</v>
      </c>
      <c r="F48" s="664" t="s">
        <v>289</v>
      </c>
      <c r="G48" s="604">
        <f>E48/1</f>
        <v>1.7857142857142858</v>
      </c>
      <c r="H48" s="924"/>
      <c r="I48" s="925"/>
      <c r="J48" s="926">
        <f>H48-I48</f>
        <v>0</v>
      </c>
      <c r="K48" s="927">
        <f>(0.5*I48)* (6/10)</f>
        <v>0</v>
      </c>
      <c r="L48" s="928">
        <f>I48-K48</f>
        <v>0</v>
      </c>
      <c r="M48" s="786" t="str">
        <f>IF(K48&lt;&gt;0,J48/K48,"0%")</f>
        <v>0%</v>
      </c>
      <c r="N48" s="1528">
        <f>(((G48/C48)*M48)+((G49/C48)*M49))</f>
        <v>-3.1347620701048962E-2</v>
      </c>
      <c r="O48" s="1458">
        <f>IF((((G48/C48)*M48)+((G49/C48)*M49))&gt;=1,3.57148,IF((((G48/C48)*M48)+((G49/C48)*M49))&lt;=0,0, (((G48/C48)*M48)+((G49/C48)*M49))*3.571428))</f>
        <v>0</v>
      </c>
      <c r="P48" s="1460">
        <f>O48/3.571428</f>
        <v>0</v>
      </c>
      <c r="Q48" s="834" t="s">
        <v>95</v>
      </c>
      <c r="R48" s="241"/>
      <c r="S48" s="495" t="s">
        <v>463</v>
      </c>
    </row>
    <row r="49" spans="1:19" ht="30.6" customHeight="1" thickBot="1" x14ac:dyDescent="0.5">
      <c r="A49" s="1451"/>
      <c r="B49" s="1510"/>
      <c r="C49" s="1511"/>
      <c r="D49" s="643" t="s">
        <v>126</v>
      </c>
      <c r="E49" s="612">
        <f>$C$48/2</f>
        <v>1.7857142857142858</v>
      </c>
      <c r="F49" s="643" t="s">
        <v>290</v>
      </c>
      <c r="G49" s="612">
        <f>E49/1</f>
        <v>1.7857142857142858</v>
      </c>
      <c r="H49" s="929">
        <v>1651270.9</v>
      </c>
      <c r="I49" s="930">
        <v>1785610</v>
      </c>
      <c r="J49" s="839">
        <f>H49-I49</f>
        <v>-134339.10000000009</v>
      </c>
      <c r="K49" s="931">
        <f>(2*I49)*(6/10)</f>
        <v>2142732</v>
      </c>
      <c r="L49" s="932">
        <f>I49+K49</f>
        <v>3928342</v>
      </c>
      <c r="M49" s="779">
        <f>IF(K49&lt;&gt;0,J49/K49,"0%")</f>
        <v>-6.2695241402097923E-2</v>
      </c>
      <c r="N49" s="1529"/>
      <c r="O49" s="1459"/>
      <c r="P49" s="1461"/>
      <c r="Q49" s="840" t="s">
        <v>95</v>
      </c>
      <c r="R49" s="249" t="s">
        <v>509</v>
      </c>
      <c r="S49" s="495"/>
    </row>
    <row r="50" spans="1:19" ht="15" customHeight="1" thickBot="1" x14ac:dyDescent="0.5">
      <c r="B50" s="1486" t="s">
        <v>39</v>
      </c>
      <c r="C50" s="1487"/>
      <c r="D50" s="1487"/>
      <c r="E50" s="1487"/>
      <c r="F50" s="1488"/>
      <c r="G50" s="666"/>
      <c r="H50" s="933"/>
      <c r="I50" s="933"/>
      <c r="J50" s="934"/>
      <c r="K50" s="934"/>
      <c r="L50" s="934"/>
      <c r="M50" s="935"/>
      <c r="N50" s="760">
        <f>N51</f>
        <v>1.6666666666666667</v>
      </c>
      <c r="O50" s="761">
        <f>O51</f>
        <v>3.571428</v>
      </c>
      <c r="P50" s="762">
        <f>O50/3.571428</f>
        <v>1</v>
      </c>
      <c r="Q50" s="936"/>
      <c r="R50" s="251"/>
      <c r="S50" s="504"/>
    </row>
    <row r="51" spans="1:19" ht="30.6" customHeight="1" thickBot="1" x14ac:dyDescent="0.5">
      <c r="A51" s="20">
        <v>14</v>
      </c>
      <c r="B51" s="667" t="s">
        <v>226</v>
      </c>
      <c r="C51" s="668">
        <f>M5</f>
        <v>3.5714285714285716</v>
      </c>
      <c r="D51" s="669" t="s">
        <v>272</v>
      </c>
      <c r="E51" s="670">
        <f>C51</f>
        <v>3.5714285714285716</v>
      </c>
      <c r="F51" s="671" t="s">
        <v>266</v>
      </c>
      <c r="G51" s="672">
        <f>E51/1</f>
        <v>3.5714285714285716</v>
      </c>
      <c r="H51" s="937">
        <v>100</v>
      </c>
      <c r="I51" s="938">
        <v>0</v>
      </c>
      <c r="J51" s="939">
        <f>H51-I51</f>
        <v>100</v>
      </c>
      <c r="K51" s="940">
        <f>(100-I51)*(6/10)</f>
        <v>60</v>
      </c>
      <c r="L51" s="941">
        <f>I51+K51</f>
        <v>60</v>
      </c>
      <c r="M51" s="793">
        <f>IF(K51&lt;&gt;0,J51/K51,"100%")</f>
        <v>1.6666666666666667</v>
      </c>
      <c r="N51" s="853">
        <f>((G51/C51)*M51)</f>
        <v>1.6666666666666667</v>
      </c>
      <c r="O51" s="854">
        <f>IF(((G51/C51)*M51)&gt;=1,3.571428,IF(((G51/C51)*M51)&lt;=0,0,((G51/C51)*M51)*3.571428))</f>
        <v>3.571428</v>
      </c>
      <c r="P51" s="762">
        <f>O51/3.571428</f>
        <v>1</v>
      </c>
      <c r="Q51" s="942" t="s">
        <v>95</v>
      </c>
      <c r="R51" s="252"/>
      <c r="S51" s="505" t="s">
        <v>437</v>
      </c>
    </row>
    <row r="52" spans="1:19" ht="20.45" customHeight="1" thickBot="1" x14ac:dyDescent="0.5">
      <c r="B52" s="1486" t="s">
        <v>40</v>
      </c>
      <c r="C52" s="1487"/>
      <c r="D52" s="1487"/>
      <c r="E52" s="1487"/>
      <c r="F52" s="1488"/>
      <c r="G52" s="663"/>
      <c r="H52" s="886"/>
      <c r="I52" s="886"/>
      <c r="J52" s="922"/>
      <c r="K52" s="923"/>
      <c r="L52" s="923"/>
      <c r="M52" s="832"/>
      <c r="N52" s="760">
        <f>N53</f>
        <v>0.16465145722196062</v>
      </c>
      <c r="O52" s="761">
        <f>O53</f>
        <v>0.58804082456331241</v>
      </c>
      <c r="P52" s="762">
        <f>O52/3.571428</f>
        <v>0.16465145722196062</v>
      </c>
      <c r="Q52" s="943"/>
      <c r="R52" s="251"/>
      <c r="S52" s="504"/>
    </row>
    <row r="53" spans="1:19" ht="43.8" customHeight="1" thickBot="1" x14ac:dyDescent="0.5">
      <c r="A53" s="1451">
        <v>15</v>
      </c>
      <c r="B53" s="1469" t="s">
        <v>108</v>
      </c>
      <c r="C53" s="1473">
        <f>M5</f>
        <v>3.5714285714285716</v>
      </c>
      <c r="D53" s="674" t="s">
        <v>127</v>
      </c>
      <c r="E53" s="675">
        <f>$C$53/5</f>
        <v>0.7142857142857143</v>
      </c>
      <c r="F53" s="676" t="s">
        <v>41</v>
      </c>
      <c r="G53" s="628">
        <f>E53/1</f>
        <v>0.7142857142857143</v>
      </c>
      <c r="H53" s="944"/>
      <c r="I53" s="945"/>
      <c r="J53" s="815">
        <f>H53-I53</f>
        <v>0</v>
      </c>
      <c r="K53" s="927">
        <f>(100-I53)*(6/10)</f>
        <v>60</v>
      </c>
      <c r="L53" s="878">
        <f t="shared" ref="L53:L58" si="15">I53+K53</f>
        <v>60</v>
      </c>
      <c r="M53" s="772">
        <f t="shared" ref="M53:M55" si="16">IF(K53&lt;&gt;0,J53/K53,"0%")</f>
        <v>0</v>
      </c>
      <c r="N53" s="1522">
        <f>(((G53/C53)*M53)+((G54/C53)*M54)+((G55/C53)*M55)+((G56/C53)*M56)+((G57/C53)*M57)+((G58/C53)*M58))</f>
        <v>0.16465145722196062</v>
      </c>
      <c r="O53" s="1533">
        <f>IF((((G53/C53)*M53)+((G54/C53)*M54)+((G55/C53)*M55)+((G56/C53)*M56)+((G57/C53)*M57)+((G58/C53)*M58))&gt;=1,3.571428,IF((((G53/C53)*M53)+((G54/C53)*M54)+((G55/C53)*M55)+((G56/C53)*M56)+((G57/C53)*M57)+((G58/C53)*M58))&lt;=0,0,((((G53/C53)*M53)+((G54/C53)*M54)+((G55/C53)*M55)+((G56/C53)*M56)+((G57/C53)*M57)+((G58/C53)*M58))*3.571428)))</f>
        <v>0.58804082456331241</v>
      </c>
      <c r="P53" s="1460">
        <f>O53/3.571428</f>
        <v>0.16465145722196062</v>
      </c>
      <c r="Q53" s="946" t="s">
        <v>95</v>
      </c>
      <c r="R53" s="427"/>
      <c r="S53" s="495" t="s">
        <v>463</v>
      </c>
    </row>
    <row r="54" spans="1:19" ht="35.450000000000003" customHeight="1" thickBot="1" x14ac:dyDescent="0.5">
      <c r="A54" s="1451"/>
      <c r="B54" s="1470"/>
      <c r="C54" s="1474"/>
      <c r="D54" s="679" t="s">
        <v>128</v>
      </c>
      <c r="E54" s="680">
        <f t="shared" ref="E54:E57" si="17">$C$53/5</f>
        <v>0.7142857142857143</v>
      </c>
      <c r="F54" s="681" t="s">
        <v>42</v>
      </c>
      <c r="G54" s="630">
        <f>E54/1</f>
        <v>0.7142857142857143</v>
      </c>
      <c r="H54" s="947"/>
      <c r="I54" s="948"/>
      <c r="J54" s="820">
        <f>H54-I54</f>
        <v>0</v>
      </c>
      <c r="K54" s="883">
        <f>(100-I54)*(6/6)</f>
        <v>100</v>
      </c>
      <c r="L54" s="884">
        <f>I54+K54</f>
        <v>100</v>
      </c>
      <c r="M54" s="805">
        <f t="shared" si="16"/>
        <v>0</v>
      </c>
      <c r="N54" s="1523"/>
      <c r="O54" s="1482"/>
      <c r="P54" s="1485"/>
      <c r="Q54" s="949" t="s">
        <v>95</v>
      </c>
      <c r="R54" s="425"/>
      <c r="S54" s="495" t="s">
        <v>463</v>
      </c>
    </row>
    <row r="55" spans="1:19" ht="34.25" customHeight="1" thickBot="1" x14ac:dyDescent="0.5">
      <c r="A55" s="1451"/>
      <c r="B55" s="1470"/>
      <c r="C55" s="1474"/>
      <c r="D55" s="679" t="s">
        <v>129</v>
      </c>
      <c r="E55" s="680">
        <f t="shared" si="17"/>
        <v>0.7142857142857143</v>
      </c>
      <c r="F55" s="681" t="s">
        <v>43</v>
      </c>
      <c r="G55" s="630">
        <f>E55/1</f>
        <v>0.7142857142857143</v>
      </c>
      <c r="H55" s="950"/>
      <c r="I55" s="948"/>
      <c r="J55" s="820">
        <f>H55-I55</f>
        <v>0</v>
      </c>
      <c r="K55" s="883">
        <f>(100-I55)*(6/10)</f>
        <v>60</v>
      </c>
      <c r="L55" s="884">
        <f t="shared" si="15"/>
        <v>60</v>
      </c>
      <c r="M55" s="805">
        <f t="shared" si="16"/>
        <v>0</v>
      </c>
      <c r="N55" s="1523"/>
      <c r="O55" s="1482"/>
      <c r="P55" s="1485"/>
      <c r="Q55" s="949" t="s">
        <v>95</v>
      </c>
      <c r="R55" s="425"/>
      <c r="S55" s="495" t="s">
        <v>463</v>
      </c>
    </row>
    <row r="56" spans="1:19" ht="37.25" customHeight="1" x14ac:dyDescent="0.45">
      <c r="A56" s="1451"/>
      <c r="B56" s="1470"/>
      <c r="C56" s="1474"/>
      <c r="D56" s="679" t="s">
        <v>130</v>
      </c>
      <c r="E56" s="680">
        <f t="shared" si="17"/>
        <v>0.7142857142857143</v>
      </c>
      <c r="F56" s="681" t="s">
        <v>44</v>
      </c>
      <c r="G56" s="630">
        <f>E56/1</f>
        <v>0.7142857142857143</v>
      </c>
      <c r="H56" s="951">
        <v>4080008.3</v>
      </c>
      <c r="I56" s="952">
        <v>3090032</v>
      </c>
      <c r="J56" s="820">
        <f>H56-I56</f>
        <v>989976.29999999981</v>
      </c>
      <c r="K56" s="953">
        <f>(0.5*I56)*(6/7)</f>
        <v>1324299.4285714284</v>
      </c>
      <c r="L56" s="884">
        <f t="shared" si="15"/>
        <v>4414331.4285714282</v>
      </c>
      <c r="M56" s="805">
        <f>IF(K56&lt;&gt;0,J56/K56,"0%")</f>
        <v>0.7475471775049578</v>
      </c>
      <c r="N56" s="1523"/>
      <c r="O56" s="1482"/>
      <c r="P56" s="1485"/>
      <c r="Q56" s="949" t="s">
        <v>101</v>
      </c>
      <c r="R56" s="506" t="s">
        <v>510</v>
      </c>
      <c r="S56" s="426" t="s">
        <v>438</v>
      </c>
    </row>
    <row r="57" spans="1:19" ht="22.8" customHeight="1" x14ac:dyDescent="0.45">
      <c r="A57" s="1451"/>
      <c r="B57" s="1470"/>
      <c r="C57" s="1474"/>
      <c r="D57" s="1535" t="s">
        <v>131</v>
      </c>
      <c r="E57" s="1537">
        <f t="shared" si="17"/>
        <v>0.7142857142857143</v>
      </c>
      <c r="F57" s="681" t="s">
        <v>45</v>
      </c>
      <c r="G57" s="630">
        <f>$E$57/2</f>
        <v>0.35714285714285715</v>
      </c>
      <c r="H57" s="835">
        <v>63.1</v>
      </c>
      <c r="I57" s="954">
        <v>53.2</v>
      </c>
      <c r="J57" s="820">
        <f t="shared" ref="J57:J58" si="18">H57-I57</f>
        <v>9.8999999999999986</v>
      </c>
      <c r="K57" s="955">
        <f>(1*I57)*(6/10)</f>
        <v>31.92</v>
      </c>
      <c r="L57" s="884">
        <f t="shared" si="15"/>
        <v>85.12</v>
      </c>
      <c r="M57" s="805">
        <f>IF(K57&lt;&gt;0,J57/K57,"0%")</f>
        <v>0.31015037593984957</v>
      </c>
      <c r="N57" s="1523"/>
      <c r="O57" s="1482"/>
      <c r="P57" s="1485"/>
      <c r="Q57" s="949" t="s">
        <v>180</v>
      </c>
      <c r="R57" s="425" t="s">
        <v>431</v>
      </c>
      <c r="S57" s="426"/>
    </row>
    <row r="58" spans="1:19" ht="15" customHeight="1" thickBot="1" x14ac:dyDescent="0.5">
      <c r="A58" s="1451"/>
      <c r="B58" s="1521"/>
      <c r="C58" s="1511"/>
      <c r="D58" s="1536"/>
      <c r="E58" s="1538"/>
      <c r="F58" s="611" t="s">
        <v>46</v>
      </c>
      <c r="G58" s="632">
        <f>$E$57/2</f>
        <v>0.35714285714285715</v>
      </c>
      <c r="H58" s="825">
        <v>1.9</v>
      </c>
      <c r="I58" s="826">
        <v>2.1</v>
      </c>
      <c r="J58" s="827">
        <f t="shared" si="18"/>
        <v>-0.20000000000000018</v>
      </c>
      <c r="K58" s="931">
        <f>(1*I58)*(6/10)</f>
        <v>1.26</v>
      </c>
      <c r="L58" s="956">
        <f t="shared" si="15"/>
        <v>3.3600000000000003</v>
      </c>
      <c r="M58" s="779">
        <f>IF(K58&lt;&gt;0,J58/K58,"0%")</f>
        <v>-0.15873015873015886</v>
      </c>
      <c r="N58" s="1524"/>
      <c r="O58" s="1483"/>
      <c r="P58" s="1461"/>
      <c r="Q58" s="957" t="s">
        <v>95</v>
      </c>
      <c r="R58" s="420"/>
      <c r="S58" s="490"/>
    </row>
    <row r="59" spans="1:19" ht="23.45" customHeight="1" thickBot="1" x14ac:dyDescent="0.5">
      <c r="B59" s="1525" t="s">
        <v>47</v>
      </c>
      <c r="C59" s="1526"/>
      <c r="D59" s="1526"/>
      <c r="E59" s="1526"/>
      <c r="F59" s="1527"/>
      <c r="G59" s="686"/>
      <c r="H59" s="958"/>
      <c r="I59" s="958"/>
      <c r="J59" s="959"/>
      <c r="K59" s="959"/>
      <c r="L59" s="959"/>
      <c r="M59" s="920"/>
      <c r="N59" s="760">
        <f>(N60+N67)/2</f>
        <v>7.5264550264550242E-2</v>
      </c>
      <c r="O59" s="761">
        <f>(O60+O67)</f>
        <v>0.5546106444444443</v>
      </c>
      <c r="P59" s="762">
        <f>O59/7.142856</f>
        <v>7.7645502645502629E-2</v>
      </c>
      <c r="Q59" s="960"/>
      <c r="R59" s="253"/>
      <c r="S59" s="254"/>
    </row>
    <row r="60" spans="1:19" ht="22.25" customHeight="1" thickBot="1" x14ac:dyDescent="0.5">
      <c r="B60" s="1486" t="s">
        <v>48</v>
      </c>
      <c r="C60" s="1487"/>
      <c r="D60" s="1487"/>
      <c r="E60" s="1487"/>
      <c r="F60" s="1488"/>
      <c r="G60" s="633"/>
      <c r="H60" s="961"/>
      <c r="I60" s="961"/>
      <c r="J60" s="830"/>
      <c r="K60" s="831"/>
      <c r="L60" s="831"/>
      <c r="M60" s="904"/>
      <c r="N60" s="760">
        <f>N61</f>
        <v>0.15529100529100526</v>
      </c>
      <c r="O60" s="761">
        <f>O61</f>
        <v>0.5546106444444443</v>
      </c>
      <c r="P60" s="762">
        <f>O60/3.571428</f>
        <v>0.15529100529100526</v>
      </c>
      <c r="Q60" s="813"/>
      <c r="R60" s="248"/>
      <c r="S60" s="496"/>
    </row>
    <row r="61" spans="1:19" ht="39" customHeight="1" thickBot="1" x14ac:dyDescent="0.5">
      <c r="A61" s="1451">
        <v>16</v>
      </c>
      <c r="B61" s="1469" t="s">
        <v>49</v>
      </c>
      <c r="C61" s="1473">
        <f>M5</f>
        <v>3.5714285714285716</v>
      </c>
      <c r="D61" s="635" t="s">
        <v>133</v>
      </c>
      <c r="E61" s="604">
        <f>$C$61/4</f>
        <v>0.8928571428571429</v>
      </c>
      <c r="F61" s="635" t="s">
        <v>50</v>
      </c>
      <c r="G61" s="628">
        <f>E61/1</f>
        <v>0.8928571428571429</v>
      </c>
      <c r="H61" s="962">
        <v>46</v>
      </c>
      <c r="I61" s="963">
        <v>46</v>
      </c>
      <c r="J61" s="908">
        <f>IF(I61=H61,(H61-70),H61-I61)</f>
        <v>-24</v>
      </c>
      <c r="K61" s="798">
        <f>IF(I61&gt;=70,0,((70-I61)*(6/10)))</f>
        <v>14.399999999999999</v>
      </c>
      <c r="L61" s="964">
        <f t="shared" ref="L61:L66" si="19">I61+K61</f>
        <v>60.4</v>
      </c>
      <c r="M61" s="772">
        <f>IF(I61&gt;=70,(1+(H61-70)/70),(J61/K61))</f>
        <v>-1.6666666666666667</v>
      </c>
      <c r="N61" s="1530">
        <f>(((G61/C61)*M61)+((G62/C61)*M62)+((G63/C61)*M63)+((G64/C61)*M64)+((G65/C61)*M65)+((G66/C61)*M66))</f>
        <v>0.15529100529100526</v>
      </c>
      <c r="O61" s="1533">
        <f>IF((((G61/C61)*M61)+((G62/C61)*M62)+((G63/C61)*M63)+((G64/C61)*M64)+((G65/C61)*M65)+((G66/C61)*M66))&gt;=1,3.571428,IF((((G61/C61)*M61)+((G62/C61)*M62)+((G63/C61)*M63)+((G64/C61)*M64)+((G65/C61)*M65)+((G66/C61)*M66))&lt;=0,0,((((G61/C61)*M61)+((G62/C61)*M62)+((G63/C61)*M63)+((G64/C61)*M64)+((G65/C61)*M65)+((G66/C61)*M66))*3.571428)))</f>
        <v>0.5546106444444443</v>
      </c>
      <c r="P61" s="1460">
        <f>O61/3.571428</f>
        <v>0.15529100529100526</v>
      </c>
      <c r="Q61" s="879" t="s">
        <v>181</v>
      </c>
      <c r="R61" s="424" t="s">
        <v>439</v>
      </c>
      <c r="S61" s="495"/>
    </row>
    <row r="62" spans="1:19" ht="58.25" customHeight="1" x14ac:dyDescent="0.45">
      <c r="A62" s="1451"/>
      <c r="B62" s="1470"/>
      <c r="C62" s="1474"/>
      <c r="D62" s="637" t="s">
        <v>134</v>
      </c>
      <c r="E62" s="638">
        <f t="shared" ref="E62:E63" si="20">$C$61/4</f>
        <v>0.8928571428571429</v>
      </c>
      <c r="F62" s="679" t="s">
        <v>276</v>
      </c>
      <c r="G62" s="630">
        <f>$E$62/1</f>
        <v>0.8928571428571429</v>
      </c>
      <c r="H62" s="835">
        <v>62</v>
      </c>
      <c r="I62" s="836">
        <v>52</v>
      </c>
      <c r="J62" s="965">
        <f>IF(I62=H62,(H62-70),H62-I62)</f>
        <v>10</v>
      </c>
      <c r="K62" s="803">
        <f t="shared" ref="K62:K63" si="21">IF(I62&gt;=70,0,((70-I62)*(6/10)))</f>
        <v>10.799999999999999</v>
      </c>
      <c r="L62" s="966">
        <f t="shared" si="19"/>
        <v>62.8</v>
      </c>
      <c r="M62" s="786">
        <f t="shared" ref="M62:M63" si="22">IF(I62&gt;=70,(1+(H62-70)/70),(J62/K62))</f>
        <v>0.92592592592592604</v>
      </c>
      <c r="N62" s="1531"/>
      <c r="O62" s="1482"/>
      <c r="P62" s="1485"/>
      <c r="Q62" s="885" t="s">
        <v>182</v>
      </c>
      <c r="R62" s="274" t="s">
        <v>439</v>
      </c>
      <c r="S62" s="507"/>
    </row>
    <row r="63" spans="1:19" ht="26.45" customHeight="1" thickBot="1" x14ac:dyDescent="0.5">
      <c r="A63" s="1451"/>
      <c r="B63" s="1470"/>
      <c r="C63" s="1474"/>
      <c r="D63" s="637" t="s">
        <v>135</v>
      </c>
      <c r="E63" s="638">
        <f t="shared" si="20"/>
        <v>0.8928571428571429</v>
      </c>
      <c r="F63" s="637" t="s">
        <v>51</v>
      </c>
      <c r="G63" s="630">
        <f>E63/1</f>
        <v>0.8928571428571429</v>
      </c>
      <c r="H63" s="835">
        <v>72</v>
      </c>
      <c r="I63" s="836">
        <v>70</v>
      </c>
      <c r="J63" s="965">
        <f>IF(I63=H63,(H63-70),H63-I63)</f>
        <v>2</v>
      </c>
      <c r="K63" s="803">
        <f t="shared" si="21"/>
        <v>0</v>
      </c>
      <c r="L63" s="966">
        <f t="shared" si="19"/>
        <v>70</v>
      </c>
      <c r="M63" s="786">
        <f t="shared" si="22"/>
        <v>1.0285714285714285</v>
      </c>
      <c r="N63" s="1531"/>
      <c r="O63" s="1482"/>
      <c r="P63" s="1485"/>
      <c r="Q63" s="885" t="s">
        <v>95</v>
      </c>
      <c r="R63" s="425"/>
      <c r="S63" s="507"/>
    </row>
    <row r="64" spans="1:19" ht="15" customHeight="1" thickBot="1" x14ac:dyDescent="0.5">
      <c r="A64" s="1451"/>
      <c r="B64" s="1470"/>
      <c r="C64" s="1474"/>
      <c r="D64" s="1503" t="s">
        <v>136</v>
      </c>
      <c r="E64" s="1505">
        <f>$C$61/4</f>
        <v>0.8928571428571429</v>
      </c>
      <c r="F64" s="687" t="s">
        <v>52</v>
      </c>
      <c r="G64" s="688">
        <f>$E$64/3</f>
        <v>0.29761904761904762</v>
      </c>
      <c r="H64" s="967">
        <v>100</v>
      </c>
      <c r="I64" s="968">
        <v>100</v>
      </c>
      <c r="J64" s="969">
        <f t="shared" ref="J64:J66" si="23">H64-I64</f>
        <v>0</v>
      </c>
      <c r="K64" s="970">
        <f>(100-I64)*(6/10)</f>
        <v>0</v>
      </c>
      <c r="L64" s="966">
        <f t="shared" si="19"/>
        <v>100</v>
      </c>
      <c r="M64" s="805" t="str">
        <f t="shared" ref="M64:M66" si="24">IF(K64&lt;&gt;0,J64/K64,"100%")</f>
        <v>100%</v>
      </c>
      <c r="N64" s="1531"/>
      <c r="O64" s="1482"/>
      <c r="P64" s="1485"/>
      <c r="Q64" s="885" t="s">
        <v>95</v>
      </c>
      <c r="R64" s="508"/>
      <c r="S64" s="505" t="s">
        <v>440</v>
      </c>
    </row>
    <row r="65" spans="1:19" ht="14.65" thickBot="1" x14ac:dyDescent="0.5">
      <c r="A65" s="1451"/>
      <c r="B65" s="1470"/>
      <c r="C65" s="1474"/>
      <c r="D65" s="1503"/>
      <c r="E65" s="1505"/>
      <c r="F65" s="687" t="s">
        <v>53</v>
      </c>
      <c r="G65" s="688">
        <f t="shared" ref="G65:G66" si="25">$E$64/3</f>
        <v>0.29761904761904762</v>
      </c>
      <c r="H65" s="967">
        <v>0</v>
      </c>
      <c r="I65" s="968">
        <v>0</v>
      </c>
      <c r="J65" s="969">
        <f t="shared" si="23"/>
        <v>0</v>
      </c>
      <c r="K65" s="970">
        <f>(100-I65)*(6/10)</f>
        <v>60</v>
      </c>
      <c r="L65" s="966">
        <f t="shared" si="19"/>
        <v>60</v>
      </c>
      <c r="M65" s="805">
        <f t="shared" si="24"/>
        <v>0</v>
      </c>
      <c r="N65" s="1531"/>
      <c r="O65" s="1482"/>
      <c r="P65" s="1485"/>
      <c r="Q65" s="885" t="s">
        <v>95</v>
      </c>
      <c r="R65" s="425"/>
      <c r="S65" s="505" t="s">
        <v>440</v>
      </c>
    </row>
    <row r="66" spans="1:19" ht="27.6" customHeight="1" thickBot="1" x14ac:dyDescent="0.5">
      <c r="A66" s="1451"/>
      <c r="B66" s="1521"/>
      <c r="C66" s="1511"/>
      <c r="D66" s="1510"/>
      <c r="E66" s="1534"/>
      <c r="F66" s="689" t="s">
        <v>54</v>
      </c>
      <c r="G66" s="690">
        <f t="shared" si="25"/>
        <v>0.29761904761904762</v>
      </c>
      <c r="H66" s="971"/>
      <c r="I66" s="972"/>
      <c r="J66" s="973">
        <f t="shared" si="23"/>
        <v>0</v>
      </c>
      <c r="K66" s="974">
        <f>(100-I66)*(6/10)</f>
        <v>60</v>
      </c>
      <c r="L66" s="975">
        <f t="shared" si="19"/>
        <v>60</v>
      </c>
      <c r="M66" s="779">
        <f t="shared" si="24"/>
        <v>0</v>
      </c>
      <c r="N66" s="1532"/>
      <c r="O66" s="1483"/>
      <c r="P66" s="1461"/>
      <c r="Q66" s="976" t="s">
        <v>95</v>
      </c>
      <c r="R66" s="420"/>
      <c r="S66" s="495" t="s">
        <v>463</v>
      </c>
    </row>
    <row r="67" spans="1:19" ht="27" customHeight="1" thickBot="1" x14ac:dyDescent="0.5">
      <c r="B67" s="1466" t="s">
        <v>55</v>
      </c>
      <c r="C67" s="1467"/>
      <c r="D67" s="1467"/>
      <c r="E67" s="1467"/>
      <c r="F67" s="1468"/>
      <c r="G67" s="659"/>
      <c r="H67" s="977"/>
      <c r="I67" s="977"/>
      <c r="J67" s="902"/>
      <c r="K67" s="903"/>
      <c r="L67" s="903"/>
      <c r="M67" s="904"/>
      <c r="N67" s="760">
        <f>N68</f>
        <v>-4.7619047619047623E-3</v>
      </c>
      <c r="O67" s="761">
        <f>O68</f>
        <v>0</v>
      </c>
      <c r="P67" s="762">
        <f>O67/3.571428</f>
        <v>0</v>
      </c>
      <c r="Q67" s="978"/>
      <c r="R67" s="246"/>
      <c r="S67" s="504"/>
    </row>
    <row r="68" spans="1:19" ht="58.5" thickBot="1" x14ac:dyDescent="0.5">
      <c r="A68" s="21">
        <v>17</v>
      </c>
      <c r="B68" s="691" t="s">
        <v>56</v>
      </c>
      <c r="C68" s="692">
        <f>M5</f>
        <v>3.5714285714285716</v>
      </c>
      <c r="D68" s="691" t="s">
        <v>137</v>
      </c>
      <c r="E68" s="692">
        <f>C68</f>
        <v>3.5714285714285716</v>
      </c>
      <c r="F68" s="691" t="s">
        <v>57</v>
      </c>
      <c r="G68" s="693">
        <f>E68/1</f>
        <v>3.5714285714285716</v>
      </c>
      <c r="H68" s="979">
        <v>0.2</v>
      </c>
      <c r="I68" s="980"/>
      <c r="J68" s="981">
        <f>IF(I68=H68,(H68-70),I68-H68)</f>
        <v>-0.2</v>
      </c>
      <c r="K68" s="866">
        <f t="shared" ref="K68" si="26">IF(I68&gt;=70,0,((70-I68)*(6/10)))</f>
        <v>42</v>
      </c>
      <c r="L68" s="982">
        <f>I68-K68</f>
        <v>-42</v>
      </c>
      <c r="M68" s="852">
        <f t="shared" ref="M68" si="27">IF(I68&gt;=70,(1+(H68-70)/70),(J68/K68))</f>
        <v>-4.7619047619047623E-3</v>
      </c>
      <c r="N68" s="983">
        <f>((G68/C68)*M68)</f>
        <v>-4.7619047619047623E-3</v>
      </c>
      <c r="O68" s="854">
        <f>IF(((G68/C68)*M68)&gt;=1,3.571428,IF(((G68/C68)*M68)&lt;=0,0,((G68/C68)*M68)*3.571428))</f>
        <v>0</v>
      </c>
      <c r="P68" s="762">
        <f>O68/3.571428</f>
        <v>0</v>
      </c>
      <c r="Q68" s="984" t="s">
        <v>132</v>
      </c>
      <c r="R68" s="255" t="s">
        <v>511</v>
      </c>
      <c r="S68" s="495"/>
    </row>
    <row r="69" spans="1:19" ht="22.25" customHeight="1" thickBot="1" x14ac:dyDescent="0.5">
      <c r="B69" s="1362" t="s">
        <v>58</v>
      </c>
      <c r="C69" s="1363"/>
      <c r="D69" s="1363"/>
      <c r="E69" s="1363"/>
      <c r="F69" s="1364"/>
      <c r="G69" s="150"/>
      <c r="H69" s="985"/>
      <c r="I69" s="986"/>
      <c r="J69" s="987"/>
      <c r="K69" s="988"/>
      <c r="L69" s="988"/>
      <c r="M69" s="989"/>
      <c r="N69" s="760">
        <f>(N70+N72+N74)/3</f>
        <v>1</v>
      </c>
      <c r="O69" s="761">
        <f>(O70+O72+O74)</f>
        <v>10.714283999999999</v>
      </c>
      <c r="P69" s="762">
        <f>O69/10.714284</f>
        <v>1</v>
      </c>
      <c r="Q69" s="990"/>
      <c r="R69" s="256"/>
      <c r="S69" s="98"/>
    </row>
    <row r="70" spans="1:19" ht="20.45" customHeight="1" thickBot="1" x14ac:dyDescent="0.5">
      <c r="B70" s="1486" t="s">
        <v>59</v>
      </c>
      <c r="C70" s="1487"/>
      <c r="D70" s="1487"/>
      <c r="E70" s="1487"/>
      <c r="F70" s="1488"/>
      <c r="G70" s="633"/>
      <c r="H70" s="991"/>
      <c r="I70" s="992"/>
      <c r="J70" s="813"/>
      <c r="K70" s="813"/>
      <c r="L70" s="813"/>
      <c r="M70" s="993"/>
      <c r="N70" s="760">
        <f>N71</f>
        <v>1</v>
      </c>
      <c r="O70" s="761">
        <f>O71</f>
        <v>3.571428</v>
      </c>
      <c r="P70" s="762">
        <f t="shared" ref="P70:P78" si="28">O70/3.571428</f>
        <v>1</v>
      </c>
      <c r="Q70" s="943"/>
      <c r="R70" s="251"/>
      <c r="S70" s="504"/>
    </row>
    <row r="71" spans="1:19" ht="52.25" customHeight="1" thickBot="1" x14ac:dyDescent="0.5">
      <c r="A71" s="21">
        <v>18</v>
      </c>
      <c r="B71" s="695" t="s">
        <v>60</v>
      </c>
      <c r="C71" s="696">
        <f>M5</f>
        <v>3.5714285714285716</v>
      </c>
      <c r="D71" s="697" t="s">
        <v>138</v>
      </c>
      <c r="E71" s="698">
        <f>C71</f>
        <v>3.5714285714285716</v>
      </c>
      <c r="F71" s="699" t="s">
        <v>61</v>
      </c>
      <c r="G71" s="700">
        <f>E71/1</f>
        <v>3.5714285714285716</v>
      </c>
      <c r="H71" s="994">
        <v>0</v>
      </c>
      <c r="I71" s="980">
        <v>0</v>
      </c>
      <c r="J71" s="995">
        <f>I71-H71</f>
        <v>0</v>
      </c>
      <c r="K71" s="862">
        <f>(0.5*I71)*0.6</f>
        <v>0</v>
      </c>
      <c r="L71" s="982">
        <f>I71-K71</f>
        <v>0</v>
      </c>
      <c r="M71" s="805" t="str">
        <f t="shared" ref="M71" si="29">IF(K71&lt;&gt;0,J71/K71,"100%")</f>
        <v>100%</v>
      </c>
      <c r="N71" s="983">
        <f>((G71/C71)*M71)</f>
        <v>1</v>
      </c>
      <c r="O71" s="854">
        <f>IF(((G71/C71)*M71)&gt;=1,3.571428,IF(((G71/C71)*M71)&lt;=0,0,((G71/C71)*M71)*3.571428))</f>
        <v>3.571428</v>
      </c>
      <c r="P71" s="762">
        <f t="shared" si="28"/>
        <v>1</v>
      </c>
      <c r="Q71" s="996" t="s">
        <v>183</v>
      </c>
      <c r="R71" s="255"/>
      <c r="S71" s="495"/>
    </row>
    <row r="72" spans="1:19" ht="20.45" customHeight="1" thickBot="1" x14ac:dyDescent="0.5">
      <c r="B72" s="1512" t="s">
        <v>277</v>
      </c>
      <c r="C72" s="1513"/>
      <c r="D72" s="1513"/>
      <c r="E72" s="1513"/>
      <c r="F72" s="1515"/>
      <c r="G72" s="651"/>
      <c r="H72" s="997"/>
      <c r="I72" s="886"/>
      <c r="J72" s="870"/>
      <c r="K72" s="871"/>
      <c r="L72" s="871"/>
      <c r="M72" s="872"/>
      <c r="N72" s="760">
        <f>N73</f>
        <v>1</v>
      </c>
      <c r="O72" s="761">
        <f>O73</f>
        <v>3.571428</v>
      </c>
      <c r="P72" s="762">
        <f t="shared" si="28"/>
        <v>1</v>
      </c>
      <c r="Q72" s="998"/>
      <c r="R72" s="251"/>
      <c r="S72" s="504"/>
    </row>
    <row r="73" spans="1:19" ht="45" customHeight="1" thickBot="1" x14ac:dyDescent="0.5">
      <c r="A73" s="21">
        <v>19</v>
      </c>
      <c r="B73" s="701" t="s">
        <v>62</v>
      </c>
      <c r="C73" s="702">
        <f>M5</f>
        <v>3.5714285714285716</v>
      </c>
      <c r="D73" s="703" t="s">
        <v>139</v>
      </c>
      <c r="E73" s="702">
        <f>C73</f>
        <v>3.5714285714285716</v>
      </c>
      <c r="F73" s="704" t="s">
        <v>63</v>
      </c>
      <c r="G73" s="705">
        <f>E73/1</f>
        <v>3.5714285714285716</v>
      </c>
      <c r="H73" s="994">
        <v>0</v>
      </c>
      <c r="I73" s="999">
        <v>0</v>
      </c>
      <c r="J73" s="1000">
        <f>I73-H73</f>
        <v>0</v>
      </c>
      <c r="K73" s="1001">
        <f>IF(H73&gt;0,(H73),I73)</f>
        <v>0</v>
      </c>
      <c r="L73" s="1002">
        <f>I73-K73</f>
        <v>0</v>
      </c>
      <c r="M73" s="805" t="str">
        <f t="shared" ref="M73" si="30">IF(K73&lt;&gt;0,J73/K73,"100%")</f>
        <v>100%</v>
      </c>
      <c r="N73" s="983">
        <f>((G73/C73)*M73)</f>
        <v>1</v>
      </c>
      <c r="O73" s="854">
        <f>IF(((G73/C73)*M73)&gt;=1,3.571428,IF(((G73/C73)*M73)&lt;=0,0,((G73/C73)*M73)*3.571428))</f>
        <v>3.571428</v>
      </c>
      <c r="P73" s="762">
        <f t="shared" si="28"/>
        <v>1</v>
      </c>
      <c r="Q73" s="1003" t="s">
        <v>95</v>
      </c>
      <c r="R73" s="255"/>
      <c r="S73" s="495"/>
    </row>
    <row r="74" spans="1:19" ht="30.6" customHeight="1" thickBot="1" x14ac:dyDescent="0.5">
      <c r="B74" s="1486" t="s">
        <v>64</v>
      </c>
      <c r="C74" s="1487"/>
      <c r="D74" s="1487"/>
      <c r="E74" s="1487"/>
      <c r="F74" s="1488"/>
      <c r="G74" s="634"/>
      <c r="H74" s="991"/>
      <c r="I74" s="992"/>
      <c r="J74" s="813"/>
      <c r="K74" s="813"/>
      <c r="L74" s="813"/>
      <c r="M74" s="904"/>
      <c r="N74" s="760">
        <f>N75</f>
        <v>1</v>
      </c>
      <c r="O74" s="761">
        <f>O75</f>
        <v>3.571428</v>
      </c>
      <c r="P74" s="762">
        <f t="shared" si="28"/>
        <v>1</v>
      </c>
      <c r="Q74" s="943"/>
      <c r="R74" s="251"/>
      <c r="S74" s="504"/>
    </row>
    <row r="75" spans="1:19" ht="29.45" customHeight="1" thickBot="1" x14ac:dyDescent="0.5">
      <c r="A75" s="21">
        <v>20</v>
      </c>
      <c r="B75" s="701" t="s">
        <v>65</v>
      </c>
      <c r="C75" s="648">
        <f>M5</f>
        <v>3.5714285714285716</v>
      </c>
      <c r="D75" s="697" t="s">
        <v>140</v>
      </c>
      <c r="E75" s="706">
        <f>C75</f>
        <v>3.5714285714285716</v>
      </c>
      <c r="F75" s="703" t="s">
        <v>66</v>
      </c>
      <c r="G75" s="700">
        <f>E75/1</f>
        <v>3.5714285714285716</v>
      </c>
      <c r="H75" s="1004">
        <v>1</v>
      </c>
      <c r="I75" s="1005">
        <v>1</v>
      </c>
      <c r="J75" s="939">
        <f>H75-I75</f>
        <v>0</v>
      </c>
      <c r="K75" s="940">
        <f>IF(AND(H75=0,I75=1)," 1",(H75-I75))</f>
        <v>0</v>
      </c>
      <c r="L75" s="1006">
        <f>I75+K75</f>
        <v>1</v>
      </c>
      <c r="M75" s="1007">
        <f>(IF(I75=1,1,(J75/K75)))</f>
        <v>1</v>
      </c>
      <c r="N75" s="983">
        <f>((G75/C75)*M75)</f>
        <v>1</v>
      </c>
      <c r="O75" s="854">
        <f>IF(((G75/C75)*M75)&gt;=1,3.571428,IF(((G75/C75)*M75)&lt;=0,0,((G75/C75)*M75)*3.571428))</f>
        <v>3.571428</v>
      </c>
      <c r="P75" s="762">
        <f t="shared" si="28"/>
        <v>1</v>
      </c>
      <c r="Q75" s="1008" t="s">
        <v>95</v>
      </c>
      <c r="R75" s="509"/>
      <c r="S75" s="510"/>
    </row>
    <row r="76" spans="1:19" ht="20.45" customHeight="1" thickBot="1" x14ac:dyDescent="0.5">
      <c r="B76" s="1544" t="s">
        <v>67</v>
      </c>
      <c r="C76" s="1545"/>
      <c r="D76" s="1545"/>
      <c r="E76" s="1545"/>
      <c r="F76" s="1546"/>
      <c r="G76" s="707"/>
      <c r="H76" s="1009"/>
      <c r="I76" s="1010"/>
      <c r="J76" s="1011"/>
      <c r="K76" s="1012"/>
      <c r="L76" s="1012"/>
      <c r="M76" s="1013"/>
      <c r="N76" s="760">
        <f t="shared" ref="N76:O77" si="31">N77</f>
        <v>0</v>
      </c>
      <c r="O76" s="761">
        <f t="shared" si="31"/>
        <v>0</v>
      </c>
      <c r="P76" s="762">
        <f t="shared" si="28"/>
        <v>0</v>
      </c>
      <c r="Q76" s="1014"/>
      <c r="R76" s="257"/>
      <c r="S76" s="511"/>
    </row>
    <row r="77" spans="1:19" ht="20.45" customHeight="1" thickBot="1" x14ac:dyDescent="0.5">
      <c r="B77" s="1486" t="s">
        <v>68</v>
      </c>
      <c r="C77" s="1487"/>
      <c r="D77" s="1487"/>
      <c r="E77" s="1487"/>
      <c r="F77" s="1488"/>
      <c r="G77" s="633"/>
      <c r="H77" s="991"/>
      <c r="I77" s="992"/>
      <c r="J77" s="830"/>
      <c r="K77" s="831"/>
      <c r="L77" s="831"/>
      <c r="M77" s="814"/>
      <c r="N77" s="760">
        <f t="shared" si="31"/>
        <v>0</v>
      </c>
      <c r="O77" s="761">
        <f t="shared" si="31"/>
        <v>0</v>
      </c>
      <c r="P77" s="762">
        <f t="shared" si="28"/>
        <v>0</v>
      </c>
      <c r="Q77" s="943"/>
      <c r="R77" s="251"/>
      <c r="S77" s="496"/>
    </row>
    <row r="78" spans="1:19" ht="35.25" thickBot="1" x14ac:dyDescent="0.5">
      <c r="A78" s="21">
        <v>21</v>
      </c>
      <c r="B78" s="701" t="s">
        <v>69</v>
      </c>
      <c r="C78" s="706">
        <f>M5</f>
        <v>3.5714285714285716</v>
      </c>
      <c r="D78" s="708" t="s">
        <v>141</v>
      </c>
      <c r="E78" s="706">
        <f>C78</f>
        <v>3.5714285714285716</v>
      </c>
      <c r="F78" s="708" t="s">
        <v>70</v>
      </c>
      <c r="G78" s="692">
        <f>E78/1</f>
        <v>3.5714285714285716</v>
      </c>
      <c r="H78" s="994"/>
      <c r="I78" s="980"/>
      <c r="J78" s="981">
        <f>IF(I78=H78,(H78-60),H78-I78)</f>
        <v>-60</v>
      </c>
      <c r="K78" s="866">
        <f>IF(I78&gt;=60,0,((60-I78)*(6/10)))</f>
        <v>36</v>
      </c>
      <c r="L78" s="982">
        <f t="shared" ref="L78" si="32">K78+I78</f>
        <v>36</v>
      </c>
      <c r="M78" s="852">
        <f>IF(I78&gt;=60,(1+(H78-60)/60),(H78/L78))</f>
        <v>0</v>
      </c>
      <c r="N78" s="983">
        <f>((G78/C78)*M78)</f>
        <v>0</v>
      </c>
      <c r="O78" s="854">
        <f>IF(((G78/C78)*M78)&gt;=1,3.571428,IF(((G78/C78)*M78)&lt;=0,0,((G78/C78)*M78)*3.571428))</f>
        <v>0</v>
      </c>
      <c r="P78" s="762">
        <f t="shared" si="28"/>
        <v>0</v>
      </c>
      <c r="Q78" s="1015" t="s">
        <v>95</v>
      </c>
      <c r="R78" s="255"/>
      <c r="S78" s="750" t="s">
        <v>463</v>
      </c>
    </row>
    <row r="79" spans="1:19" ht="21.6" customHeight="1" thickBot="1" x14ac:dyDescent="0.5">
      <c r="B79" s="1539" t="s">
        <v>71</v>
      </c>
      <c r="C79" s="1540"/>
      <c r="D79" s="1540"/>
      <c r="E79" s="1540"/>
      <c r="F79" s="1541"/>
      <c r="G79" s="707"/>
      <c r="H79" s="1009"/>
      <c r="I79" s="1010"/>
      <c r="J79" s="1016"/>
      <c r="K79" s="1017"/>
      <c r="L79" s="1017"/>
      <c r="M79" s="1013"/>
      <c r="N79" s="760">
        <f>(N80+N86)/2</f>
        <v>-3.0762794632276198</v>
      </c>
      <c r="O79" s="761">
        <f>(O80+O86)</f>
        <v>3.571428</v>
      </c>
      <c r="P79" s="762">
        <f>O79/10.714284</f>
        <v>0.33333333333333337</v>
      </c>
      <c r="Q79" s="1014"/>
      <c r="R79" s="257"/>
      <c r="S79" s="503"/>
    </row>
    <row r="80" spans="1:19" ht="20.45" customHeight="1" thickBot="1" x14ac:dyDescent="0.5">
      <c r="B80" s="1466" t="s">
        <v>72</v>
      </c>
      <c r="C80" s="1467"/>
      <c r="D80" s="1467"/>
      <c r="E80" s="1467"/>
      <c r="F80" s="1468"/>
      <c r="G80" s="673"/>
      <c r="H80" s="1018"/>
      <c r="I80" s="1019"/>
      <c r="J80" s="813"/>
      <c r="K80" s="813"/>
      <c r="L80" s="813"/>
      <c r="M80" s="832"/>
      <c r="N80" s="760">
        <f>(N81+N83)/2</f>
        <v>1.3342135603172458</v>
      </c>
      <c r="O80" s="761">
        <f>(O81+O83)</f>
        <v>3.571428</v>
      </c>
      <c r="P80" s="762">
        <f>O80/7.142856</f>
        <v>0.5</v>
      </c>
      <c r="Q80" s="1020"/>
      <c r="R80" s="248"/>
      <c r="S80" s="496"/>
    </row>
    <row r="81" spans="1:19" ht="46.9" thickBot="1" x14ac:dyDescent="0.5">
      <c r="A81" s="21"/>
      <c r="B81" s="1542" t="s">
        <v>73</v>
      </c>
      <c r="C81" s="1473">
        <f>M5</f>
        <v>3.5714285714285716</v>
      </c>
      <c r="D81" s="635" t="s">
        <v>267</v>
      </c>
      <c r="E81" s="604">
        <f>$C$81/2</f>
        <v>1.7857142857142858</v>
      </c>
      <c r="F81" s="674" t="s">
        <v>278</v>
      </c>
      <c r="G81" s="628">
        <f>E81/1</f>
        <v>1.7857142857142858</v>
      </c>
      <c r="H81" s="962">
        <v>40</v>
      </c>
      <c r="I81" s="963"/>
      <c r="J81" s="908">
        <f>IF(I81=H81,(H81-50),H81-I81)</f>
        <v>40</v>
      </c>
      <c r="K81" s="798">
        <f>IF(I81&gt;=50,0,((50-I81)*(6/10)))</f>
        <v>30</v>
      </c>
      <c r="L81" s="1021">
        <f>I81+K81</f>
        <v>30</v>
      </c>
      <c r="M81" s="779" t="str">
        <f>IF(I81=0,"0%",J81/K81)</f>
        <v>0%</v>
      </c>
      <c r="N81" s="1530">
        <f>(((G81/C81)*M81)+((G82/C81)*M82))</f>
        <v>0</v>
      </c>
      <c r="O81" s="1458">
        <f>IF((((G81/C81)*M81)+((G82/C81)*M82))&gt;=1,3.57148,IF((((G81/C81)*M81)+((G82/C81)*M82))&lt;=0,0, (((G81/C81)*M81)+((G82/C81)*M82))*3.571428))</f>
        <v>0</v>
      </c>
      <c r="P81" s="1460">
        <f>O81/3.571428</f>
        <v>0</v>
      </c>
      <c r="Q81" s="1022" t="s">
        <v>279</v>
      </c>
      <c r="R81" s="494"/>
      <c r="S81" s="495" t="s">
        <v>463</v>
      </c>
    </row>
    <row r="82" spans="1:19" ht="39.6" customHeight="1" thickBot="1" x14ac:dyDescent="0.5">
      <c r="A82" s="21"/>
      <c r="B82" s="1543"/>
      <c r="C82" s="1355"/>
      <c r="D82" s="643" t="s">
        <v>268</v>
      </c>
      <c r="E82" s="612">
        <f>$C$81/2</f>
        <v>1.7857142857142858</v>
      </c>
      <c r="F82" s="644" t="s">
        <v>74</v>
      </c>
      <c r="G82" s="632">
        <f>E82/1</f>
        <v>1.7857142857142858</v>
      </c>
      <c r="H82" s="1023">
        <v>35</v>
      </c>
      <c r="I82" s="1024"/>
      <c r="J82" s="1025">
        <f>IF(I82=H82,(H82-30),H82-I82)</f>
        <v>35</v>
      </c>
      <c r="K82" s="810">
        <f>IF(I82&gt;=30,0,((30-I82)*(6/10)))</f>
        <v>18</v>
      </c>
      <c r="L82" s="1026">
        <f t="shared" ref="L82" si="33">K82+I82</f>
        <v>18</v>
      </c>
      <c r="M82" s="779" t="str">
        <f>IF(I82=0,"0%",J82/K82)</f>
        <v>0%</v>
      </c>
      <c r="N82" s="1532"/>
      <c r="O82" s="1459"/>
      <c r="P82" s="1461"/>
      <c r="Q82" s="1027" t="s">
        <v>282</v>
      </c>
      <c r="R82" s="499"/>
      <c r="S82" s="512" t="s">
        <v>500</v>
      </c>
    </row>
    <row r="83" spans="1:19" ht="60" customHeight="1" x14ac:dyDescent="0.45">
      <c r="A83" s="21"/>
      <c r="B83" s="1555" t="s">
        <v>142</v>
      </c>
      <c r="C83" s="1557">
        <f>M5</f>
        <v>3.5714285714285716</v>
      </c>
      <c r="D83" s="709" t="s">
        <v>145</v>
      </c>
      <c r="E83" s="604">
        <f>$C$81/3</f>
        <v>1.1904761904761905</v>
      </c>
      <c r="F83" s="635" t="s">
        <v>143</v>
      </c>
      <c r="G83" s="604">
        <f>E83/1</f>
        <v>1.1904761904761905</v>
      </c>
      <c r="H83" s="1028">
        <v>15.4</v>
      </c>
      <c r="I83" s="1029">
        <v>39.6</v>
      </c>
      <c r="J83" s="1030">
        <f>I83-H83</f>
        <v>24.200000000000003</v>
      </c>
      <c r="K83" s="894">
        <f>(0.2*I83)*(6/10)</f>
        <v>4.7520000000000007</v>
      </c>
      <c r="L83" s="1031">
        <f>I83-K83</f>
        <v>34.847999999999999</v>
      </c>
      <c r="M83" s="772">
        <f>IF(K83&lt;&gt;0,J83/K83,"0%")</f>
        <v>5.0925925925925926</v>
      </c>
      <c r="N83" s="1560">
        <f>(((G83/C83)*M83)+((G84/C83)*M84)+((G85/C83)*M85))</f>
        <v>2.6684271206344916</v>
      </c>
      <c r="O83" s="1484">
        <f>IF((((G83/C83)*M83)+((G84/C83)*M84)+((G85/C83)*M85))&gt;=1,3.571428,IF((((G83/C83)*M83)+((G84/C83)*M84)+((G85/C83)*M85))&lt;=0,0,(((G83/C83)*M83)+((G84/C83)*M84)+((G85/C83)*M85))*3.571428))</f>
        <v>3.571428</v>
      </c>
      <c r="P83" s="1460">
        <f>O83/3.571428</f>
        <v>1</v>
      </c>
      <c r="Q83" s="1032" t="s">
        <v>184</v>
      </c>
      <c r="R83" s="513" t="s">
        <v>430</v>
      </c>
      <c r="S83" s="502" t="s">
        <v>441</v>
      </c>
    </row>
    <row r="84" spans="1:19" ht="45" customHeight="1" x14ac:dyDescent="0.45">
      <c r="A84" s="21"/>
      <c r="B84" s="1555"/>
      <c r="C84" s="1558"/>
      <c r="D84" s="710" t="s">
        <v>146</v>
      </c>
      <c r="E84" s="638">
        <f t="shared" ref="E84:E85" si="34">$C$81/3</f>
        <v>1.1904761904761905</v>
      </c>
      <c r="F84" s="679" t="s">
        <v>283</v>
      </c>
      <c r="G84" s="638">
        <f>E84/1</f>
        <v>1.1904761904761905</v>
      </c>
      <c r="H84" s="800">
        <v>0.3</v>
      </c>
      <c r="I84" s="801">
        <v>1.4</v>
      </c>
      <c r="J84" s="1033">
        <f>I84-H84</f>
        <v>1.0999999999999999</v>
      </c>
      <c r="K84" s="894">
        <f>(0.5*I84)*(6/10)</f>
        <v>0.42</v>
      </c>
      <c r="L84" s="1034">
        <f>I84-K84</f>
        <v>0.98</v>
      </c>
      <c r="M84" s="793">
        <f>IF(H84&lt;=0,100%, IF(K84&lt;&gt;0,J84/K84,"0%"))</f>
        <v>2.6190476190476186</v>
      </c>
      <c r="N84" s="1561"/>
      <c r="O84" s="1482"/>
      <c r="P84" s="1485"/>
      <c r="Q84" s="1035" t="s">
        <v>185</v>
      </c>
      <c r="R84" s="428" t="s">
        <v>430</v>
      </c>
      <c r="S84" s="507" t="s">
        <v>442</v>
      </c>
    </row>
    <row r="85" spans="1:19" ht="38.450000000000003" customHeight="1" thickBot="1" x14ac:dyDescent="0.5">
      <c r="A85" s="21"/>
      <c r="B85" s="1556"/>
      <c r="C85" s="1559"/>
      <c r="D85" s="711" t="s">
        <v>147</v>
      </c>
      <c r="E85" s="612">
        <f t="shared" si="34"/>
        <v>1.1904761904761905</v>
      </c>
      <c r="F85" s="644" t="s">
        <v>144</v>
      </c>
      <c r="G85" s="612">
        <f>E85/1</f>
        <v>1.1904761904761905</v>
      </c>
      <c r="H85" s="825">
        <v>32.200000000000003</v>
      </c>
      <c r="I85" s="826">
        <v>17.7</v>
      </c>
      <c r="J85" s="1036">
        <f>H85-I85</f>
        <v>14.500000000000004</v>
      </c>
      <c r="K85" s="1037">
        <f>(100-I85)*(6/10)</f>
        <v>49.379999999999995</v>
      </c>
      <c r="L85" s="1038">
        <f>I85+K85</f>
        <v>67.08</v>
      </c>
      <c r="M85" s="779">
        <f>IF(H85&gt;=100,167%, IF(K85&lt;&gt;0,J85/K85,"0%"))</f>
        <v>0.29364115026326459</v>
      </c>
      <c r="N85" s="1562"/>
      <c r="O85" s="1483"/>
      <c r="P85" s="1461"/>
      <c r="Q85" s="1039" t="s">
        <v>284</v>
      </c>
      <c r="R85" s="514" t="s">
        <v>430</v>
      </c>
      <c r="S85" s="515" t="s">
        <v>443</v>
      </c>
    </row>
    <row r="86" spans="1:19" ht="20.45" customHeight="1" thickBot="1" x14ac:dyDescent="0.5">
      <c r="B86" s="1547" t="s">
        <v>75</v>
      </c>
      <c r="C86" s="1548"/>
      <c r="D86" s="1548"/>
      <c r="E86" s="1548"/>
      <c r="F86" s="1549"/>
      <c r="G86" s="694"/>
      <c r="H86" s="1040"/>
      <c r="I86" s="1041"/>
      <c r="J86" s="1042"/>
      <c r="K86" s="1043"/>
      <c r="L86" s="1043"/>
      <c r="M86" s="832"/>
      <c r="N86" s="760">
        <f>N87</f>
        <v>-7.4867724867724856</v>
      </c>
      <c r="O86" s="761">
        <f>O87</f>
        <v>0</v>
      </c>
      <c r="P86" s="762">
        <f>O86/3.571428</f>
        <v>0</v>
      </c>
      <c r="Q86" s="903"/>
      <c r="R86" s="251"/>
      <c r="S86" s="496"/>
    </row>
    <row r="87" spans="1:19" ht="27.6" customHeight="1" thickBot="1" x14ac:dyDescent="0.5">
      <c r="A87" s="1492">
        <v>24</v>
      </c>
      <c r="B87" s="1550" t="s">
        <v>76</v>
      </c>
      <c r="C87" s="1552">
        <f>M5</f>
        <v>3.5714285714285716</v>
      </c>
      <c r="D87" s="654" t="s">
        <v>159</v>
      </c>
      <c r="E87" s="655">
        <f>($C$87/3)</f>
        <v>1.1904761904761905</v>
      </c>
      <c r="F87" s="712" t="s">
        <v>285</v>
      </c>
      <c r="G87" s="713">
        <f>E87/1</f>
        <v>1.1904761904761905</v>
      </c>
      <c r="H87" s="1044">
        <v>9.6999999999999993</v>
      </c>
      <c r="I87" s="1045">
        <v>2.1</v>
      </c>
      <c r="J87" s="1046">
        <f>I87-H87</f>
        <v>-7.6</v>
      </c>
      <c r="K87" s="1047">
        <f>(0.25*I87)*(6/10)</f>
        <v>0.315</v>
      </c>
      <c r="L87" s="1048">
        <f>I87-K87</f>
        <v>1.7850000000000001</v>
      </c>
      <c r="M87" s="772">
        <f>IF(K87&lt;&gt;0,J87/K87,"0%")</f>
        <v>-24.126984126984127</v>
      </c>
      <c r="N87" s="1498">
        <f>(((G87/C87)*M87)+((G88/C87)*M88)+((G89/C87)*M89)+((G90/C87)*M90)+((G91/C87)*M91))</f>
        <v>-7.4867724867724856</v>
      </c>
      <c r="O87" s="1484">
        <f>IF((((G87/C87)*M87)+((G88/C87)*M88)+((G89/C87)*M89)+((G90/C87)*M90)+((G91/C87)*M91))&gt;=1,3.571428,IF((((G87/C87)*M87)+((G88/C87)*M88)+((G89/C87)*M89)+((G90/C87)*M90)+((G91/C87)*M91))&lt;=0,0,((((G87/C87)*M87)+((G88/C87)*M88)+((G89/C87)*M89)+((G90/C87)*M90)+((G91/C87)*M91))*3.571428)))</f>
        <v>0</v>
      </c>
      <c r="P87" s="1460">
        <f>O87/3.571428</f>
        <v>0</v>
      </c>
      <c r="Q87" s="1049" t="s">
        <v>186</v>
      </c>
      <c r="R87" s="516" t="s">
        <v>444</v>
      </c>
      <c r="S87" s="517" t="s">
        <v>512</v>
      </c>
    </row>
    <row r="88" spans="1:19" ht="25.8" customHeight="1" x14ac:dyDescent="0.45">
      <c r="A88" s="1492"/>
      <c r="B88" s="1550"/>
      <c r="C88" s="1553"/>
      <c r="D88" s="1563" t="s">
        <v>160</v>
      </c>
      <c r="E88" s="1564">
        <f>C87/3</f>
        <v>1.1904761904761905</v>
      </c>
      <c r="F88" s="639" t="s">
        <v>77</v>
      </c>
      <c r="G88" s="714">
        <f>$E$88/3</f>
        <v>0.3968253968253968</v>
      </c>
      <c r="H88" s="800"/>
      <c r="I88" s="801"/>
      <c r="J88" s="1050">
        <f>I88-H88</f>
        <v>0</v>
      </c>
      <c r="K88" s="1051">
        <f>I88*(6/10)</f>
        <v>0</v>
      </c>
      <c r="L88" s="1052">
        <f>I88-K88</f>
        <v>0</v>
      </c>
      <c r="M88" s="805" t="str">
        <f>IF(K88&lt;&gt;0,J88/K88,"0%")</f>
        <v>0%</v>
      </c>
      <c r="N88" s="1479"/>
      <c r="O88" s="1482"/>
      <c r="P88" s="1485"/>
      <c r="Q88" s="1053" t="s">
        <v>187</v>
      </c>
      <c r="R88" s="518"/>
      <c r="S88" s="519" t="s">
        <v>463</v>
      </c>
    </row>
    <row r="89" spans="1:19" ht="59.65" customHeight="1" x14ac:dyDescent="0.45">
      <c r="A89" s="1492"/>
      <c r="B89" s="1550"/>
      <c r="C89" s="1553"/>
      <c r="D89" s="1563"/>
      <c r="E89" s="1564"/>
      <c r="F89" s="639" t="s">
        <v>78</v>
      </c>
      <c r="G89" s="714">
        <f>$E$88/3</f>
        <v>0.3968253968253968</v>
      </c>
      <c r="H89" s="800"/>
      <c r="I89" s="801"/>
      <c r="J89" s="1050">
        <f>I89-H89</f>
        <v>0</v>
      </c>
      <c r="K89" s="1051">
        <f>I89*(6/10)</f>
        <v>0</v>
      </c>
      <c r="L89" s="1052">
        <f>I89-K89</f>
        <v>0</v>
      </c>
      <c r="M89" s="805" t="str">
        <f>IF(K89&lt;&gt;0,J89/K89,"0%")</f>
        <v>0%</v>
      </c>
      <c r="N89" s="1479"/>
      <c r="O89" s="1482"/>
      <c r="P89" s="1485"/>
      <c r="Q89" s="1053" t="s">
        <v>188</v>
      </c>
      <c r="R89" s="520"/>
      <c r="S89" s="458" t="s">
        <v>463</v>
      </c>
    </row>
    <row r="90" spans="1:19" ht="26.45" customHeight="1" thickBot="1" x14ac:dyDescent="0.5">
      <c r="A90" s="1492"/>
      <c r="B90" s="1550"/>
      <c r="C90" s="1553"/>
      <c r="D90" s="1563"/>
      <c r="E90" s="1564"/>
      <c r="F90" s="639" t="s">
        <v>79</v>
      </c>
      <c r="G90" s="714">
        <f>$E$88/3</f>
        <v>0.3968253968253968</v>
      </c>
      <c r="H90" s="823"/>
      <c r="I90" s="824"/>
      <c r="J90" s="1050">
        <f>I90-H90</f>
        <v>0</v>
      </c>
      <c r="K90" s="1054">
        <f>(I90)*(6/10)</f>
        <v>0</v>
      </c>
      <c r="L90" s="1055">
        <f>I90-K90</f>
        <v>0</v>
      </c>
      <c r="M90" s="779" t="str">
        <f>IF(I90=0,"0%",J90/K90)</f>
        <v>0%</v>
      </c>
      <c r="N90" s="1479"/>
      <c r="O90" s="1482"/>
      <c r="P90" s="1485"/>
      <c r="Q90" s="1056" t="s">
        <v>189</v>
      </c>
      <c r="R90" s="520"/>
      <c r="S90" s="458" t="s">
        <v>463</v>
      </c>
    </row>
    <row r="91" spans="1:19" ht="40.799999999999997" customHeight="1" thickBot="1" x14ac:dyDescent="0.5">
      <c r="A91" s="1492"/>
      <c r="B91" s="1551"/>
      <c r="C91" s="1554"/>
      <c r="D91" s="631" t="s">
        <v>161</v>
      </c>
      <c r="E91" s="612">
        <f>$C$87/3</f>
        <v>1.1904761904761905</v>
      </c>
      <c r="F91" s="715" t="s">
        <v>80</v>
      </c>
      <c r="G91" s="716">
        <f>E91/1</f>
        <v>1.1904761904761905</v>
      </c>
      <c r="H91" s="807">
        <v>100</v>
      </c>
      <c r="I91" s="808">
        <v>100</v>
      </c>
      <c r="J91" s="1057">
        <f>H91-I91</f>
        <v>0</v>
      </c>
      <c r="K91" s="1037">
        <f>(100-I91)*(6/10)</f>
        <v>0</v>
      </c>
      <c r="L91" s="1058">
        <f>I91+K91</f>
        <v>100</v>
      </c>
      <c r="M91" s="779">
        <f>IF(I91&gt;=60,(1+(H91-60)/60),(H91/L91))</f>
        <v>1.6666666666666665</v>
      </c>
      <c r="N91" s="1480"/>
      <c r="O91" s="1483"/>
      <c r="P91" s="1461"/>
      <c r="Q91" s="1059" t="s">
        <v>95</v>
      </c>
      <c r="R91" s="521"/>
      <c r="S91" s="512"/>
    </row>
    <row r="92" spans="1:19" ht="14.65" thickBot="1" x14ac:dyDescent="0.5">
      <c r="B92" s="1322" t="s">
        <v>81</v>
      </c>
      <c r="C92" s="1323"/>
      <c r="D92" s="1323"/>
      <c r="E92" s="1323"/>
      <c r="F92" s="1324"/>
      <c r="G92" s="11"/>
      <c r="H92" s="1009"/>
      <c r="I92" s="1010"/>
      <c r="J92" s="1011"/>
      <c r="K92" s="1012"/>
      <c r="L92" s="1012"/>
      <c r="M92" s="1060"/>
      <c r="N92" s="760">
        <f>(N93+N97)/2</f>
        <v>0.50309543712991989</v>
      </c>
      <c r="O92" s="761">
        <f>(O93+O97)</f>
        <v>6.0187107850282136</v>
      </c>
      <c r="P92" s="762">
        <f>O92/14.285712</f>
        <v>0.42130982236154652</v>
      </c>
      <c r="Q92" s="921"/>
      <c r="R92" s="250"/>
      <c r="S92" s="503"/>
    </row>
    <row r="93" spans="1:19" ht="20.45" customHeight="1" thickBot="1" x14ac:dyDescent="0.5">
      <c r="B93" s="1466" t="s">
        <v>82</v>
      </c>
      <c r="C93" s="1467"/>
      <c r="D93" s="1467"/>
      <c r="E93" s="1467"/>
      <c r="F93" s="1468"/>
      <c r="G93" s="633"/>
      <c r="H93" s="991"/>
      <c r="I93" s="992"/>
      <c r="J93" s="831"/>
      <c r="K93" s="831"/>
      <c r="L93" s="831"/>
      <c r="M93" s="832"/>
      <c r="N93" s="760">
        <f>N94</f>
        <v>0.66666666666666663</v>
      </c>
      <c r="O93" s="761">
        <f>O94</f>
        <v>2.3809519999999997</v>
      </c>
      <c r="P93" s="762">
        <f>O93/3.571428</f>
        <v>0.66666666666666663</v>
      </c>
      <c r="Q93" s="905"/>
      <c r="R93" s="248"/>
      <c r="S93" s="504"/>
    </row>
    <row r="94" spans="1:19" ht="34.799999999999997" customHeight="1" thickBot="1" x14ac:dyDescent="0.5">
      <c r="A94" s="1451">
        <v>25</v>
      </c>
      <c r="B94" s="1469" t="s">
        <v>83</v>
      </c>
      <c r="C94" s="1565">
        <f>M5</f>
        <v>3.5714285714285716</v>
      </c>
      <c r="D94" s="1509" t="s">
        <v>214</v>
      </c>
      <c r="E94" s="660">
        <f>$C$94/3</f>
        <v>1.1904761904761905</v>
      </c>
      <c r="F94" s="635" t="s">
        <v>269</v>
      </c>
      <c r="G94" s="718">
        <f>E94/1</f>
        <v>1.1904761904761905</v>
      </c>
      <c r="H94" s="795">
        <v>100</v>
      </c>
      <c r="I94" s="1061">
        <v>100</v>
      </c>
      <c r="J94" s="1062">
        <f>H94-I94</f>
        <v>0</v>
      </c>
      <c r="K94" s="1063">
        <f>(100-I94)*(6/10)</f>
        <v>0</v>
      </c>
      <c r="L94" s="1064">
        <f>I94+K94</f>
        <v>100</v>
      </c>
      <c r="M94" s="772" t="str">
        <f>IF(K94&lt;&gt;0,J94/K94,"100%")</f>
        <v>100%</v>
      </c>
      <c r="N94" s="1530">
        <f>(((G94/C94)*M94)+((G95/C94)*M95)+((G96/C94)*M96))</f>
        <v>0.66666666666666663</v>
      </c>
      <c r="O94" s="1484">
        <f>IF((((G94/C94)*M94)+((G95/C94)*M95)+((G96/C94)*M96))&gt;=1,3.571428,IF((((G94/C94)*M94)+((G95/C94)*M95)+((G96/C94)*M96))&lt;=0,0,(((G94/C94)*M94)+((G95/C94)*M95)+((G96/C94)*M96))*3.571428))</f>
        <v>2.3809519999999997</v>
      </c>
      <c r="P94" s="1460">
        <f>O94/3.571428</f>
        <v>0.66666666666666663</v>
      </c>
      <c r="Q94" s="1065" t="s">
        <v>190</v>
      </c>
      <c r="R94" s="241"/>
      <c r="S94" s="489"/>
    </row>
    <row r="95" spans="1:19" ht="39.6" customHeight="1" thickBot="1" x14ac:dyDescent="0.5">
      <c r="A95" s="1451"/>
      <c r="B95" s="1470"/>
      <c r="C95" s="1566"/>
      <c r="D95" s="1503"/>
      <c r="E95" s="719">
        <f t="shared" ref="E95:E96" si="35">$C$94/3</f>
        <v>1.1904761904761905</v>
      </c>
      <c r="F95" s="679" t="s">
        <v>270</v>
      </c>
      <c r="G95" s="714">
        <f>E95/1</f>
        <v>1.1904761904761905</v>
      </c>
      <c r="H95" s="800"/>
      <c r="I95" s="1066"/>
      <c r="J95" s="1050">
        <f>IF(AND(I95&gt;1,(H95-I95=0)),(H95-1),(H95-I95))</f>
        <v>0</v>
      </c>
      <c r="K95" s="883">
        <f>IF(AND(I95&gt;=1,H95&gt;=1),"0",((1-I95)*(6/10)))</f>
        <v>0.6</v>
      </c>
      <c r="L95" s="1067">
        <f t="shared" ref="L95:L96" si="36">I95+K95</f>
        <v>0.6</v>
      </c>
      <c r="M95" s="805">
        <f>IF(I95&gt;=1,(1+(H95-1)/1),(J95/K95))</f>
        <v>0</v>
      </c>
      <c r="N95" s="1531"/>
      <c r="O95" s="1482"/>
      <c r="P95" s="1485"/>
      <c r="Q95" s="1068" t="s">
        <v>191</v>
      </c>
      <c r="R95" s="247" t="s">
        <v>374</v>
      </c>
      <c r="S95" s="505" t="s">
        <v>434</v>
      </c>
    </row>
    <row r="96" spans="1:19" ht="41.45" customHeight="1" thickBot="1" x14ac:dyDescent="0.5">
      <c r="A96" s="1451"/>
      <c r="B96" s="1521"/>
      <c r="C96" s="1567"/>
      <c r="D96" s="1510"/>
      <c r="E96" s="661">
        <f t="shared" si="35"/>
        <v>1.1904761904761905</v>
      </c>
      <c r="F96" s="643" t="s">
        <v>84</v>
      </c>
      <c r="G96" s="716">
        <f>E96/1</f>
        <v>1.1904761904761905</v>
      </c>
      <c r="H96" s="825">
        <v>100</v>
      </c>
      <c r="I96" s="1069">
        <v>100</v>
      </c>
      <c r="J96" s="1057">
        <f>H96-I96</f>
        <v>0</v>
      </c>
      <c r="K96" s="1037">
        <f>(100-I96)*(6/10)</f>
        <v>0</v>
      </c>
      <c r="L96" s="1058">
        <f t="shared" si="36"/>
        <v>100</v>
      </c>
      <c r="M96" s="779" t="str">
        <f>IF(K96&lt;&gt;0,J96/K96,"100%")</f>
        <v>100%</v>
      </c>
      <c r="N96" s="1532"/>
      <c r="O96" s="1483"/>
      <c r="P96" s="1461"/>
      <c r="Q96" s="1070" t="s">
        <v>95</v>
      </c>
      <c r="R96" s="249"/>
      <c r="S96" s="522"/>
    </row>
    <row r="97" spans="1:19" ht="18" customHeight="1" thickBot="1" x14ac:dyDescent="0.5">
      <c r="B97" s="1568" t="s">
        <v>85</v>
      </c>
      <c r="C97" s="1569"/>
      <c r="D97" s="1569"/>
      <c r="E97" s="1569"/>
      <c r="F97" s="1570"/>
      <c r="G97" s="720"/>
      <c r="H97" s="1071"/>
      <c r="I97" s="1072"/>
      <c r="J97" s="1071"/>
      <c r="K97" s="1073"/>
      <c r="L97" s="1073"/>
      <c r="M97" s="1074"/>
      <c r="N97" s="1075">
        <f>(N98+N99+N100)/3</f>
        <v>0.33952420759317309</v>
      </c>
      <c r="O97" s="1076">
        <f>(O98+O99+O100)</f>
        <v>3.6377587850282134</v>
      </c>
      <c r="P97" s="762">
        <f>O97/10.714284</f>
        <v>0.33952420759317314</v>
      </c>
      <c r="Q97" s="1072"/>
      <c r="R97" s="248"/>
      <c r="S97" s="496"/>
    </row>
    <row r="98" spans="1:19" ht="29.45" customHeight="1" thickBot="1" x14ac:dyDescent="0.5">
      <c r="A98" s="21">
        <v>26</v>
      </c>
      <c r="B98" s="645" t="s">
        <v>86</v>
      </c>
      <c r="C98" s="646">
        <f>$M$5</f>
        <v>3.5714285714285716</v>
      </c>
      <c r="D98" s="645" t="s">
        <v>215</v>
      </c>
      <c r="E98" s="646">
        <f>C98/1</f>
        <v>3.5714285714285716</v>
      </c>
      <c r="F98" s="695" t="s">
        <v>291</v>
      </c>
      <c r="G98" s="646">
        <f>E98/1</f>
        <v>3.5714285714285716</v>
      </c>
      <c r="H98" s="1077"/>
      <c r="I98" s="1078"/>
      <c r="J98" s="1079">
        <f>IF(I98=H98,(H98-10),H98-I98)</f>
        <v>-10</v>
      </c>
      <c r="K98" s="866">
        <f>IF(I98&gt;=10,0,((10-I98)*(6/10)))</f>
        <v>6</v>
      </c>
      <c r="L98" s="982">
        <f>I98+K98</f>
        <v>6</v>
      </c>
      <c r="M98" s="779" t="str">
        <f>IF(I98=0,"0%",J98/K98)</f>
        <v>0%</v>
      </c>
      <c r="N98" s="983">
        <f>((G98/C98)*M98)</f>
        <v>0</v>
      </c>
      <c r="O98" s="854">
        <f>IF(((G98/C98)*M98)&gt;=1,3.571428,IF(((G98/C98)*M98)&lt;=0,0,((G98/C98)*M98)*3.571428))</f>
        <v>0</v>
      </c>
      <c r="P98" s="762">
        <f>O98/3.571428</f>
        <v>0</v>
      </c>
      <c r="Q98" s="1080" t="s">
        <v>95</v>
      </c>
      <c r="R98" s="257"/>
      <c r="S98" s="495"/>
    </row>
    <row r="99" spans="1:19" ht="35.25" thickBot="1" x14ac:dyDescent="0.5">
      <c r="A99" s="21">
        <v>27</v>
      </c>
      <c r="B99" s="645" t="s">
        <v>87</v>
      </c>
      <c r="C99" s="646">
        <f>$M$5</f>
        <v>3.5714285714285716</v>
      </c>
      <c r="D99" s="645" t="s">
        <v>216</v>
      </c>
      <c r="E99" s="646">
        <f>C99/1</f>
        <v>3.5714285714285716</v>
      </c>
      <c r="F99" s="695" t="s">
        <v>271</v>
      </c>
      <c r="G99" s="646">
        <f>E99/1</f>
        <v>3.5714285714285716</v>
      </c>
      <c r="H99" s="1077">
        <v>12.6</v>
      </c>
      <c r="I99" s="1078">
        <v>11.2</v>
      </c>
      <c r="J99" s="1079">
        <f>IF(I99=H99,(H99-75),H99-I99)</f>
        <v>1.4000000000000004</v>
      </c>
      <c r="K99" s="866">
        <f>IF(I99&gt;=75,0,((75-I99)*(6/10)))</f>
        <v>38.279999999999994</v>
      </c>
      <c r="L99" s="1006">
        <f>I99+K99</f>
        <v>49.47999999999999</v>
      </c>
      <c r="M99" s="1081">
        <f>IF(I99&gt;=75,(1+(H99-75)/75),(J99/K99))</f>
        <v>3.6572622779519344E-2</v>
      </c>
      <c r="N99" s="983">
        <f>((G99/C99)*M99)</f>
        <v>3.6572622779519344E-2</v>
      </c>
      <c r="O99" s="854">
        <f>IF(((G99/C99)*M99)&gt;=1,3.571428,IF(((G99/C99)*M99)&lt;=0,0,((G99/C99)*M99)*3.571428))</f>
        <v>0.13061648902821321</v>
      </c>
      <c r="P99" s="762">
        <f>O99/3.571428</f>
        <v>3.6572622779519344E-2</v>
      </c>
      <c r="Q99" s="1080" t="s">
        <v>192</v>
      </c>
      <c r="R99" s="523" t="s">
        <v>513</v>
      </c>
      <c r="S99" s="495" t="s">
        <v>463</v>
      </c>
    </row>
    <row r="100" spans="1:19" ht="30.75" thickBot="1" x14ac:dyDescent="0.5">
      <c r="A100" s="1451">
        <v>28</v>
      </c>
      <c r="B100" s="1571" t="s">
        <v>88</v>
      </c>
      <c r="C100" s="1573">
        <f>M5</f>
        <v>3.5714285714285716</v>
      </c>
      <c r="D100" s="1571" t="s">
        <v>217</v>
      </c>
      <c r="E100" s="1573">
        <f>C100/1</f>
        <v>3.5714285714285716</v>
      </c>
      <c r="F100" s="674" t="s">
        <v>89</v>
      </c>
      <c r="G100" s="604">
        <f>$E$100/2</f>
        <v>1.7857142857142858</v>
      </c>
      <c r="H100" s="962">
        <v>0.9</v>
      </c>
      <c r="I100" s="963">
        <v>1.5</v>
      </c>
      <c r="J100" s="1082">
        <f>IF(I100=H100,(25-H100),I100-H100)</f>
        <v>0.6</v>
      </c>
      <c r="K100" s="927">
        <f>IF(I100&lt;=25,0,((0.25*I100)*(6/10)))</f>
        <v>0</v>
      </c>
      <c r="L100" s="1083">
        <f>I100-K100</f>
        <v>1.5</v>
      </c>
      <c r="M100" s="772">
        <f>IF(I100&lt;=25,(1+(25-H100)/25),(J100/K100))</f>
        <v>1.964</v>
      </c>
      <c r="N100" s="1576">
        <f>((G100/$C$100)*M100)+((G101/$C$100)*M101)</f>
        <v>0.98199999999999998</v>
      </c>
      <c r="O100" s="1458">
        <f>IF((((G100/C100)*M100)+((G101/C100)*M101))&gt;=1,3.57148,IF((((G100/C100)*M100)+((G101/C100)*M101))&lt;=0,0, (((G100/C100)*M100)+((G101/C100)*M101))*3.571428))</f>
        <v>3.507142296</v>
      </c>
      <c r="P100" s="1460">
        <f>O100/3.571428</f>
        <v>0.98199999999999998</v>
      </c>
      <c r="Q100" s="1084" t="s">
        <v>193</v>
      </c>
      <c r="R100" s="524" t="s">
        <v>513</v>
      </c>
      <c r="S100" s="495" t="s">
        <v>463</v>
      </c>
    </row>
    <row r="101" spans="1:19" ht="38.450000000000003" customHeight="1" thickBot="1" x14ac:dyDescent="0.5">
      <c r="A101" s="1451"/>
      <c r="B101" s="1572"/>
      <c r="C101" s="1574"/>
      <c r="D101" s="1572"/>
      <c r="E101" s="1575"/>
      <c r="F101" s="643" t="s">
        <v>90</v>
      </c>
      <c r="G101" s="612">
        <f>$E$100/2</f>
        <v>1.7857142857142858</v>
      </c>
      <c r="H101" s="807"/>
      <c r="I101" s="808"/>
      <c r="J101" s="1085">
        <f>IF(I101=H101,(H101-25),H101-I101)</f>
        <v>-25</v>
      </c>
      <c r="K101" s="810">
        <f>IF(I101&gt;=25,0,((25-I101)*(6/10)))</f>
        <v>15</v>
      </c>
      <c r="L101" s="1086">
        <f t="shared" ref="L101" si="37">K101+I101</f>
        <v>15</v>
      </c>
      <c r="M101" s="779" t="str">
        <f>IF(I101=0,"0%",J101/K101)</f>
        <v>0%</v>
      </c>
      <c r="N101" s="1577"/>
      <c r="O101" s="1459"/>
      <c r="P101" s="1461"/>
      <c r="Q101" s="1087" t="s">
        <v>95</v>
      </c>
      <c r="R101" s="525"/>
      <c r="S101" s="495"/>
    </row>
    <row r="102" spans="1:19" ht="34.25" customHeight="1" thickBot="1" x14ac:dyDescent="0.5">
      <c r="B102" s="721" t="s">
        <v>194</v>
      </c>
      <c r="C102" s="722">
        <f>C11+C13+C15+C19+C24+C33+C34+C35+C36+C38+C41+C44+C48+C51+C53+C61+C68+C71+C73+C75+C78+C81+C83+C87+C94+C98+C99+C100</f>
        <v>99.999999999999972</v>
      </c>
      <c r="D102" s="723"/>
      <c r="E102" s="722">
        <f>E11+E12+E13+E14+E15+E19+E20+E21+E22+E24+E25+E28+E31+E33+E34+E35+E36+E38+E39+E41+E42+E44+E45+E48+E49++E51+E53+E54+E55+E56+E57+E61+E62+E63+E64+E68+E71+E73+E75+E78+E81++E82+E83+E84+E85+E87+E88+E91+E94+E95+E96+E98+E99+E100</f>
        <v>100.00714285714285</v>
      </c>
      <c r="F102" s="724"/>
      <c r="G102" s="722">
        <f>G11+G12+G13+G14+G15+G16+G17+G19+G20+G21+G22+G24+G25+G26+G27+G28+G29+G30+G31+G33+G34+G35+G36+G38+G39+G41+G42+G44+G45+G48+G49+G51+G53+G54+G55+G56+G57+G58+G61+G62+G63+G64+G65+G66+G68+G71+G73+G75+G78+G81+G82+G83+G84+G85+G87+G88+G89+G90+G91+G94+G95+G96+G98+G99+G100+G101</f>
        <v>100.00714285714285</v>
      </c>
      <c r="H102" s="1178"/>
      <c r="I102" s="1179"/>
      <c r="J102" s="1178"/>
      <c r="K102" s="1180"/>
      <c r="L102" s="1181"/>
      <c r="M102" s="1182"/>
      <c r="N102" s="1183"/>
      <c r="O102" s="1184"/>
      <c r="P102" s="1184"/>
      <c r="Q102" s="1185"/>
      <c r="R102" s="24"/>
      <c r="S102" s="25"/>
    </row>
    <row r="104" spans="1:19" ht="15.75" x14ac:dyDescent="0.5">
      <c r="B104" s="26"/>
    </row>
    <row r="107" spans="1:19" ht="15.75" x14ac:dyDescent="0.5">
      <c r="B107" s="26"/>
    </row>
    <row r="108" spans="1:19" x14ac:dyDescent="0.45">
      <c r="B108" s="27"/>
    </row>
    <row r="109" spans="1:19" x14ac:dyDescent="0.45">
      <c r="B109" s="27"/>
    </row>
    <row r="111" spans="1:19" x14ac:dyDescent="0.45">
      <c r="E111"/>
      <c r="F111" s="725" t="s">
        <v>196</v>
      </c>
    </row>
    <row r="112" spans="1:19" x14ac:dyDescent="0.45">
      <c r="E112" s="726">
        <v>1</v>
      </c>
      <c r="F112" s="726" t="s">
        <v>197</v>
      </c>
    </row>
    <row r="113" spans="5:6" x14ac:dyDescent="0.45">
      <c r="E113" s="726">
        <v>2</v>
      </c>
      <c r="F113" s="726" t="s">
        <v>227</v>
      </c>
    </row>
    <row r="114" spans="5:6" x14ac:dyDescent="0.45">
      <c r="E114" s="726">
        <v>3</v>
      </c>
      <c r="F114" s="726" t="s">
        <v>228</v>
      </c>
    </row>
    <row r="115" spans="5:6" x14ac:dyDescent="0.45">
      <c r="E115" s="726">
        <v>4</v>
      </c>
      <c r="F115" s="726" t="s">
        <v>229</v>
      </c>
    </row>
    <row r="116" spans="5:6" x14ac:dyDescent="0.45">
      <c r="E116" s="726">
        <v>5</v>
      </c>
      <c r="F116" s="726" t="s">
        <v>198</v>
      </c>
    </row>
    <row r="117" spans="5:6" x14ac:dyDescent="0.45">
      <c r="E117" s="726">
        <v>6</v>
      </c>
      <c r="F117" s="726" t="s">
        <v>230</v>
      </c>
    </row>
    <row r="118" spans="5:6" x14ac:dyDescent="0.45">
      <c r="E118" s="726">
        <v>7</v>
      </c>
      <c r="F118" s="726" t="s">
        <v>231</v>
      </c>
    </row>
    <row r="119" spans="5:6" x14ac:dyDescent="0.45">
      <c r="E119" s="726">
        <v>8</v>
      </c>
      <c r="F119" s="726" t="s">
        <v>199</v>
      </c>
    </row>
    <row r="120" spans="5:6" x14ac:dyDescent="0.45">
      <c r="E120" s="726">
        <v>9</v>
      </c>
      <c r="F120" s="726" t="s">
        <v>200</v>
      </c>
    </row>
    <row r="121" spans="5:6" x14ac:dyDescent="0.45">
      <c r="E121" s="726">
        <v>10</v>
      </c>
      <c r="F121" s="726" t="s">
        <v>201</v>
      </c>
    </row>
    <row r="122" spans="5:6" x14ac:dyDescent="0.45">
      <c r="E122" s="726">
        <v>11</v>
      </c>
      <c r="F122" s="726" t="s">
        <v>232</v>
      </c>
    </row>
    <row r="123" spans="5:6" x14ac:dyDescent="0.45">
      <c r="E123" s="726">
        <v>12</v>
      </c>
      <c r="F123" s="726" t="s">
        <v>202</v>
      </c>
    </row>
    <row r="124" spans="5:6" x14ac:dyDescent="0.45">
      <c r="E124" s="726">
        <f t="shared" ref="E124:E145" si="38">E123+1</f>
        <v>13</v>
      </c>
      <c r="F124" s="726" t="s">
        <v>203</v>
      </c>
    </row>
    <row r="125" spans="5:6" x14ac:dyDescent="0.45">
      <c r="E125" s="726">
        <v>14</v>
      </c>
      <c r="F125" s="726" t="s">
        <v>233</v>
      </c>
    </row>
    <row r="126" spans="5:6" x14ac:dyDescent="0.45">
      <c r="E126" s="726">
        <v>15</v>
      </c>
      <c r="F126" s="726" t="s">
        <v>234</v>
      </c>
    </row>
    <row r="127" spans="5:6" x14ac:dyDescent="0.45">
      <c r="E127" s="726">
        <v>16</v>
      </c>
      <c r="F127" s="726" t="s">
        <v>213</v>
      </c>
    </row>
    <row r="128" spans="5:6" x14ac:dyDescent="0.45">
      <c r="E128" s="726">
        <v>17</v>
      </c>
      <c r="F128" s="726" t="s">
        <v>235</v>
      </c>
    </row>
    <row r="129" spans="5:6" x14ac:dyDescent="0.45">
      <c r="E129" s="726">
        <v>18</v>
      </c>
      <c r="F129" s="726" t="s">
        <v>263</v>
      </c>
    </row>
    <row r="130" spans="5:6" x14ac:dyDescent="0.45">
      <c r="E130" s="726">
        <v>19</v>
      </c>
      <c r="F130" s="726" t="s">
        <v>204</v>
      </c>
    </row>
    <row r="131" spans="5:6" x14ac:dyDescent="0.45">
      <c r="E131" s="726">
        <v>20</v>
      </c>
      <c r="F131" s="726" t="s">
        <v>236</v>
      </c>
    </row>
    <row r="132" spans="5:6" x14ac:dyDescent="0.45">
      <c r="E132" s="726">
        <v>21</v>
      </c>
      <c r="F132" s="726" t="s">
        <v>237</v>
      </c>
    </row>
    <row r="133" spans="5:6" x14ac:dyDescent="0.45">
      <c r="E133" s="726">
        <v>22</v>
      </c>
      <c r="F133" s="726" t="s">
        <v>238</v>
      </c>
    </row>
    <row r="134" spans="5:6" x14ac:dyDescent="0.45">
      <c r="E134" s="726">
        <v>23</v>
      </c>
      <c r="F134" s="726" t="s">
        <v>205</v>
      </c>
    </row>
    <row r="135" spans="5:6" x14ac:dyDescent="0.45">
      <c r="E135" s="726">
        <v>24</v>
      </c>
      <c r="F135" s="726" t="s">
        <v>239</v>
      </c>
    </row>
    <row r="136" spans="5:6" x14ac:dyDescent="0.45">
      <c r="E136" s="726">
        <v>25</v>
      </c>
      <c r="F136" s="726" t="s">
        <v>240</v>
      </c>
    </row>
    <row r="137" spans="5:6" x14ac:dyDescent="0.45">
      <c r="E137" s="726">
        <v>26</v>
      </c>
      <c r="F137" s="726" t="s">
        <v>241</v>
      </c>
    </row>
    <row r="138" spans="5:6" x14ac:dyDescent="0.45">
      <c r="E138" s="726">
        <v>27</v>
      </c>
      <c r="F138" s="726" t="s">
        <v>206</v>
      </c>
    </row>
    <row r="139" spans="5:6" x14ac:dyDescent="0.45">
      <c r="E139" s="726">
        <v>28</v>
      </c>
      <c r="F139" s="726" t="s">
        <v>242</v>
      </c>
    </row>
    <row r="140" spans="5:6" x14ac:dyDescent="0.45">
      <c r="E140" s="726">
        <v>29</v>
      </c>
      <c r="F140" s="726" t="s">
        <v>243</v>
      </c>
    </row>
    <row r="141" spans="5:6" x14ac:dyDescent="0.45">
      <c r="E141" s="726">
        <v>30</v>
      </c>
      <c r="F141" s="726" t="s">
        <v>244</v>
      </c>
    </row>
    <row r="142" spans="5:6" x14ac:dyDescent="0.45">
      <c r="E142" s="726">
        <v>31</v>
      </c>
      <c r="F142" s="726" t="s">
        <v>245</v>
      </c>
    </row>
    <row r="143" spans="5:6" x14ac:dyDescent="0.45">
      <c r="E143" s="726">
        <v>32</v>
      </c>
      <c r="F143" s="726" t="s">
        <v>246</v>
      </c>
    </row>
    <row r="144" spans="5:6" x14ac:dyDescent="0.45">
      <c r="E144" s="726">
        <v>33</v>
      </c>
      <c r="F144" s="726" t="s">
        <v>207</v>
      </c>
    </row>
    <row r="145" spans="5:6" x14ac:dyDescent="0.45">
      <c r="E145" s="726">
        <f t="shared" si="38"/>
        <v>34</v>
      </c>
      <c r="F145" s="726" t="s">
        <v>208</v>
      </c>
    </row>
    <row r="146" spans="5:6" x14ac:dyDescent="0.45">
      <c r="E146" s="726">
        <v>35</v>
      </c>
      <c r="F146" s="726" t="s">
        <v>247</v>
      </c>
    </row>
    <row r="147" spans="5:6" x14ac:dyDescent="0.45">
      <c r="E147" s="726">
        <v>36</v>
      </c>
      <c r="F147" s="726" t="s">
        <v>248</v>
      </c>
    </row>
    <row r="148" spans="5:6" x14ac:dyDescent="0.45">
      <c r="E148" s="726">
        <v>36</v>
      </c>
      <c r="F148" s="726" t="s">
        <v>249</v>
      </c>
    </row>
    <row r="149" spans="5:6" x14ac:dyDescent="0.45">
      <c r="E149" s="726">
        <v>38</v>
      </c>
      <c r="F149" s="726" t="s">
        <v>250</v>
      </c>
    </row>
    <row r="150" spans="5:6" x14ac:dyDescent="0.45">
      <c r="E150" s="726">
        <v>39</v>
      </c>
      <c r="F150" s="726" t="s">
        <v>251</v>
      </c>
    </row>
    <row r="151" spans="5:6" x14ac:dyDescent="0.45">
      <c r="E151" s="726">
        <v>40</v>
      </c>
      <c r="F151" s="726" t="s">
        <v>209</v>
      </c>
    </row>
    <row r="152" spans="5:6" x14ac:dyDescent="0.45">
      <c r="E152" s="726">
        <v>41</v>
      </c>
      <c r="F152" s="726" t="s">
        <v>264</v>
      </c>
    </row>
    <row r="153" spans="5:6" x14ac:dyDescent="0.45">
      <c r="E153" s="726">
        <v>42</v>
      </c>
      <c r="F153" s="726" t="s">
        <v>252</v>
      </c>
    </row>
    <row r="154" spans="5:6" x14ac:dyDescent="0.45">
      <c r="E154" s="726">
        <v>43</v>
      </c>
      <c r="F154" s="726" t="s">
        <v>253</v>
      </c>
    </row>
    <row r="155" spans="5:6" x14ac:dyDescent="0.45">
      <c r="E155" s="726">
        <v>44</v>
      </c>
      <c r="F155" s="726" t="s">
        <v>254</v>
      </c>
    </row>
    <row r="156" spans="5:6" x14ac:dyDescent="0.45">
      <c r="E156" s="726">
        <v>45</v>
      </c>
      <c r="F156" s="726" t="s">
        <v>210</v>
      </c>
    </row>
    <row r="157" spans="5:6" x14ac:dyDescent="0.45">
      <c r="E157" s="726">
        <v>46</v>
      </c>
      <c r="F157" s="726" t="s">
        <v>255</v>
      </c>
    </row>
    <row r="158" spans="5:6" x14ac:dyDescent="0.45">
      <c r="E158" s="726">
        <v>47</v>
      </c>
      <c r="F158" s="726" t="s">
        <v>211</v>
      </c>
    </row>
    <row r="159" spans="5:6" x14ac:dyDescent="0.45">
      <c r="E159" s="726">
        <v>48</v>
      </c>
      <c r="F159" s="726" t="s">
        <v>256</v>
      </c>
    </row>
    <row r="160" spans="5:6" x14ac:dyDescent="0.45">
      <c r="E160" s="726">
        <v>49</v>
      </c>
      <c r="F160" s="726" t="s">
        <v>257</v>
      </c>
    </row>
    <row r="161" spans="5:6" x14ac:dyDescent="0.45">
      <c r="E161" s="726">
        <v>50</v>
      </c>
      <c r="F161" s="726" t="s">
        <v>260</v>
      </c>
    </row>
    <row r="162" spans="5:6" x14ac:dyDescent="0.45">
      <c r="E162" s="726">
        <v>51</v>
      </c>
      <c r="F162" s="726" t="s">
        <v>258</v>
      </c>
    </row>
    <row r="163" spans="5:6" x14ac:dyDescent="0.45">
      <c r="E163" s="726">
        <v>52</v>
      </c>
      <c r="F163" s="726" t="s">
        <v>212</v>
      </c>
    </row>
    <row r="164" spans="5:6" x14ac:dyDescent="0.45">
      <c r="E164" s="726">
        <v>53</v>
      </c>
      <c r="F164" s="726" t="s">
        <v>259</v>
      </c>
    </row>
    <row r="165" spans="5:6" x14ac:dyDescent="0.45">
      <c r="E165" s="726">
        <v>54</v>
      </c>
      <c r="F165" s="726" t="s">
        <v>261</v>
      </c>
    </row>
    <row r="166" spans="5:6" x14ac:dyDescent="0.45">
      <c r="E166" s="726">
        <v>55</v>
      </c>
      <c r="F166" s="726" t="s">
        <v>262</v>
      </c>
    </row>
    <row r="167" spans="5:6" x14ac:dyDescent="0.45">
      <c r="E167"/>
      <c r="F167"/>
    </row>
    <row r="168" spans="5:6" x14ac:dyDescent="0.45">
      <c r="E168"/>
      <c r="F168"/>
    </row>
  </sheetData>
  <sheetProtection algorithmName="SHA-512" hashValue="W37DnmD3769QJVdrjR1KG4plfYocGguGKnlwlO5M/Rg2A1oAT04vGYUlehjrqlaXlXPUkFJiLOAUB8X5gv8bGQ==" saltValue="JGE8G0mJeHKxKvEVSfVMNA=="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81C90D8D-4FB1-44CE-BF12-5C1AA4FF6509}">
      <formula1>$F$112:$F$166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37168-B741-4524-9727-22885856FA08}">
  <dimension ref="A1:AA168"/>
  <sheetViews>
    <sheetView tabSelected="1" topLeftCell="B1" zoomScale="60" zoomScaleNormal="60" workbookViewId="0">
      <selection activeCell="K11" sqref="K11"/>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555"/>
      <c r="O1" s="555"/>
      <c r="P1" s="555"/>
      <c r="Q1" s="555"/>
      <c r="R1" s="3"/>
      <c r="S1" s="4"/>
      <c r="U1" s="556"/>
      <c r="V1" s="556"/>
      <c r="W1" s="556"/>
      <c r="X1" s="556"/>
      <c r="Y1" s="556"/>
      <c r="Z1" s="556"/>
      <c r="AA1" s="556"/>
    </row>
    <row r="2" spans="1:27" ht="30" x14ac:dyDescent="1.1000000000000001">
      <c r="B2" s="557"/>
      <c r="C2" s="558"/>
      <c r="D2" s="559" t="s">
        <v>286</v>
      </c>
      <c r="E2" s="558"/>
      <c r="F2" s="560"/>
      <c r="G2" s="560"/>
      <c r="H2" s="560"/>
      <c r="I2" s="560"/>
      <c r="J2" s="560"/>
      <c r="K2" s="560"/>
      <c r="L2" s="560"/>
      <c r="M2" s="560"/>
      <c r="N2" s="558"/>
      <c r="O2" s="558"/>
      <c r="P2" s="558"/>
      <c r="Q2" s="558"/>
      <c r="R2" s="560"/>
      <c r="S2" s="6"/>
    </row>
    <row r="3" spans="1:27" ht="14.65" thickBot="1" x14ac:dyDescent="0.5">
      <c r="B3" s="561"/>
      <c r="C3" s="562"/>
      <c r="D3" s="562"/>
      <c r="E3" s="562"/>
      <c r="F3" s="563"/>
      <c r="G3" s="563"/>
      <c r="H3" s="563"/>
      <c r="I3" s="563"/>
      <c r="J3" s="563"/>
      <c r="K3" s="563"/>
      <c r="L3" s="563"/>
      <c r="M3" s="563"/>
      <c r="N3" s="562"/>
      <c r="O3" s="562"/>
      <c r="P3" s="562"/>
      <c r="Q3" s="562"/>
      <c r="R3" s="563"/>
      <c r="S3" s="7"/>
    </row>
    <row r="4" spans="1:27" ht="26.45" customHeight="1" thickBot="1" x14ac:dyDescent="0.5">
      <c r="B4" s="1088"/>
      <c r="C4" s="1089"/>
      <c r="D4" s="1090" t="s">
        <v>195</v>
      </c>
      <c r="E4" s="1089"/>
      <c r="F4" s="1091" t="s">
        <v>260</v>
      </c>
      <c r="G4" s="1089"/>
      <c r="H4" s="1089"/>
      <c r="I4" s="1089"/>
      <c r="J4" s="1089"/>
      <c r="K4" s="1642" t="s">
        <v>517</v>
      </c>
      <c r="L4" s="1643"/>
      <c r="M4" s="1644"/>
      <c r="N4" s="1092">
        <f>(N9+N46+N59+N69+N76+N79+N92)/7</f>
        <v>0.27005574957833745</v>
      </c>
      <c r="O4" s="1093">
        <f>(O9+O46+O59+O69+O76+O79+O92)</f>
        <v>32.320711668970823</v>
      </c>
      <c r="P4" s="1092">
        <f>O4/100</f>
        <v>0.32320711668970825</v>
      </c>
      <c r="Q4" s="562"/>
      <c r="R4" s="563"/>
      <c r="S4" s="7"/>
    </row>
    <row r="5" spans="1:27" ht="18.399999999999999" thickBot="1" x14ac:dyDescent="0.6">
      <c r="B5" s="1645"/>
      <c r="C5" s="1646"/>
      <c r="D5" s="1646"/>
      <c r="E5" s="1646"/>
      <c r="F5" s="1646"/>
      <c r="G5" s="1646"/>
      <c r="H5" s="1646"/>
      <c r="I5" s="1646"/>
      <c r="J5" s="1646"/>
      <c r="K5" s="1646"/>
      <c r="L5" s="1094"/>
      <c r="M5" s="1095">
        <f>100/28</f>
        <v>3.5714285714285716</v>
      </c>
      <c r="N5" s="1096"/>
      <c r="O5" s="1097"/>
      <c r="P5" s="1097"/>
      <c r="Q5" s="566"/>
      <c r="R5" s="9"/>
      <c r="S5" s="10"/>
    </row>
    <row r="6" spans="1:27" ht="33.6" customHeight="1" thickBot="1" x14ac:dyDescent="0.5">
      <c r="B6" s="1439"/>
      <c r="C6" s="1440"/>
      <c r="D6" s="1440"/>
      <c r="E6" s="1440"/>
      <c r="F6" s="1441"/>
      <c r="G6" s="567"/>
      <c r="H6" s="567"/>
      <c r="I6" s="567"/>
      <c r="J6" s="567"/>
      <c r="K6" s="567"/>
      <c r="L6" s="567"/>
      <c r="M6" s="567"/>
      <c r="N6" s="568"/>
      <c r="O6" s="569"/>
      <c r="P6" s="569"/>
      <c r="Q6" s="568"/>
      <c r="R6" s="12"/>
      <c r="S6" s="13"/>
    </row>
    <row r="7" spans="1:27" ht="55.8" customHeight="1" thickBot="1" x14ac:dyDescent="0.5">
      <c r="B7" s="1442"/>
      <c r="C7" s="1443"/>
      <c r="D7" s="1443"/>
      <c r="E7" s="1443"/>
      <c r="F7" s="1444"/>
      <c r="G7" s="570"/>
      <c r="H7" s="571" t="s">
        <v>218</v>
      </c>
      <c r="I7" s="572" t="s">
        <v>219</v>
      </c>
      <c r="J7" s="573" t="s">
        <v>91</v>
      </c>
      <c r="K7" s="574" t="s">
        <v>107</v>
      </c>
      <c r="L7" s="574" t="s">
        <v>104</v>
      </c>
      <c r="M7" s="574" t="s">
        <v>105</v>
      </c>
      <c r="N7" s="572" t="s">
        <v>106</v>
      </c>
      <c r="O7" s="572" t="s">
        <v>465</v>
      </c>
      <c r="P7" s="575" t="s">
        <v>466</v>
      </c>
      <c r="Q7" s="576" t="s">
        <v>93</v>
      </c>
      <c r="R7" s="577" t="s">
        <v>110</v>
      </c>
      <c r="S7" s="578" t="s">
        <v>103</v>
      </c>
    </row>
    <row r="8" spans="1:27" ht="25.25" customHeight="1" thickBot="1" x14ac:dyDescent="0.5">
      <c r="B8" s="579" t="s">
        <v>2</v>
      </c>
      <c r="C8" s="579" t="s">
        <v>92</v>
      </c>
      <c r="D8" s="579" t="s">
        <v>3</v>
      </c>
      <c r="E8" s="579" t="s">
        <v>94</v>
      </c>
      <c r="F8" s="579" t="s">
        <v>102</v>
      </c>
      <c r="G8" s="579" t="s">
        <v>96</v>
      </c>
      <c r="H8" s="1098"/>
      <c r="I8" s="1099"/>
      <c r="J8" s="1098"/>
      <c r="K8" s="1100"/>
      <c r="L8" s="1100"/>
      <c r="M8" s="1101"/>
      <c r="N8" s="1102"/>
      <c r="O8" s="1103"/>
      <c r="P8" s="1104"/>
      <c r="Q8" s="1099"/>
      <c r="R8" s="583"/>
      <c r="S8" s="583"/>
      <c r="V8" s="586" t="s">
        <v>151</v>
      </c>
      <c r="W8" s="587"/>
      <c r="X8" s="587"/>
      <c r="Y8" s="587"/>
      <c r="Z8" s="588"/>
    </row>
    <row r="9" spans="1:27" s="144" customFormat="1" ht="25.25" customHeight="1" thickBot="1" x14ac:dyDescent="0.5">
      <c r="B9" s="1445" t="s">
        <v>0</v>
      </c>
      <c r="C9" s="1446"/>
      <c r="D9" s="1446"/>
      <c r="E9" s="1446"/>
      <c r="F9" s="1447"/>
      <c r="G9" s="589"/>
      <c r="H9" s="756"/>
      <c r="I9" s="757"/>
      <c r="J9" s="758"/>
      <c r="K9" s="758"/>
      <c r="L9" s="758"/>
      <c r="M9" s="759"/>
      <c r="N9" s="760">
        <f>(N10+N18+N23+N32+N37+N40+N43)/7</f>
        <v>0.30552126052269735</v>
      </c>
      <c r="O9" s="761">
        <f>(O10+O18+O23+O32+O37+O40+O43)</f>
        <v>18.718855757956824</v>
      </c>
      <c r="P9" s="762">
        <f>O9/42.857136</f>
        <v>0.43677337090273194</v>
      </c>
      <c r="Q9" s="758"/>
      <c r="R9" s="590"/>
      <c r="S9" s="590"/>
      <c r="U9" s="591"/>
      <c r="V9" s="592"/>
      <c r="W9" s="593"/>
      <c r="X9" s="593"/>
      <c r="Y9" s="593"/>
      <c r="Z9" s="594"/>
      <c r="AA9" s="591"/>
    </row>
    <row r="10" spans="1:27" s="96" customFormat="1" ht="25.25" customHeight="1" thickBot="1" x14ac:dyDescent="0.5">
      <c r="B10" s="1448" t="s">
        <v>1</v>
      </c>
      <c r="C10" s="1449"/>
      <c r="D10" s="1449"/>
      <c r="E10" s="1449"/>
      <c r="F10" s="1450"/>
      <c r="G10" s="595"/>
      <c r="H10" s="763"/>
      <c r="I10" s="764"/>
      <c r="J10" s="765"/>
      <c r="K10" s="765"/>
      <c r="L10" s="765"/>
      <c r="M10" s="766"/>
      <c r="N10" s="760">
        <f>(N11+N13+N15)/3</f>
        <v>1.091029304715416</v>
      </c>
      <c r="O10" s="761">
        <f>(O11+O13+O15)</f>
        <v>6.4042269381962793</v>
      </c>
      <c r="P10" s="762">
        <f>O10/10.714284</f>
        <v>0.59772794320145706</v>
      </c>
      <c r="Q10" s="765"/>
      <c r="R10" s="596"/>
      <c r="S10" s="596"/>
      <c r="U10" s="597"/>
      <c r="V10" s="598"/>
      <c r="W10" s="599"/>
      <c r="X10" s="599"/>
      <c r="Y10" s="599"/>
      <c r="Z10" s="600"/>
      <c r="AA10" s="597"/>
    </row>
    <row r="11" spans="1:27" ht="27.6" customHeight="1" x14ac:dyDescent="0.45">
      <c r="A11" s="1451">
        <v>1</v>
      </c>
      <c r="B11" s="1462" t="s">
        <v>4</v>
      </c>
      <c r="C11" s="1464">
        <f>M5</f>
        <v>3.5714285714285716</v>
      </c>
      <c r="D11" s="601" t="s">
        <v>111</v>
      </c>
      <c r="E11" s="602">
        <f>$C$11/2</f>
        <v>1.7857142857142858</v>
      </c>
      <c r="F11" s="603" t="s">
        <v>5</v>
      </c>
      <c r="G11" s="628">
        <f>E11/1</f>
        <v>1.7857142857142858</v>
      </c>
      <c r="H11" s="767">
        <f>([1]Mainland!H11*0.972)+([1]Zanzibar!H11*0.028)</f>
        <v>1084.32</v>
      </c>
      <c r="I11" s="768">
        <f>([1]Mainland!I11*0.972)+([1]Zanzibar!I11*0.028)</f>
        <v>1010.8839999999999</v>
      </c>
      <c r="J11" s="769">
        <f>(H11-I11)</f>
        <v>73.436000000000035</v>
      </c>
      <c r="K11" s="770">
        <f>(0.3*I11)*6/10</f>
        <v>181.95911999999996</v>
      </c>
      <c r="L11" s="771">
        <f>I11+K11</f>
        <v>1192.8431199999998</v>
      </c>
      <c r="M11" s="772">
        <f>IF(K11&lt;&gt;0,J11/K11,"0%")</f>
        <v>0.40358515692975461</v>
      </c>
      <c r="N11" s="1456">
        <f>(((G11/C11)*M11)+((G12/C11)*M12))</f>
        <v>0.31223039489151883</v>
      </c>
      <c r="O11" s="1458">
        <f>IF((((G11/C11)*M11)+((G12/C11)*M12))&gt;=1,3.57148,IF((((G11/C11)*M11)+((G12/C11)*M12))&lt;=0,0, (((G11/C11)*M11)+((G12/C11)*M12))*3.571428))</f>
        <v>1.1151083747666273</v>
      </c>
      <c r="P11" s="1460">
        <f>O11/3.571428</f>
        <v>0.31223039489151883</v>
      </c>
      <c r="Q11" s="773" t="s">
        <v>97</v>
      </c>
      <c r="R11" s="533"/>
      <c r="S11" s="751" t="s">
        <v>518</v>
      </c>
      <c r="V11" s="605" t="s">
        <v>109</v>
      </c>
      <c r="W11" s="606" t="e">
        <f>#REF!</f>
        <v>#REF!</v>
      </c>
      <c r="X11" s="607"/>
      <c r="Y11" s="607"/>
      <c r="Z11" s="608"/>
    </row>
    <row r="12" spans="1:27" ht="27" customHeight="1" thickBot="1" x14ac:dyDescent="0.5">
      <c r="A12" s="1451"/>
      <c r="B12" s="1463"/>
      <c r="C12" s="1465"/>
      <c r="D12" s="609" t="s">
        <v>112</v>
      </c>
      <c r="E12" s="610">
        <f>$C$11/2</f>
        <v>1.7857142857142858</v>
      </c>
      <c r="F12" s="611" t="s">
        <v>281</v>
      </c>
      <c r="G12" s="632">
        <f>E12/1</f>
        <v>1.7857142857142858</v>
      </c>
      <c r="H12" s="774">
        <f>([1]Mainland!H12*0.972)+([1]Zanzibar!H12*0.028)</f>
        <v>9.8287999999999993</v>
      </c>
      <c r="I12" s="775">
        <f>([1]Mainland!I12*0.972)+([1]Zanzibar!I12*0.028)</f>
        <v>10.1656</v>
      </c>
      <c r="J12" s="776">
        <f>I12-H12</f>
        <v>0.33680000000000021</v>
      </c>
      <c r="K12" s="777">
        <f>(0.25*I12)*(6/10)</f>
        <v>1.52484</v>
      </c>
      <c r="L12" s="778">
        <f>I12-K12</f>
        <v>8.6407600000000002</v>
      </c>
      <c r="M12" s="779">
        <f>IF(K12&lt;&gt;0,J12/K12,"0%")</f>
        <v>0.2208756328532831</v>
      </c>
      <c r="N12" s="1457"/>
      <c r="O12" s="1459"/>
      <c r="P12" s="1461"/>
      <c r="Q12" s="780" t="s">
        <v>98</v>
      </c>
      <c r="R12" s="534"/>
      <c r="S12" s="752" t="s">
        <v>518</v>
      </c>
      <c r="V12" s="613">
        <v>0.02</v>
      </c>
      <c r="W12" s="614" t="e">
        <f>(W11-(W11*V12))</f>
        <v>#REF!</v>
      </c>
      <c r="X12" s="614" t="e">
        <f>W11-(V12*W11)</f>
        <v>#REF!</v>
      </c>
      <c r="Y12" s="607"/>
      <c r="Z12" s="608"/>
    </row>
    <row r="13" spans="1:27" ht="32.450000000000003" customHeight="1" x14ac:dyDescent="0.45">
      <c r="A13" s="1451">
        <v>2</v>
      </c>
      <c r="B13" s="1452" t="s">
        <v>6</v>
      </c>
      <c r="C13" s="1454">
        <f>M5</f>
        <v>3.5714285714285716</v>
      </c>
      <c r="D13" s="615" t="s">
        <v>273</v>
      </c>
      <c r="E13" s="616">
        <f>$C$13/2</f>
        <v>1.7857142857142858</v>
      </c>
      <c r="F13" s="617" t="s">
        <v>7</v>
      </c>
      <c r="G13" s="753">
        <f>E13/1</f>
        <v>1.7857142857142858</v>
      </c>
      <c r="H13" s="767">
        <f>([1]Mainland!H13*0.972)+([1]Zanzibar!H13*0.028)</f>
        <v>34.217599999999997</v>
      </c>
      <c r="I13" s="768">
        <f>([1]Mainland!I13*0.972)+([1]Zanzibar!I13*0.028)</f>
        <v>34.58</v>
      </c>
      <c r="J13" s="783">
        <f>IF(I13=H13,(5-H13),I13-H13)</f>
        <v>0.36240000000000094</v>
      </c>
      <c r="K13" s="784">
        <f>IF(I13&lt;=5,0,((I13-5)*(6/10)))</f>
        <v>17.747999999999998</v>
      </c>
      <c r="L13" s="785">
        <f>I13-K13</f>
        <v>16.832000000000001</v>
      </c>
      <c r="M13" s="786">
        <f>IF(I13&lt;=5,(1+(5-H13)/5),(J13/K13))</f>
        <v>2.0419202163624126E-2</v>
      </c>
      <c r="N13" s="1456">
        <f>(((G13/C13)*M13)+((G14/C13)*M14))</f>
        <v>0.48095343471285212</v>
      </c>
      <c r="O13" s="1458">
        <f>IF((((G13/C13)*M13)+((G14/C13)*M14))&gt;=1,3.57148,IF((((G13/C13)*M13)+((G14/C13)*M14))&lt;=0,0, (((G13/C13)*M13)+((G14/C13)*M14))*3.571428))</f>
        <v>1.717690563429652</v>
      </c>
      <c r="P13" s="1460">
        <f>O13/3.571428</f>
        <v>0.48095343471285212</v>
      </c>
      <c r="Q13" s="787" t="s">
        <v>99</v>
      </c>
      <c r="R13" s="360"/>
      <c r="S13" s="751" t="s">
        <v>518</v>
      </c>
      <c r="V13" s="613">
        <v>0.02</v>
      </c>
      <c r="W13" s="614" t="e">
        <f>(#REF!-(#REF!*V13))</f>
        <v>#REF!</v>
      </c>
      <c r="X13" s="614" t="e">
        <f>(W11-(V12*W11))-((W11-(V12*W11))*0.02)-(((W11-(V12*W11))-((W11-(V12*W11))*0.02))*0.02)-(((W11-(V12*W11))-((W11-(V12*W11))*0.02)-(((W11-(V12*W11))-((W11-(V12*W11))*0.02))*0.02))*0.02)</f>
        <v>#REF!</v>
      </c>
      <c r="Y13" s="619" t="e">
        <f>(W11-W14)/W11</f>
        <v>#REF!</v>
      </c>
      <c r="Z13" s="608"/>
    </row>
    <row r="14" spans="1:27" ht="33" customHeight="1" thickBot="1" x14ac:dyDescent="0.5">
      <c r="A14" s="1451"/>
      <c r="B14" s="1453"/>
      <c r="C14" s="1455"/>
      <c r="D14" s="609" t="s">
        <v>274</v>
      </c>
      <c r="E14" s="620">
        <f>$C$13/2</f>
        <v>1.7857142857142858</v>
      </c>
      <c r="F14" s="621" t="s">
        <v>8</v>
      </c>
      <c r="G14" s="754">
        <f>E14/1</f>
        <v>1.7857142857142858</v>
      </c>
      <c r="H14" s="774">
        <f>([1]Mainland!H14*0.972)+([1]Zanzibar!H14*0.028)</f>
        <v>80.503999999999991</v>
      </c>
      <c r="I14" s="775">
        <f>([1]Mainland!I14*0.972)+([1]Zanzibar!I14*0.028)</f>
        <v>57.923999999999999</v>
      </c>
      <c r="J14" s="790">
        <f>H14-I14</f>
        <v>22.579999999999991</v>
      </c>
      <c r="K14" s="791">
        <f>(0.95*(100-I14))*6/10</f>
        <v>23.983319999999999</v>
      </c>
      <c r="L14" s="792">
        <f>K14+I14</f>
        <v>81.907319999999999</v>
      </c>
      <c r="M14" s="793">
        <f>IF(K14&lt;&gt;0,J14/K14,"1%")</f>
        <v>0.94148766726208011</v>
      </c>
      <c r="N14" s="1457"/>
      <c r="O14" s="1459"/>
      <c r="P14" s="1461"/>
      <c r="Q14" s="794" t="s">
        <v>100</v>
      </c>
      <c r="R14" s="535"/>
      <c r="S14" s="752" t="s">
        <v>518</v>
      </c>
      <c r="V14" s="623">
        <v>0.02</v>
      </c>
      <c r="W14" s="624" t="e">
        <f>(#REF!-(#REF!*V14))</f>
        <v>#REF!</v>
      </c>
      <c r="X14" s="62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625" t="e">
        <f>W11-X14</f>
        <v>#REF!</v>
      </c>
      <c r="Z14" s="626"/>
    </row>
    <row r="15" spans="1:27" ht="22.25" customHeight="1" x14ac:dyDescent="0.45">
      <c r="A15" s="1492">
        <v>3</v>
      </c>
      <c r="B15" s="1493" t="s">
        <v>9</v>
      </c>
      <c r="C15" s="1495">
        <f>M5</f>
        <v>3.5714285714285716</v>
      </c>
      <c r="D15" s="1493" t="s">
        <v>113</v>
      </c>
      <c r="E15" s="1495">
        <f>$C$15/1</f>
        <v>3.5714285714285716</v>
      </c>
      <c r="F15" s="627" t="s">
        <v>221</v>
      </c>
      <c r="G15" s="628">
        <f>$E$15/3</f>
        <v>1.1904761904761905</v>
      </c>
      <c r="H15" s="767">
        <f>([1]Mainland!H15*0.972)+([1]Zanzibar!H15*0.028)</f>
        <v>30.456</v>
      </c>
      <c r="I15" s="768">
        <f>([1]Mainland!I15*0.972)+([1]Zanzibar!I15*0.028)</f>
        <v>18.571199999999997</v>
      </c>
      <c r="J15" s="797">
        <f>H15-I15</f>
        <v>11.884800000000002</v>
      </c>
      <c r="K15" s="798">
        <f>(0.5*I15)*6/10</f>
        <v>5.5713599999999994</v>
      </c>
      <c r="L15" s="771">
        <f>I15+K15</f>
        <v>24.142559999999996</v>
      </c>
      <c r="M15" s="772">
        <f>IF(K15&lt;&gt;0,J15/K15,"0%")</f>
        <v>2.1331954854828989</v>
      </c>
      <c r="N15" s="1497">
        <f>(((G15/C15)*M15)+((G16/C15)*M16)+((G17/C15)*M17))</f>
        <v>2.4799040845418769</v>
      </c>
      <c r="O15" s="1484">
        <f>IF((((G15/C15)*M15)+((G16/C15)*M16)+((G17/C15)*M17))&gt;=1,3.571428,IF((((G15/C15)*M15)+((G16/C15)*M16)+((G17/C15)*M17))&lt;=0,0,(((G15/C15)*M15)+((G16/C15)*M16)+((G17/C15)*M17))*3.571428))</f>
        <v>3.571428</v>
      </c>
      <c r="P15" s="1460">
        <f>O15/3.571428</f>
        <v>1</v>
      </c>
      <c r="Q15" s="799" t="s">
        <v>101</v>
      </c>
      <c r="R15" s="432"/>
      <c r="S15" s="751" t="s">
        <v>518</v>
      </c>
    </row>
    <row r="16" spans="1:27" x14ac:dyDescent="0.45">
      <c r="A16" s="1492"/>
      <c r="B16" s="1493"/>
      <c r="C16" s="1495"/>
      <c r="D16" s="1493"/>
      <c r="E16" s="1495"/>
      <c r="F16" s="629" t="s">
        <v>220</v>
      </c>
      <c r="G16" s="630">
        <f t="shared" ref="G16:G17" si="0">$E$15/3</f>
        <v>1.1904761904761905</v>
      </c>
      <c r="H16" s="1105">
        <f>([1]Mainland!H16*0.972)+([1]Zanzibar!H16*0.028)</f>
        <v>29.425599999999999</v>
      </c>
      <c r="I16" s="1106">
        <f>([1]Mainland!I16*0.972)+([1]Zanzibar!I16*0.028)</f>
        <v>18.568399999999997</v>
      </c>
      <c r="J16" s="802">
        <f>H16-I16</f>
        <v>10.857200000000002</v>
      </c>
      <c r="K16" s="803">
        <f>(0.5*I16)*6/10</f>
        <v>5.5705199999999992</v>
      </c>
      <c r="L16" s="804">
        <f t="shared" ref="L16:L17" si="1">I16+K16</f>
        <v>24.138919999999995</v>
      </c>
      <c r="M16" s="805">
        <f>IF(K16&lt;&gt;0,J16/K16,"0%")</f>
        <v>1.9490460495609034</v>
      </c>
      <c r="N16" s="1498"/>
      <c r="O16" s="1482"/>
      <c r="P16" s="1485"/>
      <c r="Q16" s="806" t="s">
        <v>95</v>
      </c>
      <c r="R16" s="457"/>
      <c r="S16" s="755" t="s">
        <v>518</v>
      </c>
    </row>
    <row r="17" spans="1:19" ht="25.25" customHeight="1" thickBot="1" x14ac:dyDescent="0.5">
      <c r="A17" s="1492"/>
      <c r="B17" s="1494"/>
      <c r="C17" s="1496"/>
      <c r="D17" s="1494"/>
      <c r="E17" s="1496"/>
      <c r="F17" s="631" t="s">
        <v>10</v>
      </c>
      <c r="G17" s="632">
        <f t="shared" si="0"/>
        <v>1.1904761904761905</v>
      </c>
      <c r="H17" s="1107">
        <f>([1]Mainland!H17*0.972)+([1]Zanzibar!H17*0.028)</f>
        <v>40.581599999999995</v>
      </c>
      <c r="I17" s="1108">
        <f>([1]Mainland!I17*0.972)+([1]Zanzibar!I17*0.028)</f>
        <v>20.217600000000001</v>
      </c>
      <c r="J17" s="809">
        <f>H17-I17</f>
        <v>20.363999999999994</v>
      </c>
      <c r="K17" s="810">
        <f>(0.5*I17)*6/10</f>
        <v>6.0652799999999996</v>
      </c>
      <c r="L17" s="778">
        <f t="shared" si="1"/>
        <v>26.282879999999999</v>
      </c>
      <c r="M17" s="779">
        <f>IF(K17&lt;&gt;0,J17/K17,"0%")</f>
        <v>3.3574707185818289</v>
      </c>
      <c r="N17" s="1499"/>
      <c r="O17" s="1483"/>
      <c r="P17" s="1485"/>
      <c r="Q17" s="811" t="s">
        <v>162</v>
      </c>
      <c r="R17" s="433"/>
      <c r="S17" s="536" t="s">
        <v>519</v>
      </c>
    </row>
    <row r="18" spans="1:19" ht="21.4" thickBot="1" x14ac:dyDescent="0.7">
      <c r="A18" s="14"/>
      <c r="B18" s="1486" t="s">
        <v>11</v>
      </c>
      <c r="C18" s="1487"/>
      <c r="D18" s="1487"/>
      <c r="E18" s="1487"/>
      <c r="F18" s="1488"/>
      <c r="G18" s="633"/>
      <c r="H18" s="1109"/>
      <c r="I18" s="1110"/>
      <c r="J18" s="813"/>
      <c r="K18" s="813"/>
      <c r="L18" s="813"/>
      <c r="M18" s="814"/>
      <c r="N18" s="760">
        <f>N19</f>
        <v>0.12199706779089926</v>
      </c>
      <c r="O18" s="761">
        <f>O19</f>
        <v>0.43570374382631577</v>
      </c>
      <c r="P18" s="762">
        <f>O18/3.571428</f>
        <v>0.12199706779089926</v>
      </c>
      <c r="Q18" s="813"/>
      <c r="R18" s="475"/>
      <c r="S18" s="476"/>
    </row>
    <row r="19" spans="1:19" ht="34.25" customHeight="1" thickBot="1" x14ac:dyDescent="0.5">
      <c r="A19" s="1451">
        <v>4</v>
      </c>
      <c r="B19" s="1469" t="s">
        <v>12</v>
      </c>
      <c r="C19" s="1473">
        <f>M5</f>
        <v>3.5714285714285716</v>
      </c>
      <c r="D19" s="635" t="s">
        <v>114</v>
      </c>
      <c r="E19" s="604">
        <f>$C$19/4</f>
        <v>0.8928571428571429</v>
      </c>
      <c r="F19" s="636" t="s">
        <v>222</v>
      </c>
      <c r="G19" s="628">
        <f>E19/1</f>
        <v>0.8928571428571429</v>
      </c>
      <c r="H19" s="767">
        <f>([1]Mainland!H19*0.972)+([1]Zanzibar!H19*0.028)</f>
        <v>39.566799999999994</v>
      </c>
      <c r="I19" s="768">
        <f>([1]Mainland!I19*0.972)+([1]Zanzibar!I19*0.028)</f>
        <v>35.068800000000003</v>
      </c>
      <c r="J19" s="815">
        <f>H19-I19</f>
        <v>4.4979999999999905</v>
      </c>
      <c r="K19" s="798">
        <f>(2*I19)*6/10</f>
        <v>42.082560000000001</v>
      </c>
      <c r="L19" s="816">
        <f t="shared" ref="L19:L22" si="2">K19+I19</f>
        <v>77.151360000000011</v>
      </c>
      <c r="M19" s="772">
        <f>IF(K19&lt;&gt;0,J19/K19,"0%")</f>
        <v>0.10688513246342404</v>
      </c>
      <c r="N19" s="1477">
        <f>(((G19/C19)*M19)+((G20/C19)*M20)+((G21/C19)*M21)+((G22/C19)*M22))</f>
        <v>0.12199706779089926</v>
      </c>
      <c r="O19" s="1481">
        <f>IF((((G19/C19)*M19)+((G20/C19)*M20)+((G21/C19)*M21)+((G22/C19)*M22))&gt;=1,3.571428,IF((((G19/C19)*M19)+((G20/C19)*M20)+((G21/C19)*M21)+((G22/C19)*M22))&lt;=0,0,((((G19/C19)*M19)+((G20/C19)*M20)+((G21/C19)*M21)+((G22/C19)*M22))*3.571428)))</f>
        <v>0.43570374382631577</v>
      </c>
      <c r="P19" s="1460">
        <f>O19/3.571428</f>
        <v>0.12199706779089926</v>
      </c>
      <c r="Q19" s="817" t="s">
        <v>163</v>
      </c>
      <c r="R19" s="101"/>
      <c r="S19" s="751" t="s">
        <v>518</v>
      </c>
    </row>
    <row r="20" spans="1:19" ht="39" customHeight="1" thickBot="1" x14ac:dyDescent="0.5">
      <c r="A20" s="1451"/>
      <c r="B20" s="1470"/>
      <c r="C20" s="1474"/>
      <c r="D20" s="637" t="s">
        <v>152</v>
      </c>
      <c r="E20" s="638">
        <f>($C$19/4)</f>
        <v>0.8928571428571429</v>
      </c>
      <c r="F20" s="639" t="s">
        <v>265</v>
      </c>
      <c r="G20" s="630">
        <f>E20/1</f>
        <v>0.8928571428571429</v>
      </c>
      <c r="H20" s="1105">
        <f>([1]Mainland!H20*0.972)+([1]Zanzibar!H20*0.028)</f>
        <v>90.9572</v>
      </c>
      <c r="I20" s="1106">
        <f>([1]Mainland!I20*0.972)+([1]Zanzibar!I20*0.028)</f>
        <v>89.484400000000008</v>
      </c>
      <c r="J20" s="820">
        <f t="shared" ref="J20:J24" si="3">H20-I20</f>
        <v>1.4727999999999923</v>
      </c>
      <c r="K20" s="803">
        <f>(100-I20)*(6/10)</f>
        <v>6.3093599999999954</v>
      </c>
      <c r="L20" s="821">
        <f t="shared" si="2"/>
        <v>95.793760000000006</v>
      </c>
      <c r="M20" s="805">
        <f>IF(K20&lt;&gt;0,J20/K20,"0%")</f>
        <v>0.2334309660567781</v>
      </c>
      <c r="N20" s="1478"/>
      <c r="O20" s="1482"/>
      <c r="P20" s="1485"/>
      <c r="Q20" s="822" t="s">
        <v>164</v>
      </c>
      <c r="R20" s="101"/>
      <c r="S20" s="751" t="s">
        <v>518</v>
      </c>
    </row>
    <row r="21" spans="1:19" ht="56.45" customHeight="1" thickBot="1" x14ac:dyDescent="0.5">
      <c r="A21" s="1451"/>
      <c r="B21" s="1470"/>
      <c r="C21" s="1474"/>
      <c r="D21" s="637" t="s">
        <v>153</v>
      </c>
      <c r="E21" s="638">
        <f t="shared" ref="E21:E22" si="4">($C$19/4)</f>
        <v>0.8928571428571429</v>
      </c>
      <c r="F21" s="639" t="s">
        <v>155</v>
      </c>
      <c r="G21" s="630">
        <f>E21/1</f>
        <v>0.8928571428571429</v>
      </c>
      <c r="H21" s="1107">
        <f>([1]Mainland!H21*0.972)+([1]Zanzibar!H21*0.028)</f>
        <v>2.7160000000000002</v>
      </c>
      <c r="I21" s="1108">
        <f>([1]Mainland!I21*0.972)+([1]Zanzibar!I21*0.028)</f>
        <v>2.66</v>
      </c>
      <c r="J21" s="820">
        <f t="shared" si="3"/>
        <v>5.600000000000005E-2</v>
      </c>
      <c r="K21" s="803">
        <f>(0.3*I21)*6/10</f>
        <v>0.4788</v>
      </c>
      <c r="L21" s="821">
        <f t="shared" si="2"/>
        <v>3.1388000000000003</v>
      </c>
      <c r="M21" s="805">
        <f>IF(K21&lt;&gt;0,J21/K21,"0%")</f>
        <v>0.11695906432748548</v>
      </c>
      <c r="N21" s="1478"/>
      <c r="O21" s="1482"/>
      <c r="P21" s="1485"/>
      <c r="Q21" s="822" t="s">
        <v>165</v>
      </c>
      <c r="R21" s="101"/>
      <c r="S21" s="751" t="s">
        <v>520</v>
      </c>
    </row>
    <row r="22" spans="1:19" ht="36.6" customHeight="1" thickBot="1" x14ac:dyDescent="0.5">
      <c r="A22" s="1451"/>
      <c r="B22" s="1489"/>
      <c r="C22" s="1490"/>
      <c r="D22" s="621" t="s">
        <v>154</v>
      </c>
      <c r="E22" s="640">
        <f t="shared" si="4"/>
        <v>0.8928571428571429</v>
      </c>
      <c r="F22" s="641" t="s">
        <v>156</v>
      </c>
      <c r="G22" s="642">
        <f>E22/1</f>
        <v>0.8928571428571429</v>
      </c>
      <c r="H22" s="774">
        <f>([1]Mainland!H22*0.972)+([1]Zanzibar!H22*0.028)</f>
        <v>5.3575999999999997</v>
      </c>
      <c r="I22" s="775">
        <f>([1]Mainland!I22*0.972)+([1]Zanzibar!I22*0.028)</f>
        <v>3.5808</v>
      </c>
      <c r="J22" s="827">
        <f t="shared" si="3"/>
        <v>1.7767999999999997</v>
      </c>
      <c r="K22" s="810">
        <f>(100-I22)*(6/10)</f>
        <v>57.851520000000001</v>
      </c>
      <c r="L22" s="828">
        <f t="shared" si="2"/>
        <v>61.432320000000004</v>
      </c>
      <c r="M22" s="779">
        <f>IF(K22&lt;&gt;0,J22/K22,"100%")</f>
        <v>3.0713108315909413E-2</v>
      </c>
      <c r="N22" s="1491"/>
      <c r="O22" s="1483"/>
      <c r="P22" s="1461"/>
      <c r="Q22" s="829" t="s">
        <v>95</v>
      </c>
      <c r="R22" s="101"/>
      <c r="S22" s="751" t="s">
        <v>518</v>
      </c>
    </row>
    <row r="23" spans="1:19" ht="20.45" customHeight="1" thickBot="1" x14ac:dyDescent="0.5">
      <c r="B23" s="1466" t="s">
        <v>13</v>
      </c>
      <c r="C23" s="1467"/>
      <c r="D23" s="1467"/>
      <c r="E23" s="1467"/>
      <c r="F23" s="1468"/>
      <c r="G23" s="633"/>
      <c r="H23" s="1109"/>
      <c r="I23" s="1110"/>
      <c r="J23" s="830"/>
      <c r="K23" s="831"/>
      <c r="L23" s="831"/>
      <c r="M23" s="814"/>
      <c r="N23" s="760">
        <f>N24</f>
        <v>6.2941658700669839E-2</v>
      </c>
      <c r="O23" s="761">
        <f>O24</f>
        <v>0.22479160225001588</v>
      </c>
      <c r="P23" s="762">
        <f>O23/3.571428</f>
        <v>6.2941658700669839E-2</v>
      </c>
      <c r="Q23" s="813"/>
      <c r="R23" s="469"/>
      <c r="S23" s="469"/>
    </row>
    <row r="24" spans="1:19" ht="36" customHeight="1" thickBot="1" x14ac:dyDescent="0.5">
      <c r="A24" s="1451">
        <v>5</v>
      </c>
      <c r="B24" s="1469" t="s">
        <v>14</v>
      </c>
      <c r="C24" s="1473">
        <f>M5</f>
        <v>3.5714285714285716</v>
      </c>
      <c r="D24" s="635" t="s">
        <v>115</v>
      </c>
      <c r="E24" s="604">
        <f>$C$24/4</f>
        <v>0.8928571428571429</v>
      </c>
      <c r="F24" s="635" t="s">
        <v>280</v>
      </c>
      <c r="G24" s="628">
        <f>E24/1</f>
        <v>0.8928571428571429</v>
      </c>
      <c r="H24" s="1111"/>
      <c r="I24" s="1112"/>
      <c r="J24" s="797">
        <f t="shared" si="3"/>
        <v>0</v>
      </c>
      <c r="K24" s="798">
        <f>(0.3*I24)*6/10</f>
        <v>0</v>
      </c>
      <c r="L24" s="816">
        <f>K24+I24</f>
        <v>0</v>
      </c>
      <c r="M24" s="772" t="str">
        <f t="shared" ref="M24:M31" si="5">IF(K24&lt;&gt;0,J24/K24,"0%")</f>
        <v>0%</v>
      </c>
      <c r="N24" s="1477">
        <f>(((G24/C24)*M24)+((G25/C24)*M25)+ ((G26/C24)*M26)+((G27/C24)*M27)+((G28/C24)*M28)+((G29/C24)*M29)+((G30/C24)*M30)+((G31/C24)*M31))</f>
        <v>6.2941658700669839E-2</v>
      </c>
      <c r="O24" s="1481">
        <f>IF((((G24/C24)*M24)+((G25/C24)*M25)+ ((G26/C24)*M26)+((G27/C24)*M27)+((G28/C24)*M28)+((G29/C24)*M29)+((G30/C24)*M30)+((G31/C24)*M31))&gt;=1,3.571428,IF((((G24/C24)*M24)+((G25/C24)*M25)+ ((G26/C24)*M26)+((G27/C24)*M27)+((G28/C24)*M28)+((G29/C24)*M29)+((G30/C24)*M30)+((G31/C24)*M31))&lt;=0,0,((((G24/C24)*M24)+((G25/C24)*M25)+ ((G26/C24)*M26)+((G27/C24)*M27)+((G28/C24)*M28)+((G29/C24)*M29)+((G30/C24)*M30)+((G31/C24)*M31))*3.571428)))</f>
        <v>0.22479160225001588</v>
      </c>
      <c r="P24" s="1460">
        <f>O24/3.571428</f>
        <v>6.2941658700669839E-2</v>
      </c>
      <c r="Q24" s="773" t="s">
        <v>166</v>
      </c>
      <c r="R24" s="537"/>
      <c r="S24" s="538" t="s">
        <v>463</v>
      </c>
    </row>
    <row r="25" spans="1:19" ht="19.8" customHeight="1" thickBot="1" x14ac:dyDescent="0.5">
      <c r="A25" s="1451"/>
      <c r="B25" s="1470"/>
      <c r="C25" s="1474"/>
      <c r="D25" s="1503" t="s">
        <v>158</v>
      </c>
      <c r="E25" s="1505">
        <v>0.9</v>
      </c>
      <c r="F25" s="637" t="s">
        <v>15</v>
      </c>
      <c r="G25" s="630">
        <f>$E$25/3</f>
        <v>0.3</v>
      </c>
      <c r="H25" s="1105">
        <f>([1]Mainland!H25*0.972)+([1]Zanzibar!H25*0.028)</f>
        <v>542.70000000000005</v>
      </c>
      <c r="I25" s="1106">
        <f>([1]Mainland!I25*0.972)+([1]Zanzibar!I25*0.028)</f>
        <v>444.17200000000003</v>
      </c>
      <c r="J25" s="820">
        <f t="shared" ref="J25:J30" si="6">I25-H25</f>
        <v>-98.52800000000002</v>
      </c>
      <c r="K25" s="803">
        <f>(0.5*I25)*6/10</f>
        <v>133.2516</v>
      </c>
      <c r="L25" s="821">
        <f t="shared" ref="L25:L30" si="7">I25-K25</f>
        <v>310.92040000000003</v>
      </c>
      <c r="M25" s="805">
        <f t="shared" si="5"/>
        <v>-0.73941326032858157</v>
      </c>
      <c r="N25" s="1478"/>
      <c r="O25" s="1482"/>
      <c r="P25" s="1485"/>
      <c r="Q25" s="1113" t="s">
        <v>167</v>
      </c>
      <c r="R25" s="539"/>
      <c r="S25" s="751" t="s">
        <v>518</v>
      </c>
    </row>
    <row r="26" spans="1:19" ht="19.8" customHeight="1" thickBot="1" x14ac:dyDescent="0.5">
      <c r="A26" s="1451"/>
      <c r="B26" s="1470"/>
      <c r="C26" s="1474"/>
      <c r="D26" s="1504"/>
      <c r="E26" s="1475"/>
      <c r="F26" s="637" t="s">
        <v>16</v>
      </c>
      <c r="G26" s="630">
        <f t="shared" ref="G26:G27" si="8">$E$25/3</f>
        <v>0.3</v>
      </c>
      <c r="H26" s="1105">
        <f>([1]Mainland!H26*0.972)+([1]Zanzibar!H26*0.028)</f>
        <v>25.084</v>
      </c>
      <c r="I26" s="1106">
        <f>([1]Mainland!I26*0.972)+([1]Zanzibar!I26*0.028)</f>
        <v>26.084</v>
      </c>
      <c r="J26" s="820">
        <f t="shared" si="6"/>
        <v>1</v>
      </c>
      <c r="K26" s="803">
        <f>(0.8*I26)*6/10</f>
        <v>12.520320000000002</v>
      </c>
      <c r="L26" s="821">
        <f t="shared" si="7"/>
        <v>13.563679999999998</v>
      </c>
      <c r="M26" s="805">
        <f t="shared" si="5"/>
        <v>7.9870163062924895E-2</v>
      </c>
      <c r="N26" s="1478"/>
      <c r="O26" s="1482"/>
      <c r="P26" s="1485"/>
      <c r="Q26" s="1113" t="s">
        <v>168</v>
      </c>
      <c r="R26" s="539"/>
      <c r="S26" s="751" t="s">
        <v>518</v>
      </c>
    </row>
    <row r="27" spans="1:19" ht="19.8" customHeight="1" thickBot="1" x14ac:dyDescent="0.5">
      <c r="A27" s="1451"/>
      <c r="B27" s="1470"/>
      <c r="C27" s="1474"/>
      <c r="D27" s="1504"/>
      <c r="E27" s="1475"/>
      <c r="F27" s="637" t="s">
        <v>17</v>
      </c>
      <c r="G27" s="630">
        <f t="shared" si="8"/>
        <v>0.3</v>
      </c>
      <c r="H27" s="1105">
        <f>([1]Mainland!H27*0.972)+([1]Zanzibar!H27*0.028)</f>
        <v>78.355999999999995</v>
      </c>
      <c r="I27" s="1106">
        <f>([1]Mainland!I27*0.972)+([1]Zanzibar!I27*0.028)</f>
        <v>80.775999999999996</v>
      </c>
      <c r="J27" s="820">
        <f t="shared" si="6"/>
        <v>2.4200000000000017</v>
      </c>
      <c r="K27" s="803">
        <f>(0.5*I27)*(6/10)</f>
        <v>24.232799999999997</v>
      </c>
      <c r="L27" s="821">
        <f t="shared" si="7"/>
        <v>56.543199999999999</v>
      </c>
      <c r="M27" s="805">
        <f t="shared" si="5"/>
        <v>9.986464626456712E-2</v>
      </c>
      <c r="N27" s="1478"/>
      <c r="O27" s="1482"/>
      <c r="P27" s="1485"/>
      <c r="Q27" s="1113" t="s">
        <v>169</v>
      </c>
      <c r="R27" s="539"/>
      <c r="S27" s="751" t="s">
        <v>518</v>
      </c>
    </row>
    <row r="28" spans="1:19" ht="30.6" customHeight="1" thickBot="1" x14ac:dyDescent="0.5">
      <c r="A28" s="21"/>
      <c r="B28" s="1470"/>
      <c r="C28" s="1474"/>
      <c r="D28" s="1503" t="s">
        <v>116</v>
      </c>
      <c r="E28" s="1505">
        <f t="shared" ref="E28:E31" si="9">$C$24/4</f>
        <v>0.8928571428571429</v>
      </c>
      <c r="F28" s="637" t="s">
        <v>148</v>
      </c>
      <c r="G28" s="630">
        <f>$E$28/3</f>
        <v>0.29761904761904762</v>
      </c>
      <c r="H28" s="1105">
        <f>([1]Mainland!H28*0.972)+([1]Zanzibar!H28*0.028)</f>
        <v>4.5796000000000001</v>
      </c>
      <c r="I28" s="1106">
        <f>([1]Mainland!I28*0.972)+([1]Zanzibar!I28*0.028)</f>
        <v>4.9739999999999993</v>
      </c>
      <c r="J28" s="820">
        <f t="shared" si="6"/>
        <v>0.3943999999999992</v>
      </c>
      <c r="K28" s="803">
        <f>(0.5*I28)*(6/10)</f>
        <v>1.4921999999999997</v>
      </c>
      <c r="L28" s="821">
        <f t="shared" si="7"/>
        <v>3.4817999999999998</v>
      </c>
      <c r="M28" s="805">
        <f t="shared" si="5"/>
        <v>0.26430773354778131</v>
      </c>
      <c r="N28" s="1479"/>
      <c r="O28" s="1482"/>
      <c r="P28" s="1485"/>
      <c r="Q28" s="1113" t="s">
        <v>170</v>
      </c>
      <c r="R28" s="539"/>
      <c r="S28" s="751" t="s">
        <v>518</v>
      </c>
    </row>
    <row r="29" spans="1:19" ht="20.45" customHeight="1" x14ac:dyDescent="0.45">
      <c r="A29" s="21"/>
      <c r="B29" s="1470"/>
      <c r="C29" s="1474"/>
      <c r="D29" s="1504"/>
      <c r="E29" s="1475"/>
      <c r="F29" s="637" t="s">
        <v>149</v>
      </c>
      <c r="G29" s="630">
        <f t="shared" ref="G29:G30" si="10">$E$28/3</f>
        <v>0.29761904761904762</v>
      </c>
      <c r="H29" s="1105">
        <f>([1]Mainland!H29*0.972)+([1]Zanzibar!H29*0.028)</f>
        <v>245.93279999999999</v>
      </c>
      <c r="I29" s="1106">
        <f>([1]Mainland!I29*0.972)+([1]Zanzibar!I29*0.028)</f>
        <v>297.44348000000002</v>
      </c>
      <c r="J29" s="820">
        <f t="shared" si="6"/>
        <v>51.510680000000036</v>
      </c>
      <c r="K29" s="803">
        <f>(0.5*I29)*(6/10)</f>
        <v>89.233044000000007</v>
      </c>
      <c r="L29" s="821">
        <f t="shared" si="7"/>
        <v>208.21043600000002</v>
      </c>
      <c r="M29" s="805">
        <f t="shared" si="5"/>
        <v>0.57726014591634944</v>
      </c>
      <c r="N29" s="1479"/>
      <c r="O29" s="1482"/>
      <c r="P29" s="1485"/>
      <c r="Q29" s="1113" t="s">
        <v>171</v>
      </c>
      <c r="R29" s="539"/>
      <c r="S29" s="751" t="s">
        <v>518</v>
      </c>
    </row>
    <row r="30" spans="1:19" ht="20.45" customHeight="1" x14ac:dyDescent="0.45">
      <c r="A30" s="21"/>
      <c r="B30" s="1471"/>
      <c r="C30" s="1475"/>
      <c r="D30" s="1504"/>
      <c r="E30" s="1475"/>
      <c r="F30" s="637" t="s">
        <v>150</v>
      </c>
      <c r="G30" s="630">
        <f t="shared" si="10"/>
        <v>0.29761904761904762</v>
      </c>
      <c r="H30" s="1105">
        <f>([1]Mainland!H30*0.972)+([1]Zanzibar!H30*0.028)</f>
        <v>1.1823599999999999</v>
      </c>
      <c r="I30" s="1105">
        <f>([1]Mainland!I30*0.972)+([1]Zanzibar!I30*0.028)</f>
        <v>1.3802399999999999</v>
      </c>
      <c r="J30" s="820">
        <f t="shared" si="6"/>
        <v>0.19788000000000006</v>
      </c>
      <c r="K30" s="803">
        <f>(0.5*I30)*(6/10)</f>
        <v>0.41407199999999994</v>
      </c>
      <c r="L30" s="821">
        <f t="shared" si="7"/>
        <v>0.96616799999999992</v>
      </c>
      <c r="M30" s="805">
        <f t="shared" si="5"/>
        <v>0.47788790355300548</v>
      </c>
      <c r="N30" s="1479"/>
      <c r="O30" s="1482"/>
      <c r="P30" s="1485"/>
      <c r="Q30" s="1113" t="s">
        <v>172</v>
      </c>
      <c r="R30" s="539"/>
      <c r="S30" s="540" t="s">
        <v>521</v>
      </c>
    </row>
    <row r="31" spans="1:19" ht="34.9" customHeight="1" thickBot="1" x14ac:dyDescent="0.5">
      <c r="A31" s="21"/>
      <c r="B31" s="1472"/>
      <c r="C31" s="1476"/>
      <c r="D31" s="643" t="s">
        <v>117</v>
      </c>
      <c r="E31" s="612">
        <f t="shared" si="9"/>
        <v>0.8928571428571429</v>
      </c>
      <c r="F31" s="644" t="s">
        <v>223</v>
      </c>
      <c r="G31" s="632">
        <f>E31/1</f>
        <v>0.8928571428571429</v>
      </c>
      <c r="H31" s="1114"/>
      <c r="I31" s="1115"/>
      <c r="J31" s="827">
        <f t="shared" ref="J31" si="11">H31-I31</f>
        <v>0</v>
      </c>
      <c r="K31" s="810">
        <f>(100-I31)*(6/10)</f>
        <v>60</v>
      </c>
      <c r="L31" s="828">
        <f>K31+I31</f>
        <v>60</v>
      </c>
      <c r="M31" s="793">
        <f t="shared" si="5"/>
        <v>0</v>
      </c>
      <c r="N31" s="1480"/>
      <c r="O31" s="1483"/>
      <c r="P31" s="1461"/>
      <c r="Q31" s="780" t="s">
        <v>95</v>
      </c>
      <c r="R31" s="541"/>
      <c r="S31" s="542" t="s">
        <v>522</v>
      </c>
    </row>
    <row r="32" spans="1:19" ht="20.45" customHeight="1" thickBot="1" x14ac:dyDescent="0.5">
      <c r="B32" s="1506" t="s">
        <v>18</v>
      </c>
      <c r="C32" s="1507"/>
      <c r="D32" s="1507"/>
      <c r="E32" s="1507"/>
      <c r="F32" s="1508"/>
      <c r="G32" s="633"/>
      <c r="H32" s="1116"/>
      <c r="I32" s="1117"/>
      <c r="J32" s="843"/>
      <c r="K32" s="844"/>
      <c r="L32" s="845"/>
      <c r="M32" s="846"/>
      <c r="N32" s="760">
        <f>(N33+N34+N35+N36)/4</f>
        <v>1.1314979967529712</v>
      </c>
      <c r="O32" s="761">
        <f>(O33+O34+O35+O36)</f>
        <v>11.654133473684212</v>
      </c>
      <c r="P32" s="762">
        <f>O32/14.285712</f>
        <v>0.81578947368421062</v>
      </c>
      <c r="Q32" s="813"/>
      <c r="R32" s="476"/>
      <c r="S32" s="476"/>
    </row>
    <row r="33" spans="1:19" ht="33.6" customHeight="1" thickBot="1" x14ac:dyDescent="0.5">
      <c r="A33" s="21">
        <v>6</v>
      </c>
      <c r="B33" s="645" t="s">
        <v>19</v>
      </c>
      <c r="C33" s="646">
        <f>$M$5</f>
        <v>3.5714285714285716</v>
      </c>
      <c r="D33" s="647" t="s">
        <v>287</v>
      </c>
      <c r="E33" s="648">
        <f>C33/1</f>
        <v>3.5714285714285716</v>
      </c>
      <c r="F33" s="645" t="s">
        <v>288</v>
      </c>
      <c r="G33" s="646">
        <f>E33/1</f>
        <v>3.5714285714285716</v>
      </c>
      <c r="H33" s="1118">
        <f>([1]Mainland!H33*0.972)+([1]Zanzibar!H33*0.028)</f>
        <v>7.0028000000000006</v>
      </c>
      <c r="I33" s="1119">
        <f>([1]Mainland!I33*0.972)+([1]Zanzibar!I33*0.028)</f>
        <v>6.7299999999999995</v>
      </c>
      <c r="J33" s="849">
        <f>IF(H33&lt;7,(H33-7),(H33-I33))</f>
        <v>0.27280000000000104</v>
      </c>
      <c r="K33" s="850">
        <f>IF((7-H33&gt;=0),(7-H33),0)</f>
        <v>0</v>
      </c>
      <c r="L33" s="851">
        <f>IF((I33&lt;7),7,I33)</f>
        <v>7</v>
      </c>
      <c r="M33" s="852">
        <f>IF(K33&lt;&gt;0,J33/7,(1+((H33-I33)/I33)))</f>
        <v>1.0405349182763746</v>
      </c>
      <c r="N33" s="853">
        <f>((G33/C33)*M33)</f>
        <v>1.0405349182763746</v>
      </c>
      <c r="O33" s="854">
        <f>IF(((G33/C33)*M33)&gt;=1,3.571428,IF(((G33/C33)*M33)&lt;=0,0,((G33/C33)*M33)*3.571428))</f>
        <v>3.571428</v>
      </c>
      <c r="P33" s="762">
        <f>O33/3.571428</f>
        <v>1</v>
      </c>
      <c r="Q33" s="855" t="s">
        <v>97</v>
      </c>
      <c r="R33" s="437"/>
      <c r="S33" s="751" t="s">
        <v>518</v>
      </c>
    </row>
    <row r="34" spans="1:19" ht="51" customHeight="1" thickBot="1" x14ac:dyDescent="0.5">
      <c r="A34" s="21">
        <v>7</v>
      </c>
      <c r="B34" s="645" t="s">
        <v>20</v>
      </c>
      <c r="C34" s="646">
        <f t="shared" ref="C34:C36" si="12">$M$5</f>
        <v>3.5714285714285716</v>
      </c>
      <c r="D34" s="645" t="s">
        <v>118</v>
      </c>
      <c r="E34" s="648">
        <f t="shared" ref="E34:E36" si="13">C34/1</f>
        <v>3.5714285714285716</v>
      </c>
      <c r="F34" s="645" t="s">
        <v>21</v>
      </c>
      <c r="G34" s="646">
        <f>E34/1</f>
        <v>3.5714285714285716</v>
      </c>
      <c r="H34" s="1118">
        <f>([1]Mainland!H34*0.972)+([1]Zanzibar!H34*0.028)</f>
        <v>9354.6959999999999</v>
      </c>
      <c r="I34" s="1119">
        <f>([1]Mainland!I34*0.972)+([1]Zanzibar!I34*0.028)</f>
        <v>6117.02</v>
      </c>
      <c r="J34" s="858">
        <f>H34-I34</f>
        <v>3237.6759999999995</v>
      </c>
      <c r="K34" s="859">
        <f>(0.5*I34)*(6/10)</f>
        <v>1835.106</v>
      </c>
      <c r="L34" s="860">
        <f>K34+I34</f>
        <v>7952.1260000000002</v>
      </c>
      <c r="M34" s="852">
        <f>IF(K34&lt;&gt;0,J34/K34,"0%")</f>
        <v>1.764299173998668</v>
      </c>
      <c r="N34" s="853">
        <f>((G34/C34)*M34)</f>
        <v>1.764299173998668</v>
      </c>
      <c r="O34" s="854">
        <f>IF(((G34/C34)*M34)&gt;=1,3.571428,IF(((G34/C34)*M34)&lt;=0,0,((G34/C34)*M34)*3.571428))</f>
        <v>3.571428</v>
      </c>
      <c r="P34" s="762">
        <f t="shared" ref="P34:P36" si="14">O34/3.571428</f>
        <v>1</v>
      </c>
      <c r="Q34" s="855" t="s">
        <v>173</v>
      </c>
      <c r="R34" s="162"/>
      <c r="S34" s="751" t="s">
        <v>518</v>
      </c>
    </row>
    <row r="35" spans="1:19" ht="40.799999999999997" customHeight="1" thickBot="1" x14ac:dyDescent="0.5">
      <c r="A35" s="21">
        <v>8</v>
      </c>
      <c r="B35" s="645" t="s">
        <v>22</v>
      </c>
      <c r="C35" s="646">
        <f t="shared" si="12"/>
        <v>3.5714285714285716</v>
      </c>
      <c r="D35" s="645" t="s">
        <v>119</v>
      </c>
      <c r="E35" s="648">
        <f t="shared" si="13"/>
        <v>3.5714285714285716</v>
      </c>
      <c r="F35" s="645" t="s">
        <v>23</v>
      </c>
      <c r="G35" s="646">
        <f>E35/1</f>
        <v>3.5714285714285716</v>
      </c>
      <c r="H35" s="1118">
        <f>([1]Mainland!H35*0.972)+([1]Zanzibar!H35*0.028)</f>
        <v>1.458</v>
      </c>
      <c r="I35" s="1119">
        <f>([1]Mainland!I35*0.972)+([1]Zanzibar!I35*0.028)</f>
        <v>1.1663999999999999</v>
      </c>
      <c r="J35" s="861">
        <f>H35-I35</f>
        <v>0.29160000000000008</v>
      </c>
      <c r="K35" s="862">
        <f>IF((I35&gt;=1),0,((1-I35)*0.6))</f>
        <v>0</v>
      </c>
      <c r="L35" s="851">
        <f>I35+K35</f>
        <v>1.1663999999999999</v>
      </c>
      <c r="M35" s="772">
        <f>IF(I35&gt;=1,(1+(H35-1)/1),(J35/K35))</f>
        <v>1.458</v>
      </c>
      <c r="N35" s="853">
        <f>((G35/C35)*M35)</f>
        <v>1.458</v>
      </c>
      <c r="O35" s="854">
        <f>IF(((G35/C35)*M35)&gt;=1,3.571428,IF(((G35/C35)*M35)&lt;=0,0,((G35/C35)*M35)*3.571428))</f>
        <v>3.571428</v>
      </c>
      <c r="P35" s="762">
        <f t="shared" si="14"/>
        <v>1</v>
      </c>
      <c r="Q35" s="855" t="s">
        <v>174</v>
      </c>
      <c r="R35" s="162"/>
      <c r="S35" s="130" t="s">
        <v>523</v>
      </c>
    </row>
    <row r="36" spans="1:19" ht="32.450000000000003" customHeight="1" thickBot="1" x14ac:dyDescent="0.5">
      <c r="A36" s="21">
        <v>9</v>
      </c>
      <c r="B36" s="645" t="s">
        <v>24</v>
      </c>
      <c r="C36" s="646">
        <f t="shared" si="12"/>
        <v>3.5714285714285716</v>
      </c>
      <c r="D36" s="645" t="s">
        <v>275</v>
      </c>
      <c r="E36" s="648">
        <f t="shared" si="13"/>
        <v>3.5714285714285716</v>
      </c>
      <c r="F36" s="650" t="s">
        <v>25</v>
      </c>
      <c r="G36" s="646">
        <f>E36/1</f>
        <v>3.5714285714285716</v>
      </c>
      <c r="H36" s="1118">
        <f>([1]Mainland!H36*0.972)+([1]Zanzibar!H36*0.028)</f>
        <v>2.1384000000000003</v>
      </c>
      <c r="I36" s="1119">
        <f>([1]Mainland!I36*0.972)+([1]Zanzibar!I36*0.028)</f>
        <v>1.8467999999999998</v>
      </c>
      <c r="J36" s="865">
        <f>H36-I36</f>
        <v>0.29160000000000053</v>
      </c>
      <c r="K36" s="866">
        <f>(1*I36)*(6/10)</f>
        <v>1.1080799999999997</v>
      </c>
      <c r="L36" s="867">
        <f>I36+K36</f>
        <v>2.9548799999999993</v>
      </c>
      <c r="M36" s="852">
        <f>IF(K36&lt;&gt;0,J36/K36,"0%")</f>
        <v>0.26315789473684265</v>
      </c>
      <c r="N36" s="853">
        <f>((G36/C36)*M36)</f>
        <v>0.26315789473684265</v>
      </c>
      <c r="O36" s="854">
        <f>IF(((G36/C36)*M36)&gt;=1,3.571428,IF(((G36/C36)*M36)&lt;=0,0,((G36/C36)*M36)*3.571428))</f>
        <v>0.93984947368421246</v>
      </c>
      <c r="P36" s="762">
        <f t="shared" si="14"/>
        <v>0.26315789473684265</v>
      </c>
      <c r="Q36" s="868" t="s">
        <v>175</v>
      </c>
      <c r="R36" s="237"/>
      <c r="S36" s="130" t="s">
        <v>523</v>
      </c>
    </row>
    <row r="37" spans="1:19" ht="30.6" customHeight="1" thickBot="1" x14ac:dyDescent="0.5">
      <c r="B37" s="1500" t="s">
        <v>26</v>
      </c>
      <c r="C37" s="1501"/>
      <c r="D37" s="1501"/>
      <c r="E37" s="1501"/>
      <c r="F37" s="1502"/>
      <c r="G37" s="651"/>
      <c r="H37" s="1109"/>
      <c r="I37" s="1110"/>
      <c r="J37" s="870"/>
      <c r="K37" s="871"/>
      <c r="L37" s="871"/>
      <c r="M37" s="872"/>
      <c r="N37" s="760">
        <f>N38</f>
        <v>0</v>
      </c>
      <c r="O37" s="761">
        <f>O38</f>
        <v>0</v>
      </c>
      <c r="P37" s="762">
        <f>O37/3.571428</f>
        <v>0</v>
      </c>
      <c r="Q37" s="873"/>
      <c r="R37" s="475"/>
      <c r="S37" s="476"/>
    </row>
    <row r="38" spans="1:19" ht="25.8" customHeight="1" thickBot="1" x14ac:dyDescent="0.5">
      <c r="A38" s="1451">
        <v>10</v>
      </c>
      <c r="B38" s="1469" t="s">
        <v>27</v>
      </c>
      <c r="C38" s="1473">
        <f>M5</f>
        <v>3.5714285714285716</v>
      </c>
      <c r="D38" s="627" t="s">
        <v>120</v>
      </c>
      <c r="E38" s="604">
        <f>$C$38/2</f>
        <v>1.7857142857142858</v>
      </c>
      <c r="F38" s="652" t="s">
        <v>224</v>
      </c>
      <c r="G38" s="628">
        <f>E38/1</f>
        <v>1.7857142857142858</v>
      </c>
      <c r="H38" s="1120"/>
      <c r="I38" s="1112"/>
      <c r="J38" s="1121">
        <f>H38-I38</f>
        <v>0</v>
      </c>
      <c r="K38" s="877">
        <f>(1*I38)*(6/10)</f>
        <v>0</v>
      </c>
      <c r="L38" s="878">
        <f>I38+K38</f>
        <v>0</v>
      </c>
      <c r="M38" s="772" t="str">
        <f>IF(K38&lt;&gt;0,J38/K38,"0%")</f>
        <v>0%</v>
      </c>
      <c r="N38" s="1497">
        <f>(((G38/C38)*M38)+((G39/C38)*M39))</f>
        <v>0</v>
      </c>
      <c r="O38" s="1458">
        <f>IF((((G38/C38)*M38)+((G39/C38)*M39))&gt;=1,3.57148,IF((((G38/C38)*M38)+((G39/C38)*M39))&lt;=0,0, (((G38/C38)*M38)+((G39/C38)*M39))*3.571428))</f>
        <v>0</v>
      </c>
      <c r="P38" s="1460">
        <f>O38/3.571428</f>
        <v>0</v>
      </c>
      <c r="Q38" s="879" t="s">
        <v>176</v>
      </c>
      <c r="R38" s="466"/>
      <c r="S38" s="538" t="s">
        <v>463</v>
      </c>
    </row>
    <row r="39" spans="1:19" ht="35.25" thickBot="1" x14ac:dyDescent="0.5">
      <c r="A39" s="1451"/>
      <c r="B39" s="1470"/>
      <c r="C39" s="1474"/>
      <c r="D39" s="629" t="s">
        <v>157</v>
      </c>
      <c r="E39" s="612">
        <f>$C$38/2</f>
        <v>1.7857142857142858</v>
      </c>
      <c r="F39" s="653" t="s">
        <v>225</v>
      </c>
      <c r="G39" s="630">
        <f>E39/1</f>
        <v>1.7857142857142858</v>
      </c>
      <c r="H39" s="1122"/>
      <c r="I39" s="1115"/>
      <c r="J39" s="1123">
        <f>H39-I39</f>
        <v>0</v>
      </c>
      <c r="K39" s="883">
        <f>IF(AND(I39&gt;=10,H39&gt;=I39),0,((10-H39)*(6/10)))</f>
        <v>6</v>
      </c>
      <c r="L39" s="884">
        <f>I39+K39</f>
        <v>6</v>
      </c>
      <c r="M39" s="779">
        <f>IF(K39&lt;&gt;0,J39/K39,"0%")</f>
        <v>0</v>
      </c>
      <c r="N39" s="1498"/>
      <c r="O39" s="1459"/>
      <c r="P39" s="1461"/>
      <c r="Q39" s="885" t="s">
        <v>95</v>
      </c>
      <c r="R39" s="160"/>
      <c r="S39" s="538" t="s">
        <v>463</v>
      </c>
    </row>
    <row r="40" spans="1:19" ht="20.45" customHeight="1" thickBot="1" x14ac:dyDescent="0.5">
      <c r="B40" s="1512" t="s">
        <v>28</v>
      </c>
      <c r="C40" s="1513"/>
      <c r="D40" s="1513"/>
      <c r="E40" s="1514"/>
      <c r="F40" s="1515"/>
      <c r="G40" s="651"/>
      <c r="H40" s="1109"/>
      <c r="I40" s="1110"/>
      <c r="J40" s="887"/>
      <c r="K40" s="888"/>
      <c r="L40" s="888"/>
      <c r="M40" s="889"/>
      <c r="N40" s="760">
        <f>N41</f>
        <v>-0.26881720430107525</v>
      </c>
      <c r="O40" s="761">
        <f>O41</f>
        <v>0</v>
      </c>
      <c r="P40" s="762">
        <f>O40/3.571428</f>
        <v>0</v>
      </c>
      <c r="Q40" s="890"/>
      <c r="R40" s="468"/>
      <c r="S40" s="469"/>
    </row>
    <row r="41" spans="1:19" ht="35.25" thickBot="1" x14ac:dyDescent="0.5">
      <c r="A41" s="1451">
        <v>11</v>
      </c>
      <c r="B41" s="1516" t="s">
        <v>29</v>
      </c>
      <c r="C41" s="1518">
        <f>M5</f>
        <v>3.5714285714285716</v>
      </c>
      <c r="D41" s="654" t="s">
        <v>121</v>
      </c>
      <c r="E41" s="655">
        <f>$C$41/2</f>
        <v>1.7857142857142858</v>
      </c>
      <c r="F41" s="617" t="s">
        <v>30</v>
      </c>
      <c r="G41" s="656">
        <f>E41/1</f>
        <v>1.7857142857142858</v>
      </c>
      <c r="H41" s="767">
        <f>([1]Mainland!H41*0.972)+([1]Zanzibar!H41*0.028)</f>
        <v>0.14560000000000001</v>
      </c>
      <c r="I41" s="768">
        <f>([1]Mainland!I41*0.972)+([1]Zanzibar!I41*0.028)</f>
        <v>0.1736</v>
      </c>
      <c r="J41" s="1124">
        <f>H41-I41</f>
        <v>-2.7999999999999997E-2</v>
      </c>
      <c r="K41" s="894">
        <f>(0.5*I41)*(6/10)</f>
        <v>5.2080000000000001E-2</v>
      </c>
      <c r="L41" s="895">
        <f>I41+K41</f>
        <v>0.22567999999999999</v>
      </c>
      <c r="M41" s="772">
        <f>IF(K41&lt;&gt;0,J41/K41,"0%")</f>
        <v>-0.5376344086021505</v>
      </c>
      <c r="N41" s="1520">
        <f>(((G41/C41)*M41)+(G42/C41)*M42)</f>
        <v>-0.26881720430107525</v>
      </c>
      <c r="O41" s="1458">
        <f>IF((((G41/C41)*M41)+((G42/C41)*M42))&gt;=1,3.57148,IF((((G41/C41)*M41)+((G42/C41)*M42))&lt;=0,0, (((G41/C41)*M41)+((G42/C41)*M42))*3.571428))</f>
        <v>0</v>
      </c>
      <c r="P41" s="1460">
        <f>O41/3.571428</f>
        <v>0</v>
      </c>
      <c r="Q41" s="896" t="s">
        <v>177</v>
      </c>
      <c r="R41" s="434"/>
      <c r="S41" s="130" t="s">
        <v>524</v>
      </c>
    </row>
    <row r="42" spans="1:19" ht="23.65" thickBot="1" x14ac:dyDescent="0.5">
      <c r="A42" s="1451"/>
      <c r="B42" s="1517"/>
      <c r="C42" s="1519"/>
      <c r="D42" s="657" t="s">
        <v>122</v>
      </c>
      <c r="E42" s="640">
        <f>$C$41/2</f>
        <v>1.7857142857142858</v>
      </c>
      <c r="F42" s="621" t="s">
        <v>31</v>
      </c>
      <c r="G42" s="658">
        <f>E42/1</f>
        <v>1.7857142857142858</v>
      </c>
      <c r="H42" s="1122"/>
      <c r="I42" s="1115"/>
      <c r="J42" s="1125">
        <f>H42-I42</f>
        <v>0</v>
      </c>
      <c r="K42" s="791">
        <f>(0.5*I42)*(6/10)</f>
        <v>0</v>
      </c>
      <c r="L42" s="900">
        <f>I42+K42</f>
        <v>0</v>
      </c>
      <c r="M42" s="779" t="str">
        <f>IF(K42&lt;&gt;0,J42/K42,"0%")</f>
        <v>0%</v>
      </c>
      <c r="N42" s="1520"/>
      <c r="O42" s="1459"/>
      <c r="P42" s="1461"/>
      <c r="Q42" s="896" t="s">
        <v>95</v>
      </c>
      <c r="R42" s="470"/>
      <c r="S42" s="538" t="s">
        <v>463</v>
      </c>
    </row>
    <row r="43" spans="1:19" ht="30.6" customHeight="1" thickBot="1" x14ac:dyDescent="0.5">
      <c r="B43" s="1486" t="s">
        <v>32</v>
      </c>
      <c r="C43" s="1487"/>
      <c r="D43" s="1487"/>
      <c r="E43" s="1487"/>
      <c r="F43" s="1488"/>
      <c r="G43" s="633"/>
      <c r="H43" s="1109"/>
      <c r="I43" s="1110"/>
      <c r="J43" s="902"/>
      <c r="K43" s="903"/>
      <c r="L43" s="903"/>
      <c r="M43" s="904"/>
      <c r="N43" s="760">
        <f>N44</f>
        <v>0</v>
      </c>
      <c r="O43" s="761">
        <f>O44</f>
        <v>0</v>
      </c>
      <c r="P43" s="762">
        <f>O43/3.571428</f>
        <v>0</v>
      </c>
      <c r="Q43" s="905"/>
      <c r="R43" s="469"/>
      <c r="S43" s="469"/>
    </row>
    <row r="44" spans="1:19" ht="37.799999999999997" customHeight="1" thickBot="1" x14ac:dyDescent="0.5">
      <c r="A44" s="1451">
        <v>12</v>
      </c>
      <c r="B44" s="1509" t="s">
        <v>33</v>
      </c>
      <c r="C44" s="1473">
        <f>M5</f>
        <v>3.5714285714285716</v>
      </c>
      <c r="D44" s="635" t="s">
        <v>123</v>
      </c>
      <c r="E44" s="660">
        <f>C44/2</f>
        <v>1.7857142857142858</v>
      </c>
      <c r="F44" s="635" t="s">
        <v>34</v>
      </c>
      <c r="G44" s="628">
        <f>$E$44/1</f>
        <v>1.7857142857142858</v>
      </c>
      <c r="H44" s="1120"/>
      <c r="I44" s="1126"/>
      <c r="J44" s="908">
        <f>IF(I44=H44,(H44-30),H44-I44)</f>
        <v>-30</v>
      </c>
      <c r="K44" s="798">
        <f>IF(I44&gt;=30,0,((30-I44)*(6/10)))</f>
        <v>18</v>
      </c>
      <c r="L44" s="909">
        <f>I44+K44</f>
        <v>18</v>
      </c>
      <c r="M44" s="772" t="str">
        <f>IF(H44=0,"0%",J44/K44)</f>
        <v>0%</v>
      </c>
      <c r="N44" s="1497">
        <f>(((G44/C44)*M44)+((G45/C44)*M45))</f>
        <v>0</v>
      </c>
      <c r="O44" s="1458">
        <f>IF((((G44/C44)*M44)+((G45/C44)*M45))&gt;=1,3.57148,IF((((G44/C44)*M44)+((G45/C44)*M45))&lt;=0,0, (((G44/C44)*M44)+((G45/C44)*M45))*3.571428))</f>
        <v>0</v>
      </c>
      <c r="P44" s="1460">
        <f>O44/3.571428</f>
        <v>0</v>
      </c>
      <c r="Q44" s="799" t="s">
        <v>178</v>
      </c>
      <c r="R44" s="471"/>
      <c r="S44" s="538" t="s">
        <v>463</v>
      </c>
    </row>
    <row r="45" spans="1:19" ht="35.25" thickBot="1" x14ac:dyDescent="0.5">
      <c r="A45" s="1451"/>
      <c r="B45" s="1510"/>
      <c r="C45" s="1511"/>
      <c r="D45" s="643" t="s">
        <v>124</v>
      </c>
      <c r="E45" s="661">
        <f>(C44/2)</f>
        <v>1.7857142857142858</v>
      </c>
      <c r="F45" s="643" t="s">
        <v>35</v>
      </c>
      <c r="G45" s="632">
        <f>$E$45/1</f>
        <v>1.7857142857142858</v>
      </c>
      <c r="H45" s="1127"/>
      <c r="I45" s="1128"/>
      <c r="J45" s="912">
        <f>IF(I45=H45,(H45-17),H45-I45)</f>
        <v>-17</v>
      </c>
      <c r="K45" s="913">
        <f>IF(I45&gt;=17,0,((17-I45)*(6/10)))</f>
        <v>10.199999999999999</v>
      </c>
      <c r="L45" s="914">
        <f>I45+K45</f>
        <v>10.199999999999999</v>
      </c>
      <c r="M45" s="915">
        <f>IF(I45&gt;=17,(1+(H45-17)/17),(H45/17))</f>
        <v>0</v>
      </c>
      <c r="N45" s="1499"/>
      <c r="O45" s="1459"/>
      <c r="P45" s="1461"/>
      <c r="Q45" s="811" t="s">
        <v>179</v>
      </c>
      <c r="R45" s="472"/>
      <c r="S45" s="538" t="s">
        <v>525</v>
      </c>
    </row>
    <row r="46" spans="1:19" ht="30.6" customHeight="1" thickBot="1" x14ac:dyDescent="0.5">
      <c r="B46" s="1525" t="s">
        <v>36</v>
      </c>
      <c r="C46" s="1526"/>
      <c r="D46" s="1526"/>
      <c r="E46" s="1526"/>
      <c r="F46" s="1527"/>
      <c r="G46" s="662"/>
      <c r="H46" s="1129"/>
      <c r="I46" s="1130"/>
      <c r="J46" s="918"/>
      <c r="K46" s="919"/>
      <c r="L46" s="919"/>
      <c r="M46" s="920"/>
      <c r="N46" s="760">
        <f>(N47+N50+N52)/3</f>
        <v>0.33268053993315649</v>
      </c>
      <c r="O46" s="761">
        <f>(O47+O50+O52)</f>
        <v>3.56443378611718</v>
      </c>
      <c r="P46" s="762">
        <f>O46/10.714284</f>
        <v>0.33268053993315655</v>
      </c>
      <c r="Q46" s="921"/>
      <c r="R46" s="473"/>
      <c r="S46" s="473"/>
    </row>
    <row r="47" spans="1:19" ht="20.45" customHeight="1" thickBot="1" x14ac:dyDescent="0.5">
      <c r="B47" s="1466" t="s">
        <v>37</v>
      </c>
      <c r="C47" s="1467"/>
      <c r="D47" s="1467"/>
      <c r="E47" s="1467"/>
      <c r="F47" s="1468"/>
      <c r="G47" s="663"/>
      <c r="H47" s="1131"/>
      <c r="I47" s="1132"/>
      <c r="J47" s="922"/>
      <c r="K47" s="923"/>
      <c r="L47" s="923"/>
      <c r="M47" s="904"/>
      <c r="N47" s="760">
        <f>N48</f>
        <v>3.3497793377820502E-2</v>
      </c>
      <c r="O47" s="761">
        <f>O48</f>
        <v>0.11963495720776272</v>
      </c>
      <c r="P47" s="762">
        <f>O47/3.571428</f>
        <v>3.3497793377820502E-2</v>
      </c>
      <c r="Q47" s="905"/>
      <c r="R47" s="469"/>
      <c r="S47" s="469"/>
    </row>
    <row r="48" spans="1:19" ht="37.799999999999997" customHeight="1" thickBot="1" x14ac:dyDescent="0.5">
      <c r="A48" s="1451">
        <v>13</v>
      </c>
      <c r="B48" s="1509" t="s">
        <v>38</v>
      </c>
      <c r="C48" s="1473">
        <f>M5</f>
        <v>3.5714285714285716</v>
      </c>
      <c r="D48" s="635" t="s">
        <v>125</v>
      </c>
      <c r="E48" s="604">
        <f>$C$48/2</f>
        <v>1.7857142857142858</v>
      </c>
      <c r="F48" s="664" t="s">
        <v>289</v>
      </c>
      <c r="G48" s="628">
        <f>E48/1</f>
        <v>1.7857142857142858</v>
      </c>
      <c r="H48" s="1120"/>
      <c r="I48" s="1112"/>
      <c r="J48" s="815">
        <f>H48-I48</f>
        <v>0</v>
      </c>
      <c r="K48" s="927">
        <f>(0.5*I48)* (6/10)</f>
        <v>0</v>
      </c>
      <c r="L48" s="928">
        <f>I48-K48</f>
        <v>0</v>
      </c>
      <c r="M48" s="786" t="str">
        <f>IF(K48&lt;&gt;0,J48/K48,"0%")</f>
        <v>0%</v>
      </c>
      <c r="N48" s="1528">
        <f>(((G48/C48)*M48)+((G49/C48)*M49))</f>
        <v>3.3497793377820502E-2</v>
      </c>
      <c r="O48" s="1458">
        <f>IF((((G48/C48)*M48)+((G49/C48)*M49))&gt;=1,3.57148,IF((((G48/C48)*M48)+((G49/C48)*M49))&lt;=0,0, (((G48/C48)*M48)+((G49/C48)*M49))*3.571428))</f>
        <v>0.11963495720776272</v>
      </c>
      <c r="P48" s="1460">
        <f>O48/3.571428</f>
        <v>3.3497793377820502E-2</v>
      </c>
      <c r="Q48" s="834" t="s">
        <v>95</v>
      </c>
      <c r="R48" s="466"/>
      <c r="S48" s="538" t="s">
        <v>526</v>
      </c>
    </row>
    <row r="49" spans="1:19" ht="30.6" customHeight="1" thickBot="1" x14ac:dyDescent="0.5">
      <c r="A49" s="1451"/>
      <c r="B49" s="1510"/>
      <c r="C49" s="1511"/>
      <c r="D49" s="643" t="s">
        <v>126</v>
      </c>
      <c r="E49" s="612">
        <f>$C$48/2</f>
        <v>1.7857142857142858</v>
      </c>
      <c r="F49" s="643" t="s">
        <v>290</v>
      </c>
      <c r="G49" s="632">
        <f>E49/1</f>
        <v>1.7857142857142858</v>
      </c>
      <c r="H49" s="1133">
        <f>([1]Mainland!H49*0.972)+([1]Zanzibar!H49*0.028)</f>
        <v>908977827.528</v>
      </c>
      <c r="I49" s="1134">
        <f>([1]Mainland!I49*0.972)+([1]Zanzibar!I49*0.028)</f>
        <v>841338655.28294086</v>
      </c>
      <c r="J49" s="827">
        <f>H49-I49</f>
        <v>67639172.245059133</v>
      </c>
      <c r="K49" s="931">
        <f>(2*I49)*(6/10)</f>
        <v>1009606386.339529</v>
      </c>
      <c r="L49" s="932">
        <f>I49+K49</f>
        <v>1850945041.6224699</v>
      </c>
      <c r="M49" s="779">
        <f>IF(K49&lt;&gt;0,J49/K49,"0%")</f>
        <v>6.6995586755641004E-2</v>
      </c>
      <c r="N49" s="1529"/>
      <c r="O49" s="1459"/>
      <c r="P49" s="1461"/>
      <c r="Q49" s="840" t="s">
        <v>95</v>
      </c>
      <c r="R49" s="470"/>
      <c r="S49" s="751" t="s">
        <v>518</v>
      </c>
    </row>
    <row r="50" spans="1:19" ht="15" customHeight="1" thickBot="1" x14ac:dyDescent="0.5">
      <c r="B50" s="1486" t="s">
        <v>39</v>
      </c>
      <c r="C50" s="1487"/>
      <c r="D50" s="1487"/>
      <c r="E50" s="1487"/>
      <c r="F50" s="1488"/>
      <c r="G50" s="666"/>
      <c r="H50" s="1135"/>
      <c r="I50" s="1136"/>
      <c r="J50" s="934"/>
      <c r="K50" s="934"/>
      <c r="L50" s="934"/>
      <c r="M50" s="935"/>
      <c r="N50" s="760">
        <f>N51</f>
        <v>0.81</v>
      </c>
      <c r="O50" s="761">
        <f>O51</f>
        <v>2.8928566800000004</v>
      </c>
      <c r="P50" s="762">
        <f>O50/3.571428</f>
        <v>0.81</v>
      </c>
      <c r="Q50" s="936"/>
      <c r="R50" s="478"/>
      <c r="S50" s="478"/>
    </row>
    <row r="51" spans="1:19" ht="42.4" customHeight="1" thickBot="1" x14ac:dyDescent="0.5">
      <c r="A51" s="20">
        <v>14</v>
      </c>
      <c r="B51" s="667" t="s">
        <v>226</v>
      </c>
      <c r="C51" s="668">
        <f>M5</f>
        <v>3.5714285714285716</v>
      </c>
      <c r="D51" s="669" t="s">
        <v>272</v>
      </c>
      <c r="E51" s="670">
        <f>C51</f>
        <v>3.5714285714285716</v>
      </c>
      <c r="F51" s="671" t="s">
        <v>266</v>
      </c>
      <c r="G51" s="672">
        <f>E51/1</f>
        <v>3.5714285714285716</v>
      </c>
      <c r="H51" s="1137">
        <f>([1]Mainland!H51*0.972)+([1]Zanzibar!H51*0.028)</f>
        <v>48.6</v>
      </c>
      <c r="I51" s="1138">
        <f>([1]Mainland!I51*0.972)+([1]Zanzibar!I51*0.028)</f>
        <v>0</v>
      </c>
      <c r="J51" s="939">
        <f>H51-I51</f>
        <v>48.6</v>
      </c>
      <c r="K51" s="940">
        <f>(100-I51)*(6/10)</f>
        <v>60</v>
      </c>
      <c r="L51" s="941">
        <f>I51+K51</f>
        <v>60</v>
      </c>
      <c r="M51" s="793">
        <f>IF(K51&lt;&gt;0,J51/K51,"100%")</f>
        <v>0.81</v>
      </c>
      <c r="N51" s="853">
        <f>((G51/C51)*M51)</f>
        <v>0.81</v>
      </c>
      <c r="O51" s="854">
        <f>IF(((G51/C51)*M51)&gt;=1,3.571428,IF(((G51/C51)*M51)&lt;=0,0,((G51/C51)*M51)*3.571428))</f>
        <v>2.8928566800000004</v>
      </c>
      <c r="P51" s="762">
        <f>O51/3.571428</f>
        <v>0.81</v>
      </c>
      <c r="Q51" s="942" t="s">
        <v>95</v>
      </c>
      <c r="R51" s="351"/>
      <c r="S51" s="728" t="s">
        <v>527</v>
      </c>
    </row>
    <row r="52" spans="1:19" ht="20.45" customHeight="1" thickBot="1" x14ac:dyDescent="0.5">
      <c r="B52" s="1486" t="s">
        <v>40</v>
      </c>
      <c r="C52" s="1487"/>
      <c r="D52" s="1487"/>
      <c r="E52" s="1487"/>
      <c r="F52" s="1488"/>
      <c r="G52" s="663"/>
      <c r="H52" s="1131"/>
      <c r="I52" s="1132"/>
      <c r="J52" s="922"/>
      <c r="K52" s="923"/>
      <c r="L52" s="923"/>
      <c r="M52" s="832"/>
      <c r="N52" s="760">
        <f>N53</f>
        <v>0.15454382642164893</v>
      </c>
      <c r="O52" s="761">
        <f>O53</f>
        <v>0.55194214890941684</v>
      </c>
      <c r="P52" s="762">
        <f>O52/3.571428</f>
        <v>0.15454382642164893</v>
      </c>
      <c r="Q52" s="943"/>
      <c r="R52" s="478"/>
      <c r="S52" s="478"/>
    </row>
    <row r="53" spans="1:19" ht="43.8" customHeight="1" thickBot="1" x14ac:dyDescent="0.5">
      <c r="A53" s="1451">
        <v>15</v>
      </c>
      <c r="B53" s="1469" t="s">
        <v>108</v>
      </c>
      <c r="C53" s="1473">
        <f>M5</f>
        <v>3.5714285714285716</v>
      </c>
      <c r="D53" s="674" t="s">
        <v>127</v>
      </c>
      <c r="E53" s="675">
        <f>$C$53/5</f>
        <v>0.7142857142857143</v>
      </c>
      <c r="F53" s="676" t="s">
        <v>41</v>
      </c>
      <c r="G53" s="628">
        <f>E53/1</f>
        <v>0.7142857142857143</v>
      </c>
      <c r="H53" s="1120"/>
      <c r="I53" s="1112"/>
      <c r="J53" s="815">
        <f>H53-I53</f>
        <v>0</v>
      </c>
      <c r="K53" s="927">
        <f>(100-I53)*(6/10)</f>
        <v>60</v>
      </c>
      <c r="L53" s="878">
        <f t="shared" ref="L53:L58" si="15">I53+K53</f>
        <v>60</v>
      </c>
      <c r="M53" s="772" t="str">
        <f>IF(H53=0,"0%",J53/K53)</f>
        <v>0%</v>
      </c>
      <c r="N53" s="1522">
        <f>(((G53/C53)*M53)+((G54/C53)*M54)+((G55/C53)*M55)+((G56/C53)*M56)+((G57/C53)*M57)+((G58/C53)*M58))</f>
        <v>0.15454382642164893</v>
      </c>
      <c r="O53" s="1533">
        <f>IF((((G53/C53)*M53)+((G54/C53)*M54)+((G55/C53)*M55)+((G56/C53)*M56)+((G57/C53)*M57)+((G58/C53)*M58))&gt;=1,3.571428,IF((((G53/C53)*M53)+((G54/C53)*M54)+((G55/C53)*M55)+((G56/C53)*M56)+((G57/C53)*M57)+((G58/C53)*M58))&lt;=0,0,((((G53/C53)*M53)+((G54/C53)*M54)+((G55/C53)*M55)+((G56/C53)*M56)+((G57/C53)*M57)+((G58/C53)*M58))*3.571428)))</f>
        <v>0.55194214890941684</v>
      </c>
      <c r="P53" s="1460">
        <f>O53/3.571428</f>
        <v>0.15454382642164893</v>
      </c>
      <c r="Q53" s="946" t="s">
        <v>95</v>
      </c>
      <c r="R53" s="239"/>
      <c r="S53" s="538" t="s">
        <v>463</v>
      </c>
    </row>
    <row r="54" spans="1:19" ht="35.450000000000003" customHeight="1" thickBot="1" x14ac:dyDescent="0.5">
      <c r="A54" s="1451"/>
      <c r="B54" s="1470"/>
      <c r="C54" s="1474"/>
      <c r="D54" s="679" t="s">
        <v>128</v>
      </c>
      <c r="E54" s="680">
        <f t="shared" ref="E54:E57" si="16">$C$53/5</f>
        <v>0.7142857142857143</v>
      </c>
      <c r="F54" s="681" t="s">
        <v>42</v>
      </c>
      <c r="G54" s="630">
        <f>E54/1</f>
        <v>0.7142857142857143</v>
      </c>
      <c r="H54" s="1139"/>
      <c r="I54" s="1140"/>
      <c r="J54" s="820">
        <f>H54-I54</f>
        <v>0</v>
      </c>
      <c r="K54" s="883">
        <f>(100-I54)*(6/6)</f>
        <v>100</v>
      </c>
      <c r="L54" s="884">
        <f>I54+K54</f>
        <v>100</v>
      </c>
      <c r="M54" s="805">
        <f t="shared" ref="M54:M55" si="17">IF(K54&lt;&gt;0,J54/K54,"0%")</f>
        <v>0</v>
      </c>
      <c r="N54" s="1523"/>
      <c r="O54" s="1482"/>
      <c r="P54" s="1485"/>
      <c r="Q54" s="949" t="s">
        <v>95</v>
      </c>
      <c r="R54" s="354"/>
      <c r="S54" s="538" t="s">
        <v>463</v>
      </c>
    </row>
    <row r="55" spans="1:19" ht="34.25" customHeight="1" thickBot="1" x14ac:dyDescent="0.5">
      <c r="A55" s="1451"/>
      <c r="B55" s="1470"/>
      <c r="C55" s="1474"/>
      <c r="D55" s="679" t="s">
        <v>129</v>
      </c>
      <c r="E55" s="680">
        <f t="shared" si="16"/>
        <v>0.7142857142857143</v>
      </c>
      <c r="F55" s="681" t="s">
        <v>43</v>
      </c>
      <c r="G55" s="630">
        <f>E55/1</f>
        <v>0.7142857142857143</v>
      </c>
      <c r="H55" s="1139"/>
      <c r="I55" s="1140"/>
      <c r="J55" s="820">
        <f>H55-I55</f>
        <v>0</v>
      </c>
      <c r="K55" s="883">
        <f>(10-I55)*(6/10)</f>
        <v>6</v>
      </c>
      <c r="L55" s="884">
        <f t="shared" si="15"/>
        <v>6</v>
      </c>
      <c r="M55" s="805">
        <f t="shared" si="17"/>
        <v>0</v>
      </c>
      <c r="N55" s="1523"/>
      <c r="O55" s="1482"/>
      <c r="P55" s="1485"/>
      <c r="Q55" s="949" t="s">
        <v>95</v>
      </c>
      <c r="R55" s="354"/>
      <c r="S55" s="538" t="s">
        <v>463</v>
      </c>
    </row>
    <row r="56" spans="1:19" ht="37.25" customHeight="1" thickBot="1" x14ac:dyDescent="0.5">
      <c r="A56" s="1451"/>
      <c r="B56" s="1470"/>
      <c r="C56" s="1474"/>
      <c r="D56" s="679" t="s">
        <v>130</v>
      </c>
      <c r="E56" s="680">
        <f t="shared" si="16"/>
        <v>0.7142857142857143</v>
      </c>
      <c r="F56" s="681" t="s">
        <v>44</v>
      </c>
      <c r="G56" s="630">
        <f>E56/1</f>
        <v>0.7142857142857143</v>
      </c>
      <c r="H56" s="1107">
        <f>([1]Mainland!H56*0.972)+([1]Zanzibar!H56*0.028)</f>
        <v>6953688</v>
      </c>
      <c r="I56" s="1108">
        <f>([1]Mainland!I56*0.972)+([1]Zanzibar!I56*0.028)</f>
        <v>5779706.3999999994</v>
      </c>
      <c r="J56" s="820">
        <f>H56-I56</f>
        <v>1173981.6000000006</v>
      </c>
      <c r="K56" s="953">
        <f>(0.5*I56)*(6/7)</f>
        <v>2477017.0285714283</v>
      </c>
      <c r="L56" s="884">
        <f t="shared" si="15"/>
        <v>8256723.4285714272</v>
      </c>
      <c r="M56" s="805">
        <f>IF(K56&lt;&gt;0,J56/K56,"0%")</f>
        <v>0.47394974941979778</v>
      </c>
      <c r="N56" s="1523"/>
      <c r="O56" s="1482"/>
      <c r="P56" s="1485"/>
      <c r="Q56" s="949" t="s">
        <v>101</v>
      </c>
      <c r="R56" s="354"/>
      <c r="S56" s="354" t="s">
        <v>528</v>
      </c>
    </row>
    <row r="57" spans="1:19" ht="22.8" customHeight="1" thickBot="1" x14ac:dyDescent="0.5">
      <c r="A57" s="1451"/>
      <c r="B57" s="1470"/>
      <c r="C57" s="1474"/>
      <c r="D57" s="1535" t="s">
        <v>131</v>
      </c>
      <c r="E57" s="1537">
        <f t="shared" si="16"/>
        <v>0.7142857142857143</v>
      </c>
      <c r="F57" s="681" t="s">
        <v>45</v>
      </c>
      <c r="G57" s="630">
        <f>$E$57/2</f>
        <v>0.35714285714285715</v>
      </c>
      <c r="H57" s="1105">
        <f>([1]Mainland!H57*0.972)+([1]Zanzibar!H57*0.028)</f>
        <v>77.775999999999996</v>
      </c>
      <c r="I57" s="1106">
        <f>([1]Mainland!I57*0.972)+([1]Zanzibar!I57*0.028)</f>
        <v>57.250399999999999</v>
      </c>
      <c r="J57" s="820">
        <f t="shared" ref="J57:J58" si="18">H57-I57</f>
        <v>20.525599999999997</v>
      </c>
      <c r="K57" s="955">
        <f>(1*I57)*(6/10)</f>
        <v>34.350239999999999</v>
      </c>
      <c r="L57" s="884">
        <f t="shared" si="15"/>
        <v>91.600639999999999</v>
      </c>
      <c r="M57" s="805">
        <f>IF(K57&lt;&gt;0,J57/K57,"0%")</f>
        <v>0.59753876537689399</v>
      </c>
      <c r="N57" s="1523"/>
      <c r="O57" s="1482"/>
      <c r="P57" s="1485"/>
      <c r="Q57" s="949" t="s">
        <v>180</v>
      </c>
      <c r="R57" s="354"/>
      <c r="S57" s="751" t="s">
        <v>518</v>
      </c>
    </row>
    <row r="58" spans="1:19" ht="15" customHeight="1" thickBot="1" x14ac:dyDescent="0.5">
      <c r="A58" s="1451"/>
      <c r="B58" s="1521"/>
      <c r="C58" s="1511"/>
      <c r="D58" s="1536"/>
      <c r="E58" s="1538"/>
      <c r="F58" s="611" t="s">
        <v>46</v>
      </c>
      <c r="G58" s="632">
        <f>$E$57/2</f>
        <v>0.35714285714285715</v>
      </c>
      <c r="H58" s="1141"/>
      <c r="I58" s="1142"/>
      <c r="J58" s="827">
        <f t="shared" si="18"/>
        <v>0</v>
      </c>
      <c r="K58" s="931">
        <f>(1*I58)*(6/10)</f>
        <v>0</v>
      </c>
      <c r="L58" s="956">
        <f t="shared" si="15"/>
        <v>0</v>
      </c>
      <c r="M58" s="779" t="str">
        <f>IF(K58&lt;&gt;0,J58/K58,"0%")</f>
        <v>0%</v>
      </c>
      <c r="N58" s="1524"/>
      <c r="O58" s="1483"/>
      <c r="P58" s="1461"/>
      <c r="Q58" s="957" t="s">
        <v>95</v>
      </c>
      <c r="R58" s="355"/>
      <c r="S58" s="538" t="s">
        <v>463</v>
      </c>
    </row>
    <row r="59" spans="1:19" ht="23.45" customHeight="1" thickBot="1" x14ac:dyDescent="0.5">
      <c r="B59" s="1525" t="s">
        <v>47</v>
      </c>
      <c r="C59" s="1526"/>
      <c r="D59" s="1526"/>
      <c r="E59" s="1526"/>
      <c r="F59" s="1527"/>
      <c r="G59" s="686"/>
      <c r="H59" s="1129"/>
      <c r="I59" s="1130"/>
      <c r="J59" s="959"/>
      <c r="K59" s="959"/>
      <c r="L59" s="959"/>
      <c r="M59" s="920"/>
      <c r="N59" s="760">
        <f>(N60+N67)/2</f>
        <v>-1.3815781591337978E-3</v>
      </c>
      <c r="O59" s="761">
        <f>(O60+O67)</f>
        <v>0.5851247330097088</v>
      </c>
      <c r="P59" s="762">
        <f>O59/7.142856</f>
        <v>8.1917475728155345E-2</v>
      </c>
      <c r="Q59" s="960"/>
      <c r="R59" s="480"/>
      <c r="S59" s="481"/>
    </row>
    <row r="60" spans="1:19" ht="22.25" customHeight="1" thickBot="1" x14ac:dyDescent="0.5">
      <c r="B60" s="1486" t="s">
        <v>48</v>
      </c>
      <c r="C60" s="1487"/>
      <c r="D60" s="1487"/>
      <c r="E60" s="1487"/>
      <c r="F60" s="1488"/>
      <c r="G60" s="633"/>
      <c r="H60" s="1131"/>
      <c r="I60" s="1132"/>
      <c r="J60" s="830"/>
      <c r="K60" s="831"/>
      <c r="L60" s="831"/>
      <c r="M60" s="832"/>
      <c r="N60" s="760">
        <f>N61</f>
        <v>0.16383495145631069</v>
      </c>
      <c r="O60" s="761">
        <f>O61</f>
        <v>0.5851247330097088</v>
      </c>
      <c r="P60" s="762">
        <f>O60/3.571428</f>
        <v>0.16383495145631069</v>
      </c>
      <c r="Q60" s="813"/>
      <c r="R60" s="469"/>
      <c r="S60" s="469"/>
    </row>
    <row r="61" spans="1:19" ht="39" customHeight="1" thickBot="1" x14ac:dyDescent="0.5">
      <c r="A61" s="1451">
        <v>16</v>
      </c>
      <c r="B61" s="1469" t="s">
        <v>49</v>
      </c>
      <c r="C61" s="1473">
        <f>M5</f>
        <v>3.5714285714285716</v>
      </c>
      <c r="D61" s="635" t="s">
        <v>133</v>
      </c>
      <c r="E61" s="604">
        <f>$C$61/4</f>
        <v>0.8928571428571429</v>
      </c>
      <c r="F61" s="635" t="s">
        <v>50</v>
      </c>
      <c r="G61" s="628">
        <f>E61/1</f>
        <v>0.8928571428571429</v>
      </c>
      <c r="H61" s="1111"/>
      <c r="I61" s="1143"/>
      <c r="J61" s="908">
        <f>IF(I61=H61,(H61-70),H61-I61)</f>
        <v>-70</v>
      </c>
      <c r="K61" s="798">
        <f>IF(I61&gt;=70,0,((70-I61)*(6/10)))</f>
        <v>42</v>
      </c>
      <c r="L61" s="964">
        <f t="shared" ref="L61:L66" si="19">I61+K61</f>
        <v>42</v>
      </c>
      <c r="M61" s="772" t="str">
        <f>IF(H61=0,"0%",J61/K61)</f>
        <v>0%</v>
      </c>
      <c r="N61" s="1530">
        <f>(((G61/C61)*M61)+((G62/C61)*M62)+((G63/C61)*M63)+((G64/C61)*M64)+((G65/C61)*M65)+((G66/C61)*M66))</f>
        <v>0.16383495145631069</v>
      </c>
      <c r="O61" s="1533">
        <f>IF((((G61/C61)*M61)+((G62/C61)*M62)+((G63/C61)*M63)+((G64/C61)*M64)+((G65/C61)*M65)+((G66/C61)*M66))&gt;=1,3.571428,IF((((G61/C61)*M61)+((G62/C61)*M62)+((G63/C61)*M63)+((G64/C61)*M64)+((G65/C61)*M65)+((G66/C61)*M66))&lt;=0,0,((((G61/C61)*M61)+((G62/C61)*M62)+((G63/C61)*M63)+((G64/C61)*M64)+((G65/C61)*M65)+((G66/C61)*M66))*3.571428)))</f>
        <v>0.5851247330097088</v>
      </c>
      <c r="P61" s="1460">
        <f>O61/3.571428</f>
        <v>0.16383495145631069</v>
      </c>
      <c r="Q61" s="879" t="s">
        <v>181</v>
      </c>
      <c r="R61" s="466"/>
      <c r="S61" s="538" t="s">
        <v>463</v>
      </c>
    </row>
    <row r="62" spans="1:19" ht="58.25" customHeight="1" thickBot="1" x14ac:dyDescent="0.5">
      <c r="A62" s="1451"/>
      <c r="B62" s="1470"/>
      <c r="C62" s="1474"/>
      <c r="D62" s="637" t="s">
        <v>134</v>
      </c>
      <c r="E62" s="638">
        <f t="shared" ref="E62:E63" si="20">$C$61/4</f>
        <v>0.8928571428571429</v>
      </c>
      <c r="F62" s="679" t="s">
        <v>276</v>
      </c>
      <c r="G62" s="630">
        <f>$E$62/1</f>
        <v>0.8928571428571429</v>
      </c>
      <c r="H62" s="1139"/>
      <c r="I62" s="1140"/>
      <c r="J62" s="965">
        <f>IF(I62=H62,(H62-70),H62-I62)</f>
        <v>-70</v>
      </c>
      <c r="K62" s="803">
        <f t="shared" ref="K62:K63" si="21">IF(I62&gt;=70,0,((70-I62)*(6/10)))</f>
        <v>42</v>
      </c>
      <c r="L62" s="966">
        <f t="shared" si="19"/>
        <v>42</v>
      </c>
      <c r="M62" s="805" t="str">
        <f>IF(H62=0,"0%",J62/K62)</f>
        <v>0%</v>
      </c>
      <c r="N62" s="1531"/>
      <c r="O62" s="1482"/>
      <c r="P62" s="1485"/>
      <c r="Q62" s="885" t="s">
        <v>182</v>
      </c>
      <c r="R62" s="160"/>
      <c r="S62" s="538" t="s">
        <v>463</v>
      </c>
    </row>
    <row r="63" spans="1:19" ht="26.45" customHeight="1" thickBot="1" x14ac:dyDescent="0.5">
      <c r="A63" s="1451"/>
      <c r="B63" s="1470"/>
      <c r="C63" s="1474"/>
      <c r="D63" s="637" t="s">
        <v>135</v>
      </c>
      <c r="E63" s="638">
        <f t="shared" si="20"/>
        <v>0.8928571428571429</v>
      </c>
      <c r="F63" s="637" t="s">
        <v>51</v>
      </c>
      <c r="G63" s="630">
        <f>E63/1</f>
        <v>0.8928571428571429</v>
      </c>
      <c r="H63" s="1144"/>
      <c r="I63" s="1145"/>
      <c r="J63" s="965">
        <f>IF(I63=H63,(H63-70),H63-I63)</f>
        <v>-70</v>
      </c>
      <c r="K63" s="803">
        <f t="shared" si="21"/>
        <v>42</v>
      </c>
      <c r="L63" s="966">
        <f t="shared" si="19"/>
        <v>42</v>
      </c>
      <c r="M63" s="805" t="str">
        <f>IF(H63=0,"0%",J63/K63)</f>
        <v>0%</v>
      </c>
      <c r="N63" s="1531"/>
      <c r="O63" s="1482"/>
      <c r="P63" s="1485"/>
      <c r="Q63" s="885" t="s">
        <v>95</v>
      </c>
      <c r="R63" s="160"/>
      <c r="S63" s="538" t="s">
        <v>463</v>
      </c>
    </row>
    <row r="64" spans="1:19" ht="43.9" customHeight="1" thickBot="1" x14ac:dyDescent="0.5">
      <c r="A64" s="1451"/>
      <c r="B64" s="1470"/>
      <c r="C64" s="1474"/>
      <c r="D64" s="1503" t="s">
        <v>136</v>
      </c>
      <c r="E64" s="1505">
        <f>$C$61/4</f>
        <v>0.8928571428571429</v>
      </c>
      <c r="F64" s="687" t="s">
        <v>52</v>
      </c>
      <c r="G64" s="688">
        <f>$E$64/3</f>
        <v>0.29761904761904762</v>
      </c>
      <c r="H64" s="1146">
        <f>([1]Mainland!H64*0.972)+([1]Zanzibar!H64*0.028)</f>
        <v>97.2</v>
      </c>
      <c r="I64" s="1147">
        <f>([1]Mainland!I64*0.972)+([1]Zanzibar!I64*0.028)</f>
        <v>97.2</v>
      </c>
      <c r="J64" s="969">
        <f t="shared" ref="J64:J66" si="22">H64-I64</f>
        <v>0</v>
      </c>
      <c r="K64" s="970">
        <f>(100-I64)*(6/10)</f>
        <v>1.6799999999999982</v>
      </c>
      <c r="L64" s="966">
        <f t="shared" si="19"/>
        <v>98.88</v>
      </c>
      <c r="M64" s="805">
        <f>I64/L64</f>
        <v>0.9830097087378642</v>
      </c>
      <c r="N64" s="1531"/>
      <c r="O64" s="1482"/>
      <c r="P64" s="1485"/>
      <c r="Q64" s="885" t="s">
        <v>95</v>
      </c>
      <c r="R64" s="146"/>
      <c r="S64" s="728" t="s">
        <v>527</v>
      </c>
    </row>
    <row r="65" spans="1:19" ht="35.25" thickBot="1" x14ac:dyDescent="0.5">
      <c r="A65" s="1451"/>
      <c r="B65" s="1470"/>
      <c r="C65" s="1474"/>
      <c r="D65" s="1503"/>
      <c r="E65" s="1505"/>
      <c r="F65" s="687" t="s">
        <v>53</v>
      </c>
      <c r="G65" s="688">
        <f t="shared" ref="G65:G66" si="23">$E$64/3</f>
        <v>0.29761904761904762</v>
      </c>
      <c r="H65" s="1146">
        <f>([1]Mainland!H65*0.972)+([1]Zanzibar!H65*0.028)</f>
        <v>97.2</v>
      </c>
      <c r="I65" s="1147">
        <f>([1]Mainland!I65*0.972)+([1]Zanzibar!I65*0.028)</f>
        <v>97.2</v>
      </c>
      <c r="J65" s="969">
        <f t="shared" si="22"/>
        <v>0</v>
      </c>
      <c r="K65" s="970">
        <f>(100-I65)*(6/10)</f>
        <v>1.6799999999999982</v>
      </c>
      <c r="L65" s="966">
        <f t="shared" si="19"/>
        <v>98.88</v>
      </c>
      <c r="M65" s="805">
        <f>I65/L65</f>
        <v>0.9830097087378642</v>
      </c>
      <c r="N65" s="1531"/>
      <c r="O65" s="1482"/>
      <c r="P65" s="1485"/>
      <c r="Q65" s="885" t="s">
        <v>95</v>
      </c>
      <c r="R65" s="160"/>
      <c r="S65" s="728" t="s">
        <v>527</v>
      </c>
    </row>
    <row r="66" spans="1:19" ht="27.6" customHeight="1" thickBot="1" x14ac:dyDescent="0.5">
      <c r="A66" s="1451"/>
      <c r="B66" s="1521"/>
      <c r="C66" s="1511"/>
      <c r="D66" s="1510"/>
      <c r="E66" s="1534"/>
      <c r="F66" s="689" t="s">
        <v>54</v>
      </c>
      <c r="G66" s="690">
        <f t="shared" si="23"/>
        <v>0.29761904761904762</v>
      </c>
      <c r="H66" s="1127"/>
      <c r="I66" s="1128"/>
      <c r="J66" s="973">
        <f t="shared" si="22"/>
        <v>0</v>
      </c>
      <c r="K66" s="974">
        <f>(100-I66)*(6/10)</f>
        <v>60</v>
      </c>
      <c r="L66" s="975">
        <f t="shared" si="19"/>
        <v>60</v>
      </c>
      <c r="M66" s="779">
        <f t="shared" ref="M66" si="24">IF(K66&lt;&gt;0,J66/K66,"100%")</f>
        <v>0</v>
      </c>
      <c r="N66" s="1532"/>
      <c r="O66" s="1483"/>
      <c r="P66" s="1461"/>
      <c r="Q66" s="976" t="s">
        <v>95</v>
      </c>
      <c r="R66" s="470"/>
      <c r="S66" s="538" t="s">
        <v>463</v>
      </c>
    </row>
    <row r="67" spans="1:19" ht="27" customHeight="1" thickBot="1" x14ac:dyDescent="0.5">
      <c r="B67" s="1466" t="s">
        <v>55</v>
      </c>
      <c r="C67" s="1467"/>
      <c r="D67" s="1467"/>
      <c r="E67" s="1467"/>
      <c r="F67" s="1468"/>
      <c r="G67" s="659"/>
      <c r="H67" s="1148"/>
      <c r="I67" s="1149"/>
      <c r="J67" s="902"/>
      <c r="K67" s="903"/>
      <c r="L67" s="903"/>
      <c r="M67" s="993"/>
      <c r="N67" s="760">
        <f>N68</f>
        <v>-0.16659810777457829</v>
      </c>
      <c r="O67" s="761">
        <f>O68</f>
        <v>0</v>
      </c>
      <c r="P67" s="762">
        <f>O67/3.571428</f>
        <v>0</v>
      </c>
      <c r="Q67" s="978"/>
      <c r="R67" s="729"/>
      <c r="S67" s="730"/>
    </row>
    <row r="68" spans="1:19" ht="58.5" thickBot="1" x14ac:dyDescent="0.5">
      <c r="A68" s="21">
        <v>17</v>
      </c>
      <c r="B68" s="691" t="s">
        <v>56</v>
      </c>
      <c r="C68" s="692">
        <f>M5</f>
        <v>3.5714285714285716</v>
      </c>
      <c r="D68" s="691" t="s">
        <v>137</v>
      </c>
      <c r="E68" s="692">
        <f>C68</f>
        <v>3.5714285714285716</v>
      </c>
      <c r="F68" s="691" t="s">
        <v>57</v>
      </c>
      <c r="G68" s="693">
        <f>E68/1</f>
        <v>3.5714285714285716</v>
      </c>
      <c r="H68" s="1146">
        <f>([1]Mainland!H68*0.972)+([1]Zanzibar!H68*0.028)</f>
        <v>34.991999999999997</v>
      </c>
      <c r="I68" s="1147">
        <f>([1]Mainland!I68*0.972)+([1]Zanzibar!I68*0.028)</f>
        <v>31.103999999999999</v>
      </c>
      <c r="J68" s="981">
        <f>IF(I68=H68,(H68-70),I68-H68)</f>
        <v>-3.8879999999999981</v>
      </c>
      <c r="K68" s="866">
        <f t="shared" ref="K68" si="25">IF(I68&gt;=70,0,((70-I68)*(6/10)))</f>
        <v>23.337599999999998</v>
      </c>
      <c r="L68" s="982">
        <f>I68-K68</f>
        <v>7.7664000000000009</v>
      </c>
      <c r="M68" s="852">
        <f t="shared" ref="M68" si="26">IF(I68&gt;=70,(1+(H68-70)/70),(J68/K68))</f>
        <v>-0.16659810777457829</v>
      </c>
      <c r="N68" s="983">
        <f>((G68/C68)*M68)</f>
        <v>-0.16659810777457829</v>
      </c>
      <c r="O68" s="854">
        <f>IF(((G68/C68)*M68)&gt;=1,3.571428,IF(((G68/C68)*M68)&lt;=0,0,((G68/C68)*M68)*3.571428))</f>
        <v>0</v>
      </c>
      <c r="P68" s="762">
        <f>O68/3.571428</f>
        <v>0</v>
      </c>
      <c r="Q68" s="984" t="s">
        <v>132</v>
      </c>
      <c r="R68" s="97" t="s">
        <v>349</v>
      </c>
      <c r="S68" s="130" t="s">
        <v>523</v>
      </c>
    </row>
    <row r="69" spans="1:19" ht="22.25" customHeight="1" thickBot="1" x14ac:dyDescent="0.5">
      <c r="B69" s="1362" t="s">
        <v>58</v>
      </c>
      <c r="C69" s="1363"/>
      <c r="D69" s="1363"/>
      <c r="E69" s="1363"/>
      <c r="F69" s="1364"/>
      <c r="G69" s="150"/>
      <c r="H69" s="1150"/>
      <c r="I69" s="1151"/>
      <c r="J69" s="987"/>
      <c r="K69" s="988"/>
      <c r="L69" s="988"/>
      <c r="M69" s="989"/>
      <c r="N69" s="760">
        <f>(N70+N72+N74)/3</f>
        <v>0</v>
      </c>
      <c r="O69" s="761">
        <f>(O70+O72+O74)</f>
        <v>0</v>
      </c>
      <c r="P69" s="762">
        <f>O69/10.714284</f>
        <v>0</v>
      </c>
      <c r="Q69" s="990"/>
      <c r="R69" s="484"/>
      <c r="S69" s="485"/>
    </row>
    <row r="70" spans="1:19" ht="20.45" customHeight="1" thickBot="1" x14ac:dyDescent="0.5">
      <c r="B70" s="1486" t="s">
        <v>59</v>
      </c>
      <c r="C70" s="1487"/>
      <c r="D70" s="1487"/>
      <c r="E70" s="1487"/>
      <c r="F70" s="1488"/>
      <c r="G70" s="633"/>
      <c r="H70" s="1152"/>
      <c r="I70" s="1153"/>
      <c r="J70" s="813"/>
      <c r="K70" s="813"/>
      <c r="L70" s="813"/>
      <c r="M70" s="993"/>
      <c r="N70" s="760">
        <f>N71</f>
        <v>0</v>
      </c>
      <c r="O70" s="761">
        <f>O71</f>
        <v>0</v>
      </c>
      <c r="P70" s="762">
        <f t="shared" ref="P70:P78" si="27">O70/3.571428</f>
        <v>0</v>
      </c>
      <c r="Q70" s="943"/>
      <c r="R70" s="731"/>
      <c r="S70" s="731"/>
    </row>
    <row r="71" spans="1:19" ht="52.25" customHeight="1" thickBot="1" x14ac:dyDescent="0.5">
      <c r="A71" s="21">
        <v>18</v>
      </c>
      <c r="B71" s="695" t="s">
        <v>60</v>
      </c>
      <c r="C71" s="696">
        <f>M5</f>
        <v>3.5714285714285716</v>
      </c>
      <c r="D71" s="697" t="s">
        <v>138</v>
      </c>
      <c r="E71" s="698">
        <f>C71</f>
        <v>3.5714285714285716</v>
      </c>
      <c r="F71" s="699" t="s">
        <v>61</v>
      </c>
      <c r="G71" s="700">
        <f>E71/1</f>
        <v>3.5714285714285716</v>
      </c>
      <c r="H71" s="1146">
        <f>([1]Mainland!H71*0.972)+([1]Zanzibar!H71*0.028)</f>
        <v>26.244</v>
      </c>
      <c r="I71" s="1154"/>
      <c r="J71" s="995">
        <f>I71-H71</f>
        <v>-26.244</v>
      </c>
      <c r="K71" s="862">
        <f>(0.5*I71)*0.6</f>
        <v>0</v>
      </c>
      <c r="L71" s="982">
        <f>I71-K71</f>
        <v>0</v>
      </c>
      <c r="M71" s="772" t="str">
        <f>IF(I71=0,"0%",J71/K71)</f>
        <v>0%</v>
      </c>
      <c r="N71" s="983">
        <f>((G71/C71)*M71)</f>
        <v>0</v>
      </c>
      <c r="O71" s="854">
        <f>IF(((G71/C71)*M71)&gt;=1,3.571428,IF(((G71/C71)*M71)&lt;=0,0,((G71/C71)*M71)*3.571428))</f>
        <v>0</v>
      </c>
      <c r="P71" s="762">
        <f t="shared" si="27"/>
        <v>0</v>
      </c>
      <c r="Q71" s="996" t="s">
        <v>183</v>
      </c>
      <c r="R71" s="479"/>
      <c r="S71" s="130" t="s">
        <v>529</v>
      </c>
    </row>
    <row r="72" spans="1:19" ht="20.45" customHeight="1" thickBot="1" x14ac:dyDescent="0.5">
      <c r="B72" s="1512" t="s">
        <v>277</v>
      </c>
      <c r="C72" s="1513"/>
      <c r="D72" s="1513"/>
      <c r="E72" s="1513"/>
      <c r="F72" s="1515"/>
      <c r="G72" s="651"/>
      <c r="H72" s="1152"/>
      <c r="I72" s="1153"/>
      <c r="J72" s="870"/>
      <c r="K72" s="871"/>
      <c r="L72" s="871"/>
      <c r="M72" s="872"/>
      <c r="N72" s="760">
        <f>N73</f>
        <v>0</v>
      </c>
      <c r="O72" s="761">
        <f>O73</f>
        <v>0</v>
      </c>
      <c r="P72" s="762">
        <f t="shared" si="27"/>
        <v>0</v>
      </c>
      <c r="Q72" s="998"/>
      <c r="R72" s="731"/>
      <c r="S72" s="731"/>
    </row>
    <row r="73" spans="1:19" ht="45" customHeight="1" thickBot="1" x14ac:dyDescent="0.5">
      <c r="A73" s="21">
        <v>19</v>
      </c>
      <c r="B73" s="701" t="s">
        <v>62</v>
      </c>
      <c r="C73" s="702">
        <f>M5</f>
        <v>3.5714285714285716</v>
      </c>
      <c r="D73" s="703" t="s">
        <v>139</v>
      </c>
      <c r="E73" s="702">
        <f>C73</f>
        <v>3.5714285714285716</v>
      </c>
      <c r="F73" s="704" t="s">
        <v>63</v>
      </c>
      <c r="G73" s="705">
        <f>E73/1</f>
        <v>3.5714285714285716</v>
      </c>
      <c r="H73" s="1155"/>
      <c r="I73" s="1156"/>
      <c r="J73" s="1000">
        <f>I73-H73</f>
        <v>0</v>
      </c>
      <c r="K73" s="1001">
        <f>IF(H73&gt;0,(H73),I73)</f>
        <v>0</v>
      </c>
      <c r="L73" s="1002">
        <f>I73-K73</f>
        <v>0</v>
      </c>
      <c r="M73" s="772" t="str">
        <f>IF(H73=0,"0%",J73/K73)</f>
        <v>0%</v>
      </c>
      <c r="N73" s="983">
        <f>((G73/C73)*M73)</f>
        <v>0</v>
      </c>
      <c r="O73" s="854">
        <f>IF(((G73/C73)*M73)&gt;=1,3.571428,IF(((G73/C73)*M73)&lt;=0,0,((G73/C73)*M73)*3.571428))</f>
        <v>0</v>
      </c>
      <c r="P73" s="762">
        <f t="shared" si="27"/>
        <v>0</v>
      </c>
      <c r="Q73" s="1003" t="s">
        <v>95</v>
      </c>
      <c r="R73" s="97"/>
      <c r="S73" s="543" t="s">
        <v>530</v>
      </c>
    </row>
    <row r="74" spans="1:19" ht="30.6" customHeight="1" thickBot="1" x14ac:dyDescent="0.5">
      <c r="B74" s="1486" t="s">
        <v>64</v>
      </c>
      <c r="C74" s="1487"/>
      <c r="D74" s="1487"/>
      <c r="E74" s="1487"/>
      <c r="F74" s="1488"/>
      <c r="G74" s="634"/>
      <c r="H74" s="1131"/>
      <c r="I74" s="1132"/>
      <c r="J74" s="813"/>
      <c r="K74" s="813"/>
      <c r="L74" s="813"/>
      <c r="M74" s="904"/>
      <c r="N74" s="760">
        <f>N75</f>
        <v>0</v>
      </c>
      <c r="O74" s="761">
        <f>O75</f>
        <v>0</v>
      </c>
      <c r="P74" s="762">
        <f t="shared" si="27"/>
        <v>0</v>
      </c>
      <c r="Q74" s="943"/>
      <c r="R74" s="478"/>
      <c r="S74" s="478"/>
    </row>
    <row r="75" spans="1:19" ht="29.45" customHeight="1" thickBot="1" x14ac:dyDescent="0.5">
      <c r="A75" s="21">
        <v>20</v>
      </c>
      <c r="B75" s="701" t="s">
        <v>65</v>
      </c>
      <c r="C75" s="648">
        <f>M5</f>
        <v>3.5714285714285716</v>
      </c>
      <c r="D75" s="697" t="s">
        <v>140</v>
      </c>
      <c r="E75" s="706">
        <f>C75</f>
        <v>3.5714285714285716</v>
      </c>
      <c r="F75" s="703" t="s">
        <v>66</v>
      </c>
      <c r="G75" s="700">
        <f>E75/1</f>
        <v>3.5714285714285716</v>
      </c>
      <c r="H75" s="1157"/>
      <c r="I75" s="1154"/>
      <c r="J75" s="939">
        <f>H75-I75</f>
        <v>0</v>
      </c>
      <c r="K75" s="940">
        <f>IF(AND(H75=0,I75=1)," 1",(H75-I75))</f>
        <v>0</v>
      </c>
      <c r="L75" s="1006">
        <f>I75+K75</f>
        <v>0</v>
      </c>
      <c r="M75" s="772" t="str">
        <f>IF(H75=0,"0%",J75/K75)</f>
        <v>0%</v>
      </c>
      <c r="N75" s="983">
        <f>((G75/C75)*M75)</f>
        <v>0</v>
      </c>
      <c r="O75" s="854">
        <f>IF(((G75/C75)*M75)&gt;=1,3.571428,IF(((G75/C75)*M75)&lt;=0,0,((G75/C75)*M75)*3.571428))</f>
        <v>0</v>
      </c>
      <c r="P75" s="762">
        <f t="shared" si="27"/>
        <v>0</v>
      </c>
      <c r="Q75" s="1008" t="s">
        <v>95</v>
      </c>
      <c r="R75" s="238"/>
      <c r="S75" s="538" t="s">
        <v>463</v>
      </c>
    </row>
    <row r="76" spans="1:19" ht="20.45" customHeight="1" thickBot="1" x14ac:dyDescent="0.5">
      <c r="B76" s="1544" t="s">
        <v>67</v>
      </c>
      <c r="C76" s="1545"/>
      <c r="D76" s="1545"/>
      <c r="E76" s="1545"/>
      <c r="F76" s="1546"/>
      <c r="G76" s="707"/>
      <c r="H76" s="1129"/>
      <c r="I76" s="1130"/>
      <c r="J76" s="1011"/>
      <c r="K76" s="1012"/>
      <c r="L76" s="1012"/>
      <c r="M76" s="1013"/>
      <c r="N76" s="760">
        <f t="shared" ref="N76:O77" si="28">N77</f>
        <v>0</v>
      </c>
      <c r="O76" s="761">
        <f t="shared" si="28"/>
        <v>0</v>
      </c>
      <c r="P76" s="762">
        <f t="shared" si="27"/>
        <v>0</v>
      </c>
      <c r="Q76" s="1014"/>
      <c r="R76" s="467"/>
      <c r="S76" s="467"/>
    </row>
    <row r="77" spans="1:19" ht="20.45" customHeight="1" thickBot="1" x14ac:dyDescent="0.5">
      <c r="B77" s="1486" t="s">
        <v>68</v>
      </c>
      <c r="C77" s="1487"/>
      <c r="D77" s="1487"/>
      <c r="E77" s="1487"/>
      <c r="F77" s="1488"/>
      <c r="G77" s="633"/>
      <c r="H77" s="1131"/>
      <c r="I77" s="1132"/>
      <c r="J77" s="830"/>
      <c r="K77" s="831"/>
      <c r="L77" s="831"/>
      <c r="M77" s="814"/>
      <c r="N77" s="760">
        <f t="shared" si="28"/>
        <v>0</v>
      </c>
      <c r="O77" s="761">
        <f t="shared" si="28"/>
        <v>0</v>
      </c>
      <c r="P77" s="762">
        <f t="shared" si="27"/>
        <v>0</v>
      </c>
      <c r="Q77" s="943"/>
      <c r="R77" s="478"/>
      <c r="S77" s="478"/>
    </row>
    <row r="78" spans="1:19" ht="35.25" thickBot="1" x14ac:dyDescent="0.5">
      <c r="A78" s="21">
        <v>21</v>
      </c>
      <c r="B78" s="701" t="s">
        <v>69</v>
      </c>
      <c r="C78" s="706">
        <f>M5</f>
        <v>3.5714285714285716</v>
      </c>
      <c r="D78" s="708" t="s">
        <v>141</v>
      </c>
      <c r="E78" s="706">
        <f>C78</f>
        <v>3.5714285714285716</v>
      </c>
      <c r="F78" s="708" t="s">
        <v>70</v>
      </c>
      <c r="G78" s="692">
        <f>E78/1</f>
        <v>3.5714285714285716</v>
      </c>
      <c r="H78" s="1157"/>
      <c r="I78" s="1154"/>
      <c r="J78" s="981">
        <f>IF(I78=H78,(H78-60),H78-I78)</f>
        <v>-60</v>
      </c>
      <c r="K78" s="866">
        <f>IF(I78&gt;=60,0,((60-I78)*(6/10)))</f>
        <v>36</v>
      </c>
      <c r="L78" s="982">
        <f t="shared" ref="L78" si="29">K78+I78</f>
        <v>36</v>
      </c>
      <c r="M78" s="772" t="str">
        <f>IF(H78=0,"0%",J78/K78)</f>
        <v>0%</v>
      </c>
      <c r="N78" s="983">
        <f>((G78/C78)*M78)</f>
        <v>0</v>
      </c>
      <c r="O78" s="854">
        <f>IF(((G78/C78)*M78)&gt;=1,3.571428,IF(((G78/C78)*M78)&lt;=0,0,((G78/C78)*M78)*3.571428))</f>
        <v>0</v>
      </c>
      <c r="P78" s="762">
        <f t="shared" si="27"/>
        <v>0</v>
      </c>
      <c r="Q78" s="1015" t="s">
        <v>95</v>
      </c>
      <c r="R78" s="97"/>
      <c r="S78" s="538" t="s">
        <v>463</v>
      </c>
    </row>
    <row r="79" spans="1:19" ht="21.6" customHeight="1" thickBot="1" x14ac:dyDescent="0.5">
      <c r="B79" s="1539" t="s">
        <v>71</v>
      </c>
      <c r="C79" s="1540"/>
      <c r="D79" s="1540"/>
      <c r="E79" s="1540"/>
      <c r="F79" s="1541"/>
      <c r="G79" s="707"/>
      <c r="H79" s="1158"/>
      <c r="I79" s="1159"/>
      <c r="J79" s="1016"/>
      <c r="K79" s="1017"/>
      <c r="L79" s="1017"/>
      <c r="M79" s="1013"/>
      <c r="N79" s="760">
        <f>(N80+N86)/2</f>
        <v>0.217982390199631</v>
      </c>
      <c r="O79" s="761">
        <f>(O80+O86)</f>
        <v>2.82188381498844</v>
      </c>
      <c r="P79" s="762">
        <f>O79/10.714284</f>
        <v>0.26337586487239278</v>
      </c>
      <c r="Q79" s="1014"/>
      <c r="R79" s="467"/>
      <c r="S79" s="467"/>
    </row>
    <row r="80" spans="1:19" ht="20.45" customHeight="1" thickBot="1" x14ac:dyDescent="0.5">
      <c r="B80" s="1466" t="s">
        <v>72</v>
      </c>
      <c r="C80" s="1467"/>
      <c r="D80" s="1467"/>
      <c r="E80" s="1467"/>
      <c r="F80" s="1468"/>
      <c r="G80" s="673"/>
      <c r="H80" s="1131"/>
      <c r="I80" s="1132"/>
      <c r="J80" s="813"/>
      <c r="K80" s="813"/>
      <c r="L80" s="813"/>
      <c r="M80" s="832"/>
      <c r="N80" s="760">
        <f>(N81+N83)/2</f>
        <v>0.2625038524487503</v>
      </c>
      <c r="O80" s="761">
        <f>(O81+O83)</f>
        <v>2.2023806000000001</v>
      </c>
      <c r="P80" s="762">
        <f>O80/7.142856</f>
        <v>0.30833333333333335</v>
      </c>
      <c r="Q80" s="1020"/>
      <c r="R80" s="469"/>
      <c r="S80" s="469"/>
    </row>
    <row r="81" spans="1:19" ht="46.9" thickBot="1" x14ac:dyDescent="0.5">
      <c r="A81" s="21"/>
      <c r="B81" s="1542" t="s">
        <v>73</v>
      </c>
      <c r="C81" s="1473">
        <f>M5</f>
        <v>3.5714285714285716</v>
      </c>
      <c r="D81" s="635" t="s">
        <v>267</v>
      </c>
      <c r="E81" s="604">
        <f>$C$81/2</f>
        <v>1.7857142857142858</v>
      </c>
      <c r="F81" s="674" t="s">
        <v>278</v>
      </c>
      <c r="G81" s="628">
        <f>E81/1</f>
        <v>1.7857142857142858</v>
      </c>
      <c r="H81" s="1146">
        <f>([1]Mainland!H81*0.972)+([1]Zanzibar!H81*0.028)</f>
        <v>0.75600000000000001</v>
      </c>
      <c r="I81" s="1112"/>
      <c r="J81" s="908">
        <f>IF(I81=H81,(H81-50),H81-I81)</f>
        <v>0.75600000000000001</v>
      </c>
      <c r="K81" s="798">
        <f>IF(I81&gt;=50,0,((50-I81)*(6/10)))</f>
        <v>30</v>
      </c>
      <c r="L81" s="1021">
        <f>I81+K81</f>
        <v>30</v>
      </c>
      <c r="M81" s="772" t="str">
        <f>IF(I81=0,"0%",J81/K81)</f>
        <v>0%</v>
      </c>
      <c r="N81" s="1530">
        <f>(((G81/C81)*M81)+((G82/C81)*M82))</f>
        <v>0.6166666666666667</v>
      </c>
      <c r="O81" s="1458">
        <f>IF((((G81/C81)*M81)+((G82/C81)*M82))&gt;=1,3.57148,IF((((G81/C81)*M81)+((G82/C81)*M82))&lt;=0,0, (((G81/C81)*M81)+((G82/C81)*M82))*3.571428))</f>
        <v>2.2023806000000001</v>
      </c>
      <c r="P81" s="1460">
        <f>O81/3.571428</f>
        <v>0.6166666666666667</v>
      </c>
      <c r="Q81" s="1022" t="s">
        <v>279</v>
      </c>
      <c r="R81" s="151"/>
      <c r="S81" s="538" t="s">
        <v>531</v>
      </c>
    </row>
    <row r="82" spans="1:19" ht="39.6" customHeight="1" thickBot="1" x14ac:dyDescent="0.5">
      <c r="A82" s="21"/>
      <c r="B82" s="1543"/>
      <c r="C82" s="1355"/>
      <c r="D82" s="643" t="s">
        <v>268</v>
      </c>
      <c r="E82" s="612">
        <f>$C$81/2</f>
        <v>1.7857142857142858</v>
      </c>
      <c r="F82" s="644" t="s">
        <v>74</v>
      </c>
      <c r="G82" s="632">
        <f>E82/1</f>
        <v>1.7857142857142858</v>
      </c>
      <c r="H82" s="1160">
        <f>([1]Mainland!H82*0.972)+([1]Zanzibar!H82*0.028)</f>
        <v>37</v>
      </c>
      <c r="I82" s="1161">
        <f>([1]Mainland!I82*0.972)+([1]Zanzibar!I82*0.028)</f>
        <v>35.915999999999997</v>
      </c>
      <c r="J82" s="1025">
        <f>IF(I82=H82,(H82-30),H82-I82)</f>
        <v>1.0840000000000032</v>
      </c>
      <c r="K82" s="810">
        <f>IF(I82&gt;=30,0,((30-I82)*(6/10)))</f>
        <v>0</v>
      </c>
      <c r="L82" s="1026">
        <f t="shared" ref="L82" si="30">K82+I82</f>
        <v>35.915999999999997</v>
      </c>
      <c r="M82" s="779">
        <f>IF(I82&gt;=30,(1+(H82-30)/30),(H82/L82))</f>
        <v>1.2333333333333334</v>
      </c>
      <c r="N82" s="1532"/>
      <c r="O82" s="1459"/>
      <c r="P82" s="1461"/>
      <c r="Q82" s="1027" t="s">
        <v>282</v>
      </c>
      <c r="R82" s="111"/>
      <c r="S82" s="751" t="s">
        <v>518</v>
      </c>
    </row>
    <row r="83" spans="1:19" ht="60" customHeight="1" thickBot="1" x14ac:dyDescent="0.5">
      <c r="A83" s="21"/>
      <c r="B83" s="1555" t="s">
        <v>142</v>
      </c>
      <c r="C83" s="1557">
        <f>M5</f>
        <v>3.5714285714285716</v>
      </c>
      <c r="D83" s="709" t="s">
        <v>145</v>
      </c>
      <c r="E83" s="604">
        <f>$C$81/3</f>
        <v>1.1904761904761905</v>
      </c>
      <c r="F83" s="635" t="s">
        <v>143</v>
      </c>
      <c r="G83" s="628">
        <f>E83/1</f>
        <v>1.1904761904761905</v>
      </c>
      <c r="H83" s="1162">
        <f>([1]Mainland!H83*0.972)+([1]Zanzibar!H83*0.028)</f>
        <v>0.42</v>
      </c>
      <c r="I83" s="1163">
        <f>([1]Mainland!I83*0.972)+([1]Zanzibar!I83*0.028)</f>
        <v>0.40600000000000003</v>
      </c>
      <c r="J83" s="1030">
        <f>I83-H83</f>
        <v>-1.3999999999999957E-2</v>
      </c>
      <c r="K83" s="894">
        <f>(0.2*I83)*(6/10)</f>
        <v>4.8720000000000006E-2</v>
      </c>
      <c r="L83" s="1031">
        <f>I83-K83</f>
        <v>0.35728000000000004</v>
      </c>
      <c r="M83" s="772">
        <f>IF(K83&lt;&gt;0,J83/K83,"0%")</f>
        <v>-0.28735632183907955</v>
      </c>
      <c r="N83" s="1560">
        <f>(((G83/C83)*M83)+((G84/C83)*M84)+((G85/C83)*M85))</f>
        <v>-9.1658961769166131E-2</v>
      </c>
      <c r="O83" s="1484">
        <f>IF((((G83/C83)*M83)+((G84/C83)*M84)+((G85/C83)*M85))&gt;=1,3.571428,IF((((G83/C83)*M83)+((G84/C83)*M84)+((G85/C83)*M85))&lt;=0,0,(((G83/C83)*M83)+((G84/C83)*M84)+((G85/C83)*M85))*3.571428))</f>
        <v>0</v>
      </c>
      <c r="P83" s="1460">
        <f>O83/3.571428</f>
        <v>0</v>
      </c>
      <c r="Q83" s="1032" t="s">
        <v>184</v>
      </c>
      <c r="R83" s="152"/>
      <c r="S83" s="538" t="s">
        <v>532</v>
      </c>
    </row>
    <row r="84" spans="1:19" ht="45" customHeight="1" thickBot="1" x14ac:dyDescent="0.5">
      <c r="A84" s="21"/>
      <c r="B84" s="1555"/>
      <c r="C84" s="1558"/>
      <c r="D84" s="710" t="s">
        <v>146</v>
      </c>
      <c r="E84" s="638">
        <f t="shared" ref="E84:E85" si="31">$C$81/3</f>
        <v>1.1904761904761905</v>
      </c>
      <c r="F84" s="679" t="s">
        <v>283</v>
      </c>
      <c r="G84" s="630">
        <f>E84/1</f>
        <v>1.1904761904761905</v>
      </c>
      <c r="H84" s="1107">
        <f>([1]Mainland!H84*0.972)+([1]Zanzibar!H84*0.028)</f>
        <v>2.8000000000000004E-3</v>
      </c>
      <c r="I84" s="1140"/>
      <c r="J84" s="1033">
        <f>I84-H84</f>
        <v>-2.8000000000000004E-3</v>
      </c>
      <c r="K84" s="894">
        <f>(0.5*I84)*(6/10)</f>
        <v>0</v>
      </c>
      <c r="L84" s="1034">
        <f>I84-K84</f>
        <v>0</v>
      </c>
      <c r="M84" s="793" t="str">
        <f>IF(H84&lt;=0,100%, IF(K84&lt;&gt;0,J84/K84,"0%"))</f>
        <v>0%</v>
      </c>
      <c r="N84" s="1561"/>
      <c r="O84" s="1482"/>
      <c r="P84" s="1485"/>
      <c r="Q84" s="1035" t="s">
        <v>185</v>
      </c>
      <c r="R84" s="234"/>
      <c r="S84" s="538" t="s">
        <v>531</v>
      </c>
    </row>
    <row r="85" spans="1:19" ht="38.450000000000003" customHeight="1" thickBot="1" x14ac:dyDescent="0.5">
      <c r="A85" s="21"/>
      <c r="B85" s="1556"/>
      <c r="C85" s="1559"/>
      <c r="D85" s="711" t="s">
        <v>147</v>
      </c>
      <c r="E85" s="612">
        <f t="shared" si="31"/>
        <v>1.1904761904761905</v>
      </c>
      <c r="F85" s="644" t="s">
        <v>144</v>
      </c>
      <c r="G85" s="632">
        <f>E85/1</f>
        <v>1.1904761904761905</v>
      </c>
      <c r="H85" s="1133">
        <f>([1]Mainland!H85*0.972)+([1]Zanzibar!H85*0.028)</f>
        <v>2.7160000000000002</v>
      </c>
      <c r="I85" s="1134">
        <f>([1]Mainland!I85*0.972)+([1]Zanzibar!I85*0.028)</f>
        <v>1.988</v>
      </c>
      <c r="J85" s="1036">
        <f>H85-I85</f>
        <v>0.7280000000000002</v>
      </c>
      <c r="K85" s="1037">
        <f>(100-I85)*(6/10)</f>
        <v>58.807199999999995</v>
      </c>
      <c r="L85" s="1038">
        <f>I85+K85</f>
        <v>60.795199999999994</v>
      </c>
      <c r="M85" s="793">
        <f>IF(H85&gt;=100,167%, IF(K85&lt;&gt;0,J85/K85,"0%"))</f>
        <v>1.2379436531581172E-2</v>
      </c>
      <c r="N85" s="1562"/>
      <c r="O85" s="1483"/>
      <c r="P85" s="1461"/>
      <c r="Q85" s="1039" t="s">
        <v>284</v>
      </c>
      <c r="R85" s="486"/>
      <c r="S85" s="538" t="s">
        <v>532</v>
      </c>
    </row>
    <row r="86" spans="1:19" ht="20.45" customHeight="1" thickBot="1" x14ac:dyDescent="0.5">
      <c r="B86" s="1547" t="s">
        <v>75</v>
      </c>
      <c r="C86" s="1548"/>
      <c r="D86" s="1548"/>
      <c r="E86" s="1548"/>
      <c r="F86" s="1549"/>
      <c r="G86" s="694"/>
      <c r="H86" s="1148"/>
      <c r="I86" s="1149"/>
      <c r="J86" s="1042"/>
      <c r="K86" s="1043"/>
      <c r="L86" s="1043"/>
      <c r="M86" s="832"/>
      <c r="N86" s="760">
        <f>N87</f>
        <v>0.17346092795051168</v>
      </c>
      <c r="O86" s="761">
        <f>O87</f>
        <v>0.61950321498844008</v>
      </c>
      <c r="P86" s="762">
        <f>O86/3.571428</f>
        <v>0.17346092795051168</v>
      </c>
      <c r="Q86" s="903"/>
      <c r="R86" s="469"/>
      <c r="S86" s="469"/>
    </row>
    <row r="87" spans="1:19" ht="27.6" customHeight="1" x14ac:dyDescent="0.45">
      <c r="A87" s="1492">
        <v>24</v>
      </c>
      <c r="B87" s="1550" t="s">
        <v>76</v>
      </c>
      <c r="C87" s="1552">
        <f>M5</f>
        <v>3.5714285714285716</v>
      </c>
      <c r="D87" s="654" t="s">
        <v>159</v>
      </c>
      <c r="E87" s="655">
        <f>($C$87/3)</f>
        <v>1.1904761904761905</v>
      </c>
      <c r="F87" s="712" t="s">
        <v>285</v>
      </c>
      <c r="G87" s="713">
        <f>E87/1</f>
        <v>1.1904761904761905</v>
      </c>
      <c r="H87" s="1105">
        <f>([1]Mainland!H87*0.972)+([1]Zanzibar!H87*0.028)</f>
        <v>12.128399999999999</v>
      </c>
      <c r="I87" s="1106">
        <f>([1]Mainland!I87*0.972)+([1]Zanzibar!I87*0.028)</f>
        <v>13.074</v>
      </c>
      <c r="J87" s="1046">
        <f>I87-H87</f>
        <v>0.94560000000000066</v>
      </c>
      <c r="K87" s="1047">
        <f>(0.25*I87)*(6/10)</f>
        <v>1.9610999999999998</v>
      </c>
      <c r="L87" s="1048">
        <f>I87-K87</f>
        <v>11.1129</v>
      </c>
      <c r="M87" s="772">
        <f>IF(K87&lt;&gt;0,J87/K87,"0%")</f>
        <v>0.48217836928254587</v>
      </c>
      <c r="N87" s="1498">
        <f>(((G87/C87)*M87)+((G88/C87)*M88)+((G89/C87)*M89)+((G90/C87)*M90)+((G91/C87)*M91))</f>
        <v>0.17346092795051168</v>
      </c>
      <c r="O87" s="1484">
        <f>IF((((G87/C87)*M87)+((G88/C87)*M88)+((G89/C87)*M89)+((G90/C87)*M90)+((G91/C87)*M91))&gt;=1,3.571428,IF((((G87/C87)*M87)+((G88/C87)*M88)+((G89/C87)*M89)+((G90/C87)*M90)+((G91/C87)*M91))&lt;=0,0,((((G87/C87)*M87)+((G88/C87)*M88)+((G89/C87)*M89)+((G90/C87)*M90)+((G91/C87)*M91))*3.571428)))</f>
        <v>0.61950321498844008</v>
      </c>
      <c r="P87" s="1460">
        <f>O87/3.571428</f>
        <v>0.17346092795051168</v>
      </c>
      <c r="Q87" s="1164" t="s">
        <v>186</v>
      </c>
      <c r="R87" s="544"/>
      <c r="S87" s="751" t="s">
        <v>518</v>
      </c>
    </row>
    <row r="88" spans="1:19" ht="25.8" customHeight="1" x14ac:dyDescent="0.45">
      <c r="A88" s="1492"/>
      <c r="B88" s="1550"/>
      <c r="C88" s="1553"/>
      <c r="D88" s="1563" t="s">
        <v>160</v>
      </c>
      <c r="E88" s="1564">
        <f>C87/3</f>
        <v>1.1904761904761905</v>
      </c>
      <c r="F88" s="639" t="s">
        <v>77</v>
      </c>
      <c r="G88" s="714">
        <f>$E$88/3</f>
        <v>0.3968253968253968</v>
      </c>
      <c r="H88" s="1105">
        <f>([1]Mainland!H88*0.972)+([1]Zanzibar!H88*0.028)</f>
        <v>28.150400000000001</v>
      </c>
      <c r="I88" s="1106">
        <f>([1]Mainland!I88*0.972)+([1]Zanzibar!I88*0.028)</f>
        <v>30.229200000000002</v>
      </c>
      <c r="J88" s="1050">
        <f>I88-H88</f>
        <v>2.0788000000000011</v>
      </c>
      <c r="K88" s="1051">
        <f>I88*(6/10)</f>
        <v>18.137520000000002</v>
      </c>
      <c r="L88" s="1052">
        <f>I88-K88</f>
        <v>12.09168</v>
      </c>
      <c r="M88" s="805">
        <f>IF(K88&lt;&gt;0,J88/K88,"0%")</f>
        <v>0.1146132437069677</v>
      </c>
      <c r="N88" s="1479"/>
      <c r="O88" s="1482"/>
      <c r="P88" s="1485"/>
      <c r="Q88" s="1165" t="s">
        <v>187</v>
      </c>
      <c r="R88" s="545"/>
      <c r="S88" s="546" t="s">
        <v>533</v>
      </c>
    </row>
    <row r="89" spans="1:19" ht="59.65" customHeight="1" x14ac:dyDescent="0.45">
      <c r="A89" s="1492"/>
      <c r="B89" s="1550"/>
      <c r="C89" s="1553"/>
      <c r="D89" s="1563"/>
      <c r="E89" s="1564"/>
      <c r="F89" s="639" t="s">
        <v>78</v>
      </c>
      <c r="G89" s="714">
        <f>$E$88/3</f>
        <v>0.3968253968253968</v>
      </c>
      <c r="H89" s="1144"/>
      <c r="I89" s="1145"/>
      <c r="J89" s="1050">
        <f>I89-H89</f>
        <v>0</v>
      </c>
      <c r="K89" s="1051">
        <f>I89*(6/10)</f>
        <v>0</v>
      </c>
      <c r="L89" s="1052">
        <f>I89-K89</f>
        <v>0</v>
      </c>
      <c r="M89" s="805" t="str">
        <f>IF(K89&lt;&gt;0,J89/K89,"0%")</f>
        <v>0%</v>
      </c>
      <c r="N89" s="1479"/>
      <c r="O89" s="1482"/>
      <c r="P89" s="1485"/>
      <c r="Q89" s="1165" t="s">
        <v>188</v>
      </c>
      <c r="R89" s="545"/>
      <c r="S89" s="546" t="s">
        <v>463</v>
      </c>
    </row>
    <row r="90" spans="1:19" ht="26.45" customHeight="1" x14ac:dyDescent="0.45">
      <c r="A90" s="1492"/>
      <c r="B90" s="1550"/>
      <c r="C90" s="1553"/>
      <c r="D90" s="1563"/>
      <c r="E90" s="1564"/>
      <c r="F90" s="639" t="s">
        <v>79</v>
      </c>
      <c r="G90" s="714">
        <f>$E$88/3</f>
        <v>0.3968253968253968</v>
      </c>
      <c r="H90" s="1144"/>
      <c r="I90" s="1166"/>
      <c r="J90" s="1050">
        <f>I90-H90</f>
        <v>0</v>
      </c>
      <c r="K90" s="1054">
        <f>(I90)*(6/10)</f>
        <v>0</v>
      </c>
      <c r="L90" s="1055">
        <f>I90-K90</f>
        <v>0</v>
      </c>
      <c r="M90" s="805" t="str">
        <f>IF(I90=0,"0%",J90/K90)</f>
        <v>0%</v>
      </c>
      <c r="N90" s="1479"/>
      <c r="O90" s="1482"/>
      <c r="P90" s="1485"/>
      <c r="Q90" s="1167" t="s">
        <v>189</v>
      </c>
      <c r="R90" s="545"/>
      <c r="S90" s="546" t="s">
        <v>463</v>
      </c>
    </row>
    <row r="91" spans="1:19" ht="40.799999999999997" customHeight="1" thickBot="1" x14ac:dyDescent="0.5">
      <c r="A91" s="1492"/>
      <c r="B91" s="1551"/>
      <c r="C91" s="1554"/>
      <c r="D91" s="631" t="s">
        <v>161</v>
      </c>
      <c r="E91" s="612">
        <f>$C$87/3</f>
        <v>1.1904761904761905</v>
      </c>
      <c r="F91" s="715" t="s">
        <v>80</v>
      </c>
      <c r="G91" s="716">
        <f>E91/1</f>
        <v>1.1904761904761905</v>
      </c>
      <c r="H91" s="1168"/>
      <c r="I91" s="1166"/>
      <c r="J91" s="1057">
        <f>H91-I91</f>
        <v>0</v>
      </c>
      <c r="K91" s="1037">
        <f>(100-I91)*(6/10)</f>
        <v>60</v>
      </c>
      <c r="L91" s="1058">
        <f>I91+K91</f>
        <v>60</v>
      </c>
      <c r="M91" s="779">
        <f>IF(I91&gt;=60,(1+(H91-60)/60),(H91/L91))</f>
        <v>0</v>
      </c>
      <c r="N91" s="1480"/>
      <c r="O91" s="1483"/>
      <c r="P91" s="1461"/>
      <c r="Q91" s="1169" t="s">
        <v>95</v>
      </c>
      <c r="R91" s="547"/>
      <c r="S91" s="548" t="s">
        <v>463</v>
      </c>
    </row>
    <row r="92" spans="1:19" ht="14.65" thickBot="1" x14ac:dyDescent="0.5">
      <c r="B92" s="1322" t="s">
        <v>81</v>
      </c>
      <c r="C92" s="1323"/>
      <c r="D92" s="1323"/>
      <c r="E92" s="1323"/>
      <c r="F92" s="1324"/>
      <c r="G92" s="11"/>
      <c r="H92" s="1158"/>
      <c r="I92" s="1159"/>
      <c r="J92" s="1011"/>
      <c r="K92" s="1012"/>
      <c r="L92" s="1012"/>
      <c r="M92" s="1060"/>
      <c r="N92" s="760">
        <f>(N93+N97)/2</f>
        <v>1.0355876345520112</v>
      </c>
      <c r="O92" s="761">
        <f>(O93+O97)</f>
        <v>6.6304135768986701</v>
      </c>
      <c r="P92" s="762">
        <f>O92/14.285712</f>
        <v>0.46412902464355082</v>
      </c>
      <c r="Q92" s="921"/>
      <c r="R92" s="473"/>
      <c r="S92" s="473"/>
    </row>
    <row r="93" spans="1:19" ht="20.45" customHeight="1" thickBot="1" x14ac:dyDescent="0.5">
      <c r="B93" s="1466" t="s">
        <v>82</v>
      </c>
      <c r="C93" s="1467"/>
      <c r="D93" s="1467"/>
      <c r="E93" s="1467"/>
      <c r="F93" s="1468"/>
      <c r="G93" s="633"/>
      <c r="H93" s="1131"/>
      <c r="I93" s="1132"/>
      <c r="J93" s="831"/>
      <c r="K93" s="831"/>
      <c r="L93" s="831"/>
      <c r="M93" s="832"/>
      <c r="N93" s="760">
        <f>N94</f>
        <v>1.7856699029126211</v>
      </c>
      <c r="O93" s="761">
        <f>O94</f>
        <v>3.571428</v>
      </c>
      <c r="P93" s="762">
        <f>O93/3.571428</f>
        <v>1</v>
      </c>
      <c r="Q93" s="905"/>
      <c r="R93" s="469"/>
      <c r="S93" s="478"/>
    </row>
    <row r="94" spans="1:19" ht="34.799999999999997" customHeight="1" x14ac:dyDescent="0.45">
      <c r="A94" s="1451">
        <v>25</v>
      </c>
      <c r="B94" s="1469" t="s">
        <v>83</v>
      </c>
      <c r="C94" s="1565">
        <f>M5</f>
        <v>3.5714285714285716</v>
      </c>
      <c r="D94" s="1509" t="s">
        <v>214</v>
      </c>
      <c r="E94" s="660">
        <f>$C$94/3</f>
        <v>1.1904761904761905</v>
      </c>
      <c r="F94" s="635" t="s">
        <v>269</v>
      </c>
      <c r="G94" s="718">
        <f>E94/1</f>
        <v>1.1904761904761905</v>
      </c>
      <c r="H94" s="1105">
        <f>([1]Mainland!H94*0.972)+([1]Zanzibar!H94*0.028)</f>
        <v>97.2</v>
      </c>
      <c r="I94" s="1105">
        <f>([1]Mainland!I94*0.972)+([1]Zanzibar!I94*0.028)</f>
        <v>97.2</v>
      </c>
      <c r="J94" s="1062">
        <f>H94-I94</f>
        <v>0</v>
      </c>
      <c r="K94" s="1063">
        <f>(100-I94)*(6/10)</f>
        <v>1.6799999999999982</v>
      </c>
      <c r="L94" s="1064">
        <f>I94+K94</f>
        <v>98.88</v>
      </c>
      <c r="M94" s="772">
        <f>I94/L94</f>
        <v>0.9830097087378642</v>
      </c>
      <c r="N94" s="1530">
        <f>(((G94/C94)*M94)+((G95/C94)*M95)+((G96/C94)*M96))</f>
        <v>1.7856699029126211</v>
      </c>
      <c r="O94" s="1484">
        <f>IF((((G94/C94)*M94)+((G95/C94)*M95)+((G96/C94)*M96))&gt;=1,3.571428,IF((((G94/C94)*M94)+((G95/C94)*M95)+((G96/C94)*M96))&lt;=0,0,(((G94/C94)*M94)+((G95/C94)*M95)+((G96/C94)*M96))*3.571428))</f>
        <v>3.571428</v>
      </c>
      <c r="P94" s="1460">
        <f>O94/3.571428</f>
        <v>1</v>
      </c>
      <c r="Q94" s="1065" t="s">
        <v>190</v>
      </c>
      <c r="R94" s="166"/>
      <c r="S94" s="546" t="s">
        <v>534</v>
      </c>
    </row>
    <row r="95" spans="1:19" ht="39.6" customHeight="1" x14ac:dyDescent="0.45">
      <c r="A95" s="1451"/>
      <c r="B95" s="1470"/>
      <c r="C95" s="1566"/>
      <c r="D95" s="1503"/>
      <c r="E95" s="719">
        <f t="shared" ref="E95:E96" si="32">$C$94/3</f>
        <v>1.1904761904761905</v>
      </c>
      <c r="F95" s="679" t="s">
        <v>270</v>
      </c>
      <c r="G95" s="714">
        <f>E95/1</f>
        <v>1.1904761904761905</v>
      </c>
      <c r="H95" s="1105">
        <f>([1]Mainland!H95*0.972)+([1]Zanzibar!H95*0.028)</f>
        <v>4.3739999999999997</v>
      </c>
      <c r="I95" s="1105">
        <f>([1]Mainland!I95*0.972)+([1]Zanzibar!I95*0.028)</f>
        <v>4.3739999999999997</v>
      </c>
      <c r="J95" s="1050">
        <f>IF(AND(I95&gt;1,(H95-I95=0)),(H95-1),(H95-I95))</f>
        <v>3.3739999999999997</v>
      </c>
      <c r="K95" s="883" t="str">
        <f>IF(AND(I95&gt;=1,H95&gt;=1),"0",((1-I95)*(6/10)))</f>
        <v>0</v>
      </c>
      <c r="L95" s="1067">
        <f t="shared" ref="L95:L96" si="33">I95+K95</f>
        <v>4.3739999999999997</v>
      </c>
      <c r="M95" s="805">
        <f>IF(I95&gt;=1,(1+(H95-1)/1),(J95/K95))</f>
        <v>4.3739999999999997</v>
      </c>
      <c r="N95" s="1531"/>
      <c r="O95" s="1482"/>
      <c r="P95" s="1485"/>
      <c r="Q95" s="1068" t="s">
        <v>191</v>
      </c>
      <c r="R95" s="230"/>
      <c r="S95" s="546" t="s">
        <v>535</v>
      </c>
    </row>
    <row r="96" spans="1:19" ht="41.45" customHeight="1" thickBot="1" x14ac:dyDescent="0.5">
      <c r="A96" s="1451"/>
      <c r="B96" s="1521"/>
      <c r="C96" s="1567"/>
      <c r="D96" s="1510"/>
      <c r="E96" s="661">
        <f t="shared" si="32"/>
        <v>1.1904761904761905</v>
      </c>
      <c r="F96" s="643" t="s">
        <v>84</v>
      </c>
      <c r="G96" s="716">
        <f>E96/1</f>
        <v>1.1904761904761905</v>
      </c>
      <c r="H96" s="1127"/>
      <c r="I96" s="1128"/>
      <c r="J96" s="1057">
        <f>H96-I96</f>
        <v>0</v>
      </c>
      <c r="K96" s="1037">
        <f>(100-I96)*(6/10)</f>
        <v>60</v>
      </c>
      <c r="L96" s="1058">
        <f t="shared" si="33"/>
        <v>60</v>
      </c>
      <c r="M96" s="779">
        <f>IF(K96&lt;&gt;0,J96/K96,"100%")</f>
        <v>0</v>
      </c>
      <c r="N96" s="1532"/>
      <c r="O96" s="1483"/>
      <c r="P96" s="1461"/>
      <c r="Q96" s="1070" t="s">
        <v>95</v>
      </c>
      <c r="R96" s="229"/>
      <c r="S96" s="546" t="s">
        <v>463</v>
      </c>
    </row>
    <row r="97" spans="1:19" ht="18" customHeight="1" thickBot="1" x14ac:dyDescent="0.5">
      <c r="B97" s="1568" t="s">
        <v>85</v>
      </c>
      <c r="C97" s="1569"/>
      <c r="D97" s="1569"/>
      <c r="E97" s="1569"/>
      <c r="F97" s="1570"/>
      <c r="G97" s="720"/>
      <c r="H97" s="1170"/>
      <c r="I97" s="1171"/>
      <c r="J97" s="1071"/>
      <c r="K97" s="1073"/>
      <c r="L97" s="1073"/>
      <c r="M97" s="1074"/>
      <c r="N97" s="1075">
        <f>(N98+N99+N100)/3</f>
        <v>0.28550536619140121</v>
      </c>
      <c r="O97" s="1076">
        <f>(O98+O99+O100)</f>
        <v>3.0589855768986705</v>
      </c>
      <c r="P97" s="762">
        <f>O97/10.714284</f>
        <v>0.28550536619140121</v>
      </c>
      <c r="Q97" s="1072"/>
      <c r="R97" s="487"/>
      <c r="S97" s="487"/>
    </row>
    <row r="98" spans="1:19" ht="29.45" customHeight="1" thickBot="1" x14ac:dyDescent="0.5">
      <c r="A98" s="21">
        <v>26</v>
      </c>
      <c r="B98" s="645" t="s">
        <v>86</v>
      </c>
      <c r="C98" s="646">
        <f>$M$5</f>
        <v>3.5714285714285716</v>
      </c>
      <c r="D98" s="645" t="s">
        <v>215</v>
      </c>
      <c r="E98" s="646">
        <f>C98/1</f>
        <v>3.5714285714285716</v>
      </c>
      <c r="F98" s="695" t="s">
        <v>291</v>
      </c>
      <c r="G98" s="646">
        <f>E98/1</f>
        <v>3.5714285714285716</v>
      </c>
      <c r="H98" s="1172"/>
      <c r="I98" s="1173"/>
      <c r="J98" s="1079">
        <f>IF(I98=H98,(H98-10),H98-I98)</f>
        <v>-10</v>
      </c>
      <c r="K98" s="866">
        <f>IF(I98&gt;=10,0,((10-I98)*(6/10)))</f>
        <v>6</v>
      </c>
      <c r="L98" s="982">
        <f>I98+K98</f>
        <v>6</v>
      </c>
      <c r="M98" s="805" t="str">
        <f>IF(I98=0,"0%",J98/K98)</f>
        <v>0%</v>
      </c>
      <c r="N98" s="983">
        <f>((G98/C98)*M98)</f>
        <v>0</v>
      </c>
      <c r="O98" s="854">
        <f>IF(((G98/C98)*M98)&gt;=1,3.571428,IF(((G98/C98)*M98)&lt;=0,0,((G98/C98)*M98)*3.571428))</f>
        <v>0</v>
      </c>
      <c r="P98" s="762">
        <f>O98/3.571428</f>
        <v>0</v>
      </c>
      <c r="Q98" s="1080" t="s">
        <v>95</v>
      </c>
      <c r="R98" s="488"/>
      <c r="S98" s="538" t="s">
        <v>463</v>
      </c>
    </row>
    <row r="99" spans="1:19" ht="35.25" thickBot="1" x14ac:dyDescent="0.5">
      <c r="A99" s="21">
        <v>27</v>
      </c>
      <c r="B99" s="645" t="s">
        <v>87</v>
      </c>
      <c r="C99" s="646">
        <f>$M$5</f>
        <v>3.5714285714285716</v>
      </c>
      <c r="D99" s="645" t="s">
        <v>216</v>
      </c>
      <c r="E99" s="646">
        <f>C99/1</f>
        <v>3.5714285714285716</v>
      </c>
      <c r="F99" s="695" t="s">
        <v>271</v>
      </c>
      <c r="G99" s="646">
        <f>E99/1</f>
        <v>3.5714285714285716</v>
      </c>
      <c r="H99" s="1174">
        <f>([1]Mainland!H99*0.972)+([1]Zanzibar!H99*0.028)</f>
        <v>12.5632</v>
      </c>
      <c r="I99" s="1175">
        <f>([1]Mainland!I99*0.972)+([1]Zanzibar!I99*0.028)</f>
        <v>11.989600000000001</v>
      </c>
      <c r="J99" s="1176">
        <f>IF(I99=H99,(H99-75),H99-I99)</f>
        <v>0.573599999999999</v>
      </c>
      <c r="K99" s="866">
        <f>IF(I99&gt;=75,0,((75-I99)*(6/10)))</f>
        <v>37.806239999999995</v>
      </c>
      <c r="L99" s="1006">
        <f>I99+K99</f>
        <v>49.795839999999998</v>
      </c>
      <c r="M99" s="1081">
        <f>IF(I99&gt;=75,(1+(H99-75)/75),(J99/K99))</f>
        <v>1.5172098574203598E-2</v>
      </c>
      <c r="N99" s="983">
        <f>((G99/C99)*M99)</f>
        <v>1.5172098574203598E-2</v>
      </c>
      <c r="O99" s="854">
        <f>IF(((G99/C99)*M99)&gt;=1,3.571428,IF(((G99/C99)*M99)&lt;=0,0,((G99/C99)*M99)*3.571428))</f>
        <v>5.4186057666670812E-2</v>
      </c>
      <c r="P99" s="762">
        <f>O99/3.571428</f>
        <v>1.51720985742036E-2</v>
      </c>
      <c r="Q99" s="1080" t="s">
        <v>192</v>
      </c>
      <c r="R99" s="154" t="s">
        <v>494</v>
      </c>
      <c r="S99" s="467"/>
    </row>
    <row r="100" spans="1:19" ht="30.75" thickBot="1" x14ac:dyDescent="0.5">
      <c r="A100" s="1451">
        <v>28</v>
      </c>
      <c r="B100" s="1571" t="s">
        <v>88</v>
      </c>
      <c r="C100" s="1573">
        <f>M5</f>
        <v>3.5714285714285716</v>
      </c>
      <c r="D100" s="1571" t="s">
        <v>217</v>
      </c>
      <c r="E100" s="1573">
        <f>C100/1</f>
        <v>3.5714285714285716</v>
      </c>
      <c r="F100" s="674" t="s">
        <v>89</v>
      </c>
      <c r="G100" s="628">
        <f>$E$100/2</f>
        <v>1.7857142857142858</v>
      </c>
      <c r="H100" s="767">
        <f>([1]Mainland!H100*0.972)+([1]Zanzibar!H100*0.028)</f>
        <v>7.9327999999999994</v>
      </c>
      <c r="I100" s="768">
        <f>([1]Mainland!I100*0.972)+([1]Zanzibar!I100*0.028)</f>
        <v>19.806799999999999</v>
      </c>
      <c r="J100" s="908">
        <f>IF(I100=H100,(25-H100),I100-H100)</f>
        <v>11.873999999999999</v>
      </c>
      <c r="K100" s="927">
        <f>IF(I100&lt;=25,0,((0.25*I100)*(6/10)))</f>
        <v>0</v>
      </c>
      <c r="L100" s="1083">
        <f>I100-K100</f>
        <v>19.806799999999999</v>
      </c>
      <c r="M100" s="772">
        <f>IF(I100&lt;=25,(1+(25-H100)/25),(J100/K100))</f>
        <v>1.682688</v>
      </c>
      <c r="N100" s="1576">
        <f>((G100/$C$100)*M100)+((G101/$C$100)*M101)</f>
        <v>0.84134399999999998</v>
      </c>
      <c r="O100" s="1458">
        <f>IF((((G100/C100)*M100)+((G101/C100)*M101))&gt;=1,3.57148,IF((((G100/C100)*M100)+((G101/C100)*M101))&lt;=0,0, (((G100/C100)*M100)+((G101/C100)*M101))*3.571428))</f>
        <v>3.0047995192319998</v>
      </c>
      <c r="P100" s="1460">
        <f>O100/3.571428</f>
        <v>0.84134399999999998</v>
      </c>
      <c r="Q100" s="1084" t="s">
        <v>193</v>
      </c>
      <c r="R100" s="435"/>
      <c r="S100" s="467"/>
    </row>
    <row r="101" spans="1:19" ht="38.450000000000003" customHeight="1" thickBot="1" x14ac:dyDescent="0.5">
      <c r="A101" s="1451"/>
      <c r="B101" s="1572"/>
      <c r="C101" s="1574"/>
      <c r="D101" s="1572"/>
      <c r="E101" s="1575"/>
      <c r="F101" s="643" t="s">
        <v>90</v>
      </c>
      <c r="G101" s="632">
        <f>$E$100/2</f>
        <v>1.7857142857142858</v>
      </c>
      <c r="H101" s="1177"/>
      <c r="I101" s="1128"/>
      <c r="J101" s="1025">
        <f>IF(I101=H101,(H101-25),H101-I101)</f>
        <v>-25</v>
      </c>
      <c r="K101" s="810">
        <f>IF(I101&gt;=25,0,((25-I101)*(6/10)))</f>
        <v>15</v>
      </c>
      <c r="L101" s="1086">
        <f t="shared" ref="L101" si="34">K101+I101</f>
        <v>15</v>
      </c>
      <c r="M101" s="805" t="str">
        <f>IF(I101=0,"0%",J101/K101)</f>
        <v>0%</v>
      </c>
      <c r="N101" s="1577"/>
      <c r="O101" s="1459"/>
      <c r="P101" s="1461"/>
      <c r="Q101" s="1087" t="s">
        <v>95</v>
      </c>
      <c r="R101" s="118"/>
      <c r="S101" s="538" t="s">
        <v>463</v>
      </c>
    </row>
    <row r="102" spans="1:19" ht="34.25" customHeight="1" thickBot="1" x14ac:dyDescent="0.5">
      <c r="B102" s="721" t="s">
        <v>194</v>
      </c>
      <c r="C102" s="722">
        <f>C11+C13+C15+C19+C24+C33+C34+C35+C36+C38+C41+C44+C48+C51+C53+C61+C68+C71+C73+C75+C78+C81+C83+C87+C94+C98+C99+C100</f>
        <v>99.999999999999972</v>
      </c>
      <c r="D102" s="723"/>
      <c r="E102" s="722">
        <f>E11+E12+E13+E14+E15+E19+E20+E21+E22+E24+E25+E28+E31+E33+E34+E35+E36+E38+E39+E41+E42+E44+E45+E48+E49++E51+E53+E54+E55+E56+E57+E61+E62+E63+E64+E68+E71+E73+E75+E78+E81++E82+E83+E84+E85+E87+E88+E91+E94+E95+E96+E98+E99+E100</f>
        <v>100.00714285714285</v>
      </c>
      <c r="F102" s="724"/>
      <c r="G102" s="722">
        <f>G11+G12+G13+G14+G15+G16+G17+G19+G20+G21+G22+G24+G25+G26+G27+G28+G29+G30+G31+G33+G34+G35+G36+G38+G39+G41+G42+G44+G45+G48+G49+G51+G53+G54+G55+G56+G57+G58+G61+G62+G63+G64+G65+G66+G68+G71+G73+G75+G78+G81+G82+G83+G84+G85+G87+G88+G89+G90+G91+G94+G95+G96+G98+G99+G100+G101</f>
        <v>100.00714285714285</v>
      </c>
      <c r="H102" s="1178"/>
      <c r="I102" s="1179"/>
      <c r="J102" s="1178"/>
      <c r="K102" s="1180"/>
      <c r="L102" s="1181"/>
      <c r="M102" s="1182"/>
      <c r="N102" s="1183"/>
      <c r="O102" s="1184"/>
      <c r="P102" s="1184"/>
      <c r="Q102" s="1185"/>
      <c r="R102" s="24"/>
      <c r="S102" s="549"/>
    </row>
    <row r="104" spans="1:19" ht="15.75" x14ac:dyDescent="0.5">
      <c r="B104" s="26"/>
    </row>
    <row r="107" spans="1:19" ht="15.75" x14ac:dyDescent="0.5">
      <c r="B107" s="26"/>
    </row>
    <row r="108" spans="1:19" x14ac:dyDescent="0.45">
      <c r="B108" s="27"/>
    </row>
    <row r="109" spans="1:19" x14ac:dyDescent="0.45">
      <c r="B109" s="27"/>
    </row>
    <row r="111" spans="1:19" x14ac:dyDescent="0.45">
      <c r="E111"/>
      <c r="F111" s="725" t="s">
        <v>196</v>
      </c>
    </row>
    <row r="112" spans="1:19" x14ac:dyDescent="0.45">
      <c r="E112" s="726">
        <v>1</v>
      </c>
      <c r="F112" s="726" t="s">
        <v>197</v>
      </c>
    </row>
    <row r="113" spans="5:6" x14ac:dyDescent="0.45">
      <c r="E113" s="726">
        <v>2</v>
      </c>
      <c r="F113" s="726" t="s">
        <v>227</v>
      </c>
    </row>
    <row r="114" spans="5:6" x14ac:dyDescent="0.45">
      <c r="E114" s="726">
        <v>3</v>
      </c>
      <c r="F114" s="726" t="s">
        <v>228</v>
      </c>
    </row>
    <row r="115" spans="5:6" x14ac:dyDescent="0.45">
      <c r="E115" s="726">
        <v>4</v>
      </c>
      <c r="F115" s="726" t="s">
        <v>229</v>
      </c>
    </row>
    <row r="116" spans="5:6" x14ac:dyDescent="0.45">
      <c r="E116" s="726">
        <v>5</v>
      </c>
      <c r="F116" s="726" t="s">
        <v>198</v>
      </c>
    </row>
    <row r="117" spans="5:6" x14ac:dyDescent="0.45">
      <c r="E117" s="726">
        <v>6</v>
      </c>
      <c r="F117" s="726" t="s">
        <v>230</v>
      </c>
    </row>
    <row r="118" spans="5:6" x14ac:dyDescent="0.45">
      <c r="E118" s="726">
        <v>7</v>
      </c>
      <c r="F118" s="726" t="s">
        <v>231</v>
      </c>
    </row>
    <row r="119" spans="5:6" x14ac:dyDescent="0.45">
      <c r="E119" s="726">
        <v>8</v>
      </c>
      <c r="F119" s="726" t="s">
        <v>199</v>
      </c>
    </row>
    <row r="120" spans="5:6" x14ac:dyDescent="0.45">
      <c r="E120" s="726">
        <v>9</v>
      </c>
      <c r="F120" s="726" t="s">
        <v>200</v>
      </c>
    </row>
    <row r="121" spans="5:6" x14ac:dyDescent="0.45">
      <c r="E121" s="726">
        <v>10</v>
      </c>
      <c r="F121" s="726" t="s">
        <v>201</v>
      </c>
    </row>
    <row r="122" spans="5:6" x14ac:dyDescent="0.45">
      <c r="E122" s="726">
        <v>11</v>
      </c>
      <c r="F122" s="726" t="s">
        <v>232</v>
      </c>
    </row>
    <row r="123" spans="5:6" x14ac:dyDescent="0.45">
      <c r="E123" s="726">
        <v>12</v>
      </c>
      <c r="F123" s="726" t="s">
        <v>202</v>
      </c>
    </row>
    <row r="124" spans="5:6" x14ac:dyDescent="0.45">
      <c r="E124" s="726">
        <f t="shared" ref="E124:E145" si="35">E123+1</f>
        <v>13</v>
      </c>
      <c r="F124" s="726" t="s">
        <v>203</v>
      </c>
    </row>
    <row r="125" spans="5:6" x14ac:dyDescent="0.45">
      <c r="E125" s="726">
        <v>14</v>
      </c>
      <c r="F125" s="726" t="s">
        <v>233</v>
      </c>
    </row>
    <row r="126" spans="5:6" x14ac:dyDescent="0.45">
      <c r="E126" s="726">
        <v>15</v>
      </c>
      <c r="F126" s="726" t="s">
        <v>234</v>
      </c>
    </row>
    <row r="127" spans="5:6" x14ac:dyDescent="0.45">
      <c r="E127" s="726">
        <v>16</v>
      </c>
      <c r="F127" s="726" t="s">
        <v>213</v>
      </c>
    </row>
    <row r="128" spans="5:6" x14ac:dyDescent="0.45">
      <c r="E128" s="726">
        <v>17</v>
      </c>
      <c r="F128" s="726" t="s">
        <v>235</v>
      </c>
    </row>
    <row r="129" spans="5:6" x14ac:dyDescent="0.45">
      <c r="E129" s="726">
        <v>18</v>
      </c>
      <c r="F129" s="726" t="s">
        <v>263</v>
      </c>
    </row>
    <row r="130" spans="5:6" x14ac:dyDescent="0.45">
      <c r="E130" s="726">
        <v>19</v>
      </c>
      <c r="F130" s="726" t="s">
        <v>204</v>
      </c>
    </row>
    <row r="131" spans="5:6" x14ac:dyDescent="0.45">
      <c r="E131" s="726">
        <v>20</v>
      </c>
      <c r="F131" s="726" t="s">
        <v>236</v>
      </c>
    </row>
    <row r="132" spans="5:6" x14ac:dyDescent="0.45">
      <c r="E132" s="726">
        <v>21</v>
      </c>
      <c r="F132" s="726" t="s">
        <v>237</v>
      </c>
    </row>
    <row r="133" spans="5:6" x14ac:dyDescent="0.45">
      <c r="E133" s="726">
        <v>22</v>
      </c>
      <c r="F133" s="726" t="s">
        <v>238</v>
      </c>
    </row>
    <row r="134" spans="5:6" x14ac:dyDescent="0.45">
      <c r="E134" s="726">
        <v>23</v>
      </c>
      <c r="F134" s="726" t="s">
        <v>205</v>
      </c>
    </row>
    <row r="135" spans="5:6" x14ac:dyDescent="0.45">
      <c r="E135" s="726">
        <v>24</v>
      </c>
      <c r="F135" s="726" t="s">
        <v>239</v>
      </c>
    </row>
    <row r="136" spans="5:6" x14ac:dyDescent="0.45">
      <c r="E136" s="726">
        <v>25</v>
      </c>
      <c r="F136" s="726" t="s">
        <v>240</v>
      </c>
    </row>
    <row r="137" spans="5:6" x14ac:dyDescent="0.45">
      <c r="E137" s="726">
        <v>26</v>
      </c>
      <c r="F137" s="726" t="s">
        <v>241</v>
      </c>
    </row>
    <row r="138" spans="5:6" x14ac:dyDescent="0.45">
      <c r="E138" s="726">
        <v>27</v>
      </c>
      <c r="F138" s="726" t="s">
        <v>206</v>
      </c>
    </row>
    <row r="139" spans="5:6" x14ac:dyDescent="0.45">
      <c r="E139" s="726">
        <v>28</v>
      </c>
      <c r="F139" s="726" t="s">
        <v>242</v>
      </c>
    </row>
    <row r="140" spans="5:6" x14ac:dyDescent="0.45">
      <c r="E140" s="726">
        <v>29</v>
      </c>
      <c r="F140" s="726" t="s">
        <v>243</v>
      </c>
    </row>
    <row r="141" spans="5:6" x14ac:dyDescent="0.45">
      <c r="E141" s="726">
        <v>30</v>
      </c>
      <c r="F141" s="726" t="s">
        <v>244</v>
      </c>
    </row>
    <row r="142" spans="5:6" x14ac:dyDescent="0.45">
      <c r="E142" s="726">
        <v>31</v>
      </c>
      <c r="F142" s="726" t="s">
        <v>245</v>
      </c>
    </row>
    <row r="143" spans="5:6" x14ac:dyDescent="0.45">
      <c r="E143" s="726">
        <v>32</v>
      </c>
      <c r="F143" s="726" t="s">
        <v>246</v>
      </c>
    </row>
    <row r="144" spans="5:6" x14ac:dyDescent="0.45">
      <c r="E144" s="726">
        <v>33</v>
      </c>
      <c r="F144" s="726" t="s">
        <v>207</v>
      </c>
    </row>
    <row r="145" spans="5:6" x14ac:dyDescent="0.45">
      <c r="E145" s="726">
        <f t="shared" si="35"/>
        <v>34</v>
      </c>
      <c r="F145" s="726" t="s">
        <v>208</v>
      </c>
    </row>
    <row r="146" spans="5:6" x14ac:dyDescent="0.45">
      <c r="E146" s="726">
        <v>35</v>
      </c>
      <c r="F146" s="726" t="s">
        <v>247</v>
      </c>
    </row>
    <row r="147" spans="5:6" x14ac:dyDescent="0.45">
      <c r="E147" s="726">
        <v>36</v>
      </c>
      <c r="F147" s="726" t="s">
        <v>248</v>
      </c>
    </row>
    <row r="148" spans="5:6" x14ac:dyDescent="0.45">
      <c r="E148" s="726">
        <v>36</v>
      </c>
      <c r="F148" s="726" t="s">
        <v>249</v>
      </c>
    </row>
    <row r="149" spans="5:6" x14ac:dyDescent="0.45">
      <c r="E149" s="726">
        <v>38</v>
      </c>
      <c r="F149" s="726" t="s">
        <v>250</v>
      </c>
    </row>
    <row r="150" spans="5:6" x14ac:dyDescent="0.45">
      <c r="E150" s="726">
        <v>39</v>
      </c>
      <c r="F150" s="726" t="s">
        <v>251</v>
      </c>
    </row>
    <row r="151" spans="5:6" x14ac:dyDescent="0.45">
      <c r="E151" s="726">
        <v>40</v>
      </c>
      <c r="F151" s="726" t="s">
        <v>209</v>
      </c>
    </row>
    <row r="152" spans="5:6" x14ac:dyDescent="0.45">
      <c r="E152" s="726">
        <v>41</v>
      </c>
      <c r="F152" s="726" t="s">
        <v>264</v>
      </c>
    </row>
    <row r="153" spans="5:6" x14ac:dyDescent="0.45">
      <c r="E153" s="726">
        <v>42</v>
      </c>
      <c r="F153" s="726" t="s">
        <v>252</v>
      </c>
    </row>
    <row r="154" spans="5:6" x14ac:dyDescent="0.45">
      <c r="E154" s="726">
        <v>43</v>
      </c>
      <c r="F154" s="726" t="s">
        <v>253</v>
      </c>
    </row>
    <row r="155" spans="5:6" x14ac:dyDescent="0.45">
      <c r="E155" s="726">
        <v>44</v>
      </c>
      <c r="F155" s="726" t="s">
        <v>254</v>
      </c>
    </row>
    <row r="156" spans="5:6" x14ac:dyDescent="0.45">
      <c r="E156" s="726">
        <v>45</v>
      </c>
      <c r="F156" s="726" t="s">
        <v>210</v>
      </c>
    </row>
    <row r="157" spans="5:6" x14ac:dyDescent="0.45">
      <c r="E157" s="726">
        <v>46</v>
      </c>
      <c r="F157" s="726" t="s">
        <v>255</v>
      </c>
    </row>
    <row r="158" spans="5:6" x14ac:dyDescent="0.45">
      <c r="E158" s="726">
        <v>47</v>
      </c>
      <c r="F158" s="726" t="s">
        <v>211</v>
      </c>
    </row>
    <row r="159" spans="5:6" x14ac:dyDescent="0.45">
      <c r="E159" s="726">
        <v>48</v>
      </c>
      <c r="F159" s="726" t="s">
        <v>256</v>
      </c>
    </row>
    <row r="160" spans="5:6" x14ac:dyDescent="0.45">
      <c r="E160" s="726">
        <v>49</v>
      </c>
      <c r="F160" s="726" t="s">
        <v>257</v>
      </c>
    </row>
    <row r="161" spans="5:6" x14ac:dyDescent="0.45">
      <c r="E161" s="726">
        <v>50</v>
      </c>
      <c r="F161" s="726" t="s">
        <v>260</v>
      </c>
    </row>
    <row r="162" spans="5:6" x14ac:dyDescent="0.45">
      <c r="E162" s="726">
        <v>51</v>
      </c>
      <c r="F162" s="726" t="s">
        <v>258</v>
      </c>
    </row>
    <row r="163" spans="5:6" x14ac:dyDescent="0.45">
      <c r="E163" s="726">
        <v>52</v>
      </c>
      <c r="F163" s="726" t="s">
        <v>212</v>
      </c>
    </row>
    <row r="164" spans="5:6" x14ac:dyDescent="0.45">
      <c r="E164" s="726">
        <v>53</v>
      </c>
      <c r="F164" s="726" t="s">
        <v>259</v>
      </c>
    </row>
    <row r="165" spans="5:6" x14ac:dyDescent="0.45">
      <c r="E165" s="726">
        <v>54</v>
      </c>
      <c r="F165" s="726" t="s">
        <v>261</v>
      </c>
    </row>
    <row r="166" spans="5:6" x14ac:dyDescent="0.45">
      <c r="E166" s="726">
        <v>55</v>
      </c>
      <c r="F166" s="726" t="s">
        <v>262</v>
      </c>
    </row>
    <row r="167" spans="5:6" x14ac:dyDescent="0.45">
      <c r="E167"/>
      <c r="F167"/>
    </row>
    <row r="168" spans="5:6" x14ac:dyDescent="0.45">
      <c r="E168"/>
      <c r="F168"/>
    </row>
  </sheetData>
  <sheetProtection algorithmName="SHA-512" hashValue="4SBcDRVVmvEyxzXPqhZGZHJe0fqNgJdKhCJ4H+Y0PsycU3JfNz67kr3hRH0ydJosPc/lv6dhOQoAk59jfnbtWQ==" saltValue="mPIlGJsBpG0jDcrCtdblPQ=="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E710B6D8-2C7C-47A9-8F17-1DA1C8A4B3ED}">
      <formula1>$F$112:$F$166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5A0B6-26E0-4B61-8FE9-C980F33022EF}">
  <dimension ref="B1:P24"/>
  <sheetViews>
    <sheetView topLeftCell="F1" workbookViewId="0">
      <selection activeCell="Q5" sqref="Q5"/>
    </sheetView>
  </sheetViews>
  <sheetFormatPr defaultColWidth="8.86328125" defaultRowHeight="14.25" x14ac:dyDescent="0.45"/>
  <cols>
    <col min="1" max="1" width="0" style="5" hidden="1" customWidth="1"/>
    <col min="2" max="2" width="14.796875" style="5" customWidth="1"/>
    <col min="3" max="3" width="14.19921875" style="5" customWidth="1"/>
    <col min="4" max="4" width="72.1328125" style="5" hidden="1" customWidth="1"/>
    <col min="5" max="5" width="15.73046875" style="5" customWidth="1"/>
    <col min="6" max="6" width="38.6640625" style="5" customWidth="1"/>
    <col min="7" max="7" width="36.59765625" style="28" customWidth="1"/>
    <col min="8" max="8" width="16.1328125" style="5" customWidth="1"/>
    <col min="9" max="9" width="4.86328125" style="5" customWidth="1"/>
    <col min="10" max="10" width="8.86328125" style="28"/>
    <col min="11" max="15" width="0" style="28" hidden="1" customWidth="1"/>
    <col min="16" max="16" width="8.86328125" style="28"/>
    <col min="17" max="19" width="28.46484375" style="5" customWidth="1"/>
    <col min="20" max="16384" width="8.86328125" style="5"/>
  </cols>
  <sheetData>
    <row r="1" spans="2:5" ht="22.5" customHeight="1" thickBot="1" x14ac:dyDescent="0.55000000000000004">
      <c r="B1" s="455" t="s">
        <v>425</v>
      </c>
      <c r="C1" s="379" t="s">
        <v>424</v>
      </c>
      <c r="D1" s="389" t="s">
        <v>423</v>
      </c>
      <c r="E1" s="379" t="s">
        <v>396</v>
      </c>
    </row>
    <row r="2" spans="2:5" ht="22.5" customHeight="1" x14ac:dyDescent="0.45">
      <c r="B2" s="446" t="s">
        <v>397</v>
      </c>
      <c r="C2" s="447" t="s">
        <v>405</v>
      </c>
      <c r="D2" s="448" t="s">
        <v>1</v>
      </c>
      <c r="E2" s="449">
        <f>'Initial Analysis Table'!E3</f>
        <v>0.50187641083698098</v>
      </c>
    </row>
    <row r="3" spans="2:5" ht="22.5" customHeight="1" x14ac:dyDescent="0.45">
      <c r="B3" s="450" t="s">
        <v>397</v>
      </c>
      <c r="C3" s="444" t="s">
        <v>406</v>
      </c>
      <c r="D3" s="445" t="s">
        <v>11</v>
      </c>
      <c r="E3" s="451">
        <f>'Initial Analysis Table'!E4</f>
        <v>0.36296414364912111</v>
      </c>
    </row>
    <row r="4" spans="2:5" ht="22.5" customHeight="1" x14ac:dyDescent="0.45">
      <c r="B4" s="450" t="s">
        <v>397</v>
      </c>
      <c r="C4" s="444" t="s">
        <v>407</v>
      </c>
      <c r="D4" s="445" t="s">
        <v>13</v>
      </c>
      <c r="E4" s="451">
        <f>'Initial Analysis Table'!E5</f>
        <v>0.47071162366341884</v>
      </c>
    </row>
    <row r="5" spans="2:5" ht="22.5" customHeight="1" x14ac:dyDescent="0.45">
      <c r="B5" s="450" t="s">
        <v>397</v>
      </c>
      <c r="C5" s="444" t="s">
        <v>408</v>
      </c>
      <c r="D5" s="445" t="s">
        <v>18</v>
      </c>
      <c r="E5" s="451">
        <f>'Initial Analysis Table'!E6</f>
        <v>0.26805387418894078</v>
      </c>
    </row>
    <row r="6" spans="2:5" ht="22.5" customHeight="1" x14ac:dyDescent="0.45">
      <c r="B6" s="450" t="s">
        <v>397</v>
      </c>
      <c r="C6" s="444" t="s">
        <v>409</v>
      </c>
      <c r="D6" s="445" t="s">
        <v>26</v>
      </c>
      <c r="E6" s="451">
        <f>'Initial Analysis Table'!E7</f>
        <v>1.7397507570463534E-2</v>
      </c>
    </row>
    <row r="7" spans="2:5" ht="22.5" customHeight="1" x14ac:dyDescent="0.45">
      <c r="B7" s="450" t="s">
        <v>397</v>
      </c>
      <c r="C7" s="444" t="s">
        <v>410</v>
      </c>
      <c r="D7" s="445" t="s">
        <v>28</v>
      </c>
      <c r="E7" s="451">
        <f>'Initial Analysis Table'!E8</f>
        <v>0.13888888888888887</v>
      </c>
    </row>
    <row r="8" spans="2:5" ht="22.5" customHeight="1" x14ac:dyDescent="0.45">
      <c r="B8" s="450" t="s">
        <v>397</v>
      </c>
      <c r="C8" s="444" t="s">
        <v>411</v>
      </c>
      <c r="D8" s="445" t="s">
        <v>32</v>
      </c>
      <c r="E8" s="451">
        <f>'Initial Analysis Table'!E9</f>
        <v>0.31119257581870746</v>
      </c>
    </row>
    <row r="9" spans="2:5" ht="20.350000000000001" customHeight="1" x14ac:dyDescent="0.45">
      <c r="B9" s="450" t="s">
        <v>397</v>
      </c>
      <c r="C9" s="444" t="s">
        <v>412</v>
      </c>
      <c r="D9" s="445" t="s">
        <v>37</v>
      </c>
      <c r="E9" s="451">
        <f>'Initial Analysis Table'!E11</f>
        <v>0.33892115223041325</v>
      </c>
    </row>
    <row r="10" spans="2:5" ht="20.350000000000001" customHeight="1" x14ac:dyDescent="0.45">
      <c r="B10" s="450" t="s">
        <v>397</v>
      </c>
      <c r="C10" s="444" t="s">
        <v>413</v>
      </c>
      <c r="D10" s="445" t="s">
        <v>39</v>
      </c>
      <c r="E10" s="451">
        <f>'Initial Analysis Table'!E12</f>
        <v>0.9127777777777778</v>
      </c>
    </row>
    <row r="11" spans="2:5" ht="20.350000000000001" customHeight="1" x14ac:dyDescent="0.45">
      <c r="B11" s="450" t="s">
        <v>397</v>
      </c>
      <c r="C11" s="444" t="s">
        <v>414</v>
      </c>
      <c r="D11" s="445" t="s">
        <v>40</v>
      </c>
      <c r="E11" s="451">
        <f>'Initial Analysis Table'!E13</f>
        <v>0.39469645085746635</v>
      </c>
    </row>
    <row r="12" spans="2:5" ht="21.85" customHeight="1" x14ac:dyDescent="0.45">
      <c r="B12" s="450" t="s">
        <v>397</v>
      </c>
      <c r="C12" s="444" t="s">
        <v>415</v>
      </c>
      <c r="D12" s="445" t="s">
        <v>48</v>
      </c>
      <c r="E12" s="451">
        <f>'Initial Analysis Table'!E15</f>
        <v>0.40834638961661618</v>
      </c>
    </row>
    <row r="13" spans="2:5" ht="21.85" customHeight="1" x14ac:dyDescent="0.45">
      <c r="B13" s="450" t="s">
        <v>397</v>
      </c>
      <c r="C13" s="444" t="s">
        <v>416</v>
      </c>
      <c r="D13" s="445" t="s">
        <v>448</v>
      </c>
      <c r="E13" s="451">
        <f>'Initial Analysis Table'!E16</f>
        <v>0.16666666666666666</v>
      </c>
    </row>
    <row r="14" spans="2:5" ht="21.85" customHeight="1" x14ac:dyDescent="0.45">
      <c r="B14" s="450" t="s">
        <v>397</v>
      </c>
      <c r="C14" s="444" t="s">
        <v>417</v>
      </c>
      <c r="D14" s="445" t="s">
        <v>59</v>
      </c>
      <c r="E14" s="451">
        <f>'Initial Analysis Table'!E18</f>
        <v>0.40574138151992822</v>
      </c>
    </row>
    <row r="15" spans="2:5" ht="21.85" customHeight="1" x14ac:dyDescent="0.45">
      <c r="B15" s="450" t="s">
        <v>397</v>
      </c>
      <c r="C15" s="444" t="s">
        <v>418</v>
      </c>
      <c r="D15" s="445" t="s">
        <v>450</v>
      </c>
      <c r="E15" s="451">
        <f>'Initial Analysis Table'!E19</f>
        <v>0.5</v>
      </c>
    </row>
    <row r="16" spans="2:5" ht="21.85" customHeight="1" x14ac:dyDescent="0.45">
      <c r="B16" s="450" t="s">
        <v>397</v>
      </c>
      <c r="C16" s="444" t="s">
        <v>419</v>
      </c>
      <c r="D16" s="445" t="s">
        <v>64</v>
      </c>
      <c r="E16" s="451">
        <f>'Initial Analysis Table'!E20</f>
        <v>0.83333333333333337</v>
      </c>
    </row>
    <row r="17" spans="2:5" ht="21.85" customHeight="1" x14ac:dyDescent="0.45">
      <c r="B17" s="450" t="s">
        <v>397</v>
      </c>
      <c r="C17" s="444" t="s">
        <v>420</v>
      </c>
      <c r="D17" s="445" t="s">
        <v>452</v>
      </c>
      <c r="E17" s="451">
        <f>'Initial Analysis Table'!E22</f>
        <v>0.28325223033252228</v>
      </c>
    </row>
    <row r="18" spans="2:5" ht="21.85" customHeight="1" x14ac:dyDescent="0.45">
      <c r="B18" s="450" t="s">
        <v>397</v>
      </c>
      <c r="C18" s="444" t="s">
        <v>421</v>
      </c>
      <c r="D18" s="445" t="s">
        <v>72</v>
      </c>
      <c r="E18" s="451">
        <f>'Initial Analysis Table'!E24</f>
        <v>0.63119290285753105</v>
      </c>
    </row>
    <row r="19" spans="2:5" ht="21.85" customHeight="1" thickBot="1" x14ac:dyDescent="0.5">
      <c r="B19" s="452" t="s">
        <v>397</v>
      </c>
      <c r="C19" s="453" t="s">
        <v>422</v>
      </c>
      <c r="D19" s="454" t="s">
        <v>75</v>
      </c>
      <c r="E19" s="352">
        <f>'Initial Analysis Table'!E25</f>
        <v>0.21458110000904473</v>
      </c>
    </row>
    <row r="20" spans="2:5" ht="24.85" hidden="1" customHeight="1" x14ac:dyDescent="0.5">
      <c r="B20" s="442" t="s">
        <v>397</v>
      </c>
      <c r="C20" s="391" t="s">
        <v>422</v>
      </c>
      <c r="D20" s="236" t="s">
        <v>82</v>
      </c>
      <c r="E20" s="443">
        <f>'Continental Level Dashboard'!F94</f>
        <v>0.62725504857011372</v>
      </c>
    </row>
    <row r="21" spans="2:5" ht="24.85" hidden="1" customHeight="1" x14ac:dyDescent="0.45">
      <c r="B21" s="357" t="s">
        <v>397</v>
      </c>
      <c r="C21" s="355" t="s">
        <v>422</v>
      </c>
      <c r="D21" s="229" t="s">
        <v>455</v>
      </c>
      <c r="E21" s="131">
        <f>'Continental Level Dashboard'!F98</f>
        <v>0.36118332997984076</v>
      </c>
    </row>
    <row r="22" spans="2:5" ht="24.85" customHeight="1" thickBot="1" x14ac:dyDescent="0.5">
      <c r="B22" s="5" t="s">
        <v>397</v>
      </c>
      <c r="C22" s="5" t="s">
        <v>514</v>
      </c>
      <c r="D22" s="380"/>
      <c r="E22" s="352">
        <f>'Initial Analysis Table'!E27</f>
        <v>0.62725504857011372</v>
      </c>
    </row>
    <row r="23" spans="2:5" ht="24.85" customHeight="1" thickBot="1" x14ac:dyDescent="0.5">
      <c r="B23" s="5" t="s">
        <v>397</v>
      </c>
      <c r="C23" s="5" t="s">
        <v>515</v>
      </c>
      <c r="D23" s="380"/>
      <c r="E23" s="352">
        <f>'Initial Analysis Table'!E28</f>
        <v>0.36118332997984076</v>
      </c>
    </row>
    <row r="24" spans="2:5" ht="24.85" customHeight="1" x14ac:dyDescent="0.45">
      <c r="D24" s="380"/>
      <c r="E24" s="381"/>
    </row>
  </sheetData>
  <conditionalFormatting sqref="E2:E21">
    <cfRule type="colorScale" priority="3">
      <colorScale>
        <cfvo type="num" val="0"/>
        <cfvo type="num" val="0.6"/>
        <cfvo type="num" val="1"/>
        <color rgb="FFFF0000"/>
        <color rgb="FFFFFF00"/>
        <color rgb="FF92FB4B"/>
      </colorScale>
    </cfRule>
  </conditionalFormatting>
  <conditionalFormatting sqref="E22">
    <cfRule type="colorScale" priority="2">
      <colorScale>
        <cfvo type="num" val="0"/>
        <cfvo type="num" val="0.6"/>
        <cfvo type="num" val="1"/>
        <color rgb="FFFF0000"/>
        <color rgb="FFFFFF00"/>
        <color rgb="FF92FB4B"/>
      </colorScale>
    </cfRule>
  </conditionalFormatting>
  <conditionalFormatting sqref="E23">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B88EB-6562-4DFF-A761-0C5719E7760C}">
  <dimension ref="B1:P31"/>
  <sheetViews>
    <sheetView topLeftCell="B1" zoomScaleNormal="100" workbookViewId="0">
      <selection activeCell="D15" sqref="D15"/>
    </sheetView>
  </sheetViews>
  <sheetFormatPr defaultColWidth="8.86328125" defaultRowHeight="14.25" x14ac:dyDescent="0.45"/>
  <cols>
    <col min="1" max="1" width="0" style="5" hidden="1" customWidth="1"/>
    <col min="2" max="2" width="14.796875" style="5" customWidth="1"/>
    <col min="3" max="3" width="14.19921875" style="5" customWidth="1"/>
    <col min="4" max="4" width="72.1328125" style="5" customWidth="1"/>
    <col min="5" max="5" width="15.73046875" style="5" customWidth="1"/>
    <col min="6" max="6" width="38.6640625" style="5" customWidth="1"/>
    <col min="7" max="7" width="36.59765625" style="28" customWidth="1"/>
    <col min="8" max="8" width="16.1328125" style="5" customWidth="1"/>
    <col min="9" max="9" width="4.86328125" style="5" customWidth="1"/>
    <col min="10" max="10" width="8.86328125" style="28"/>
    <col min="11" max="15" width="0" style="28" hidden="1" customWidth="1"/>
    <col min="16" max="16" width="8.86328125" style="28"/>
    <col min="17" max="19" width="28.46484375" style="5" customWidth="1"/>
    <col min="20" max="16384" width="8.86328125" style="5"/>
  </cols>
  <sheetData>
    <row r="1" spans="2:5" ht="22.5" customHeight="1" thickBot="1" x14ac:dyDescent="0.55000000000000004">
      <c r="B1" s="383" t="s">
        <v>425</v>
      </c>
      <c r="C1" s="379" t="s">
        <v>424</v>
      </c>
      <c r="D1" s="389" t="s">
        <v>423</v>
      </c>
      <c r="E1" s="379" t="s">
        <v>396</v>
      </c>
    </row>
    <row r="2" spans="2:5" ht="22.5" customHeight="1" thickBot="1" x14ac:dyDescent="0.5">
      <c r="B2" s="384" t="s">
        <v>395</v>
      </c>
      <c r="C2" s="390" t="s">
        <v>398</v>
      </c>
      <c r="D2" s="437" t="s">
        <v>445</v>
      </c>
      <c r="E2" s="131">
        <f>'Continental Level Dashboard'!F10</f>
        <v>0.32324995573810883</v>
      </c>
    </row>
    <row r="3" spans="2:5" ht="22.5" customHeight="1" thickBot="1" x14ac:dyDescent="0.5">
      <c r="B3" s="385" t="s">
        <v>397</v>
      </c>
      <c r="C3" s="391" t="s">
        <v>405</v>
      </c>
      <c r="D3" s="236" t="s">
        <v>1</v>
      </c>
      <c r="E3" s="131">
        <f>'Continental Level Dashboard'!F11</f>
        <v>0.50187641083698098</v>
      </c>
    </row>
    <row r="4" spans="2:5" ht="22.5" customHeight="1" thickBot="1" x14ac:dyDescent="0.5">
      <c r="B4" s="386" t="s">
        <v>397</v>
      </c>
      <c r="C4" s="354" t="s">
        <v>406</v>
      </c>
      <c r="D4" s="230" t="s">
        <v>11</v>
      </c>
      <c r="E4" s="131">
        <f>'Continental Level Dashboard'!F19</f>
        <v>0.36296414364912111</v>
      </c>
    </row>
    <row r="5" spans="2:5" ht="22.5" customHeight="1" thickBot="1" x14ac:dyDescent="0.5">
      <c r="B5" s="386" t="s">
        <v>397</v>
      </c>
      <c r="C5" s="354" t="s">
        <v>407</v>
      </c>
      <c r="D5" s="230" t="s">
        <v>13</v>
      </c>
      <c r="E5" s="131">
        <f>'Continental Level Dashboard'!F24</f>
        <v>0.47071162366341884</v>
      </c>
    </row>
    <row r="6" spans="2:5" ht="22.5" customHeight="1" thickBot="1" x14ac:dyDescent="0.5">
      <c r="B6" s="386" t="s">
        <v>397</v>
      </c>
      <c r="C6" s="354" t="s">
        <v>408</v>
      </c>
      <c r="D6" s="230" t="s">
        <v>18</v>
      </c>
      <c r="E6" s="131">
        <f>'Continental Level Dashboard'!F33</f>
        <v>0.26805387418894078</v>
      </c>
    </row>
    <row r="7" spans="2:5" ht="22.5" customHeight="1" thickBot="1" x14ac:dyDescent="0.5">
      <c r="B7" s="386" t="s">
        <v>397</v>
      </c>
      <c r="C7" s="354" t="s">
        <v>409</v>
      </c>
      <c r="D7" s="230" t="s">
        <v>26</v>
      </c>
      <c r="E7" s="131">
        <f>'Continental Level Dashboard'!F38</f>
        <v>1.7397507570463534E-2</v>
      </c>
    </row>
    <row r="8" spans="2:5" ht="22.5" customHeight="1" thickBot="1" x14ac:dyDescent="0.5">
      <c r="B8" s="386" t="s">
        <v>397</v>
      </c>
      <c r="C8" s="354" t="s">
        <v>410</v>
      </c>
      <c r="D8" s="230" t="s">
        <v>28</v>
      </c>
      <c r="E8" s="131">
        <f>'Continental Level Dashboard'!F41</f>
        <v>0.13888888888888887</v>
      </c>
    </row>
    <row r="9" spans="2:5" ht="22.5" customHeight="1" thickBot="1" x14ac:dyDescent="0.5">
      <c r="B9" s="387" t="s">
        <v>397</v>
      </c>
      <c r="C9" s="392" t="s">
        <v>411</v>
      </c>
      <c r="D9" s="438" t="s">
        <v>32</v>
      </c>
      <c r="E9" s="131">
        <f>'Continental Level Dashboard'!F44</f>
        <v>0.31119257581870746</v>
      </c>
    </row>
    <row r="10" spans="2:5" ht="35.25" customHeight="1" thickBot="1" x14ac:dyDescent="0.5">
      <c r="B10" s="384" t="s">
        <v>395</v>
      </c>
      <c r="C10" s="390" t="s">
        <v>399</v>
      </c>
      <c r="D10" s="437" t="s">
        <v>446</v>
      </c>
      <c r="E10" s="131">
        <f>'Continental Level Dashboard'!F47</f>
        <v>0.54879846028855261</v>
      </c>
    </row>
    <row r="11" spans="2:5" ht="20.350000000000001" customHeight="1" thickBot="1" x14ac:dyDescent="0.5">
      <c r="B11" s="385" t="s">
        <v>397</v>
      </c>
      <c r="C11" s="393" t="s">
        <v>412</v>
      </c>
      <c r="D11" s="236" t="s">
        <v>37</v>
      </c>
      <c r="E11" s="131">
        <f>'Continental Level Dashboard'!F48</f>
        <v>0.33892115223041325</v>
      </c>
    </row>
    <row r="12" spans="2:5" ht="20.350000000000001" customHeight="1" thickBot="1" x14ac:dyDescent="0.5">
      <c r="B12" s="386" t="s">
        <v>397</v>
      </c>
      <c r="C12" s="393" t="s">
        <v>413</v>
      </c>
      <c r="D12" s="236" t="s">
        <v>39</v>
      </c>
      <c r="E12" s="131">
        <f>'Continental Level Dashboard'!F51</f>
        <v>0.9127777777777778</v>
      </c>
    </row>
    <row r="13" spans="2:5" ht="20.350000000000001" customHeight="1" thickBot="1" x14ac:dyDescent="0.5">
      <c r="B13" s="387" t="s">
        <v>397</v>
      </c>
      <c r="C13" s="393" t="s">
        <v>414</v>
      </c>
      <c r="D13" s="439" t="s">
        <v>40</v>
      </c>
      <c r="E13" s="131">
        <f>'Continental Level Dashboard'!F53</f>
        <v>0.39469645085746635</v>
      </c>
    </row>
    <row r="14" spans="2:5" ht="21.85" customHeight="1" thickBot="1" x14ac:dyDescent="0.5">
      <c r="B14" s="384" t="s">
        <v>395</v>
      </c>
      <c r="C14" s="390" t="s">
        <v>400</v>
      </c>
      <c r="D14" s="437" t="s">
        <v>447</v>
      </c>
      <c r="E14" s="131">
        <f>'Continental Level Dashboard'!F60</f>
        <v>0.2875065281416414</v>
      </c>
    </row>
    <row r="15" spans="2:5" ht="21.85" customHeight="1" thickBot="1" x14ac:dyDescent="0.5">
      <c r="B15" s="385" t="s">
        <v>397</v>
      </c>
      <c r="C15" s="393" t="s">
        <v>415</v>
      </c>
      <c r="D15" s="236" t="s">
        <v>48</v>
      </c>
      <c r="E15" s="131">
        <f>'Continental Level Dashboard'!F61</f>
        <v>0.40834638961661618</v>
      </c>
    </row>
    <row r="16" spans="2:5" ht="21.85" customHeight="1" thickBot="1" x14ac:dyDescent="0.5">
      <c r="B16" s="387" t="s">
        <v>397</v>
      </c>
      <c r="C16" s="393" t="s">
        <v>416</v>
      </c>
      <c r="D16" s="438" t="s">
        <v>448</v>
      </c>
      <c r="E16" s="131">
        <f>'Continental Level Dashboard'!F68</f>
        <v>0.16666666666666666</v>
      </c>
    </row>
    <row r="17" spans="2:5" ht="21.85" customHeight="1" thickBot="1" x14ac:dyDescent="0.5">
      <c r="B17" s="384" t="s">
        <v>395</v>
      </c>
      <c r="C17" s="390" t="s">
        <v>401</v>
      </c>
      <c r="D17" s="437" t="s">
        <v>449</v>
      </c>
      <c r="E17" s="131">
        <f>'Continental Level Dashboard'!F70</f>
        <v>0.57969157161775386</v>
      </c>
    </row>
    <row r="18" spans="2:5" ht="21.85" customHeight="1" thickBot="1" x14ac:dyDescent="0.5">
      <c r="B18" s="385" t="s">
        <v>397</v>
      </c>
      <c r="C18" s="391" t="s">
        <v>417</v>
      </c>
      <c r="D18" s="236" t="s">
        <v>59</v>
      </c>
      <c r="E18" s="131">
        <f>'Continental Level Dashboard'!F71</f>
        <v>0.40574138151992822</v>
      </c>
    </row>
    <row r="19" spans="2:5" ht="21.85" customHeight="1" thickBot="1" x14ac:dyDescent="0.5">
      <c r="B19" s="386" t="s">
        <v>397</v>
      </c>
      <c r="C19" s="354" t="s">
        <v>418</v>
      </c>
      <c r="D19" s="230" t="s">
        <v>450</v>
      </c>
      <c r="E19" s="131">
        <f>'Continental Level Dashboard'!F73</f>
        <v>0.5</v>
      </c>
    </row>
    <row r="20" spans="2:5" ht="21.85" customHeight="1" thickBot="1" x14ac:dyDescent="0.5">
      <c r="B20" s="387" t="s">
        <v>397</v>
      </c>
      <c r="C20" s="392" t="s">
        <v>419</v>
      </c>
      <c r="D20" s="438" t="s">
        <v>64</v>
      </c>
      <c r="E20" s="131">
        <f>'Continental Level Dashboard'!F75</f>
        <v>0.83333333333333337</v>
      </c>
    </row>
    <row r="21" spans="2:5" ht="21.85" customHeight="1" thickBot="1" x14ac:dyDescent="0.5">
      <c r="B21" s="384" t="s">
        <v>395</v>
      </c>
      <c r="C21" s="390" t="s">
        <v>402</v>
      </c>
      <c r="D21" s="437" t="s">
        <v>451</v>
      </c>
      <c r="E21" s="131">
        <f>'Continental Level Dashboard'!F77</f>
        <v>0.28325223033252228</v>
      </c>
    </row>
    <row r="22" spans="2:5" ht="21.85" customHeight="1" thickBot="1" x14ac:dyDescent="0.5">
      <c r="B22" s="388" t="s">
        <v>397</v>
      </c>
      <c r="C22" s="393" t="s">
        <v>420</v>
      </c>
      <c r="D22" s="439" t="s">
        <v>452</v>
      </c>
      <c r="E22" s="131">
        <f>'Continental Level Dashboard'!F78</f>
        <v>0.28325223033252228</v>
      </c>
    </row>
    <row r="23" spans="2:5" ht="21.85" customHeight="1" thickBot="1" x14ac:dyDescent="0.5">
      <c r="B23" s="384" t="s">
        <v>395</v>
      </c>
      <c r="C23" s="390" t="s">
        <v>403</v>
      </c>
      <c r="D23" s="437" t="s">
        <v>453</v>
      </c>
      <c r="E23" s="131">
        <f>'Continental Level Dashboard'!F80</f>
        <v>0.49232230190803566</v>
      </c>
    </row>
    <row r="24" spans="2:5" ht="21.85" customHeight="1" thickBot="1" x14ac:dyDescent="0.5">
      <c r="B24" s="385" t="s">
        <v>397</v>
      </c>
      <c r="C24" s="391" t="s">
        <v>421</v>
      </c>
      <c r="D24" s="439" t="s">
        <v>72</v>
      </c>
      <c r="E24" s="131">
        <f>'Continental Level Dashboard'!F81</f>
        <v>0.63119290285753105</v>
      </c>
    </row>
    <row r="25" spans="2:5" ht="21.85" customHeight="1" thickBot="1" x14ac:dyDescent="0.5">
      <c r="B25" s="387" t="s">
        <v>397</v>
      </c>
      <c r="C25" s="392" t="s">
        <v>422</v>
      </c>
      <c r="D25" s="438" t="s">
        <v>75</v>
      </c>
      <c r="E25" s="131">
        <f>'Continental Level Dashboard'!F87</f>
        <v>0.21458110000904473</v>
      </c>
    </row>
    <row r="26" spans="2:5" ht="38.65" customHeight="1" thickBot="1" x14ac:dyDescent="0.5">
      <c r="B26" s="384" t="s">
        <v>395</v>
      </c>
      <c r="C26" s="390" t="s">
        <v>404</v>
      </c>
      <c r="D26" s="437" t="s">
        <v>454</v>
      </c>
      <c r="E26" s="131">
        <f>'Continental Level Dashboard'!F93</f>
        <v>0.42770125962740896</v>
      </c>
    </row>
    <row r="27" spans="2:5" ht="22.25" customHeight="1" thickBot="1" x14ac:dyDescent="0.5">
      <c r="B27" s="356" t="s">
        <v>397</v>
      </c>
      <c r="C27" s="382" t="s">
        <v>514</v>
      </c>
      <c r="D27" s="166" t="s">
        <v>82</v>
      </c>
      <c r="E27" s="131">
        <f>'Continental Level Dashboard'!F94</f>
        <v>0.62725504857011372</v>
      </c>
    </row>
    <row r="28" spans="2:5" ht="22.25" customHeight="1" thickBot="1" x14ac:dyDescent="0.5">
      <c r="B28" s="357" t="s">
        <v>397</v>
      </c>
      <c r="C28" s="355" t="s">
        <v>515</v>
      </c>
      <c r="D28" s="229" t="s">
        <v>455</v>
      </c>
      <c r="E28" s="131">
        <f>'Continental Level Dashboard'!F98</f>
        <v>0.36118332997984076</v>
      </c>
    </row>
    <row r="29" spans="2:5" ht="24.85" customHeight="1" x14ac:dyDescent="0.45">
      <c r="D29" s="380"/>
      <c r="E29" s="381"/>
    </row>
    <row r="30" spans="2:5" ht="24.85" customHeight="1" x14ac:dyDescent="0.45">
      <c r="D30" s="380"/>
      <c r="E30" s="381"/>
    </row>
    <row r="31" spans="2:5" ht="24.85" customHeight="1" x14ac:dyDescent="0.45">
      <c r="D31" s="380"/>
      <c r="E31" s="381"/>
    </row>
  </sheetData>
  <conditionalFormatting sqref="E2:E28">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8"/>
  <sheetViews>
    <sheetView topLeftCell="B61" zoomScale="70" zoomScaleNormal="70" workbookViewId="0">
      <selection activeCell="B19" sqref="B19:D19"/>
    </sheetView>
  </sheetViews>
  <sheetFormatPr defaultColWidth="8.86328125" defaultRowHeight="14.25" x14ac:dyDescent="0.45"/>
  <cols>
    <col min="1" max="1" width="0" style="5" hidden="1" customWidth="1"/>
    <col min="2" max="2" width="24" style="5" customWidth="1"/>
    <col min="3" max="3" width="41.86328125" style="5" customWidth="1"/>
    <col min="4" max="4" width="38.6640625" style="5" customWidth="1"/>
    <col min="5" max="5" width="36.59765625" style="28" customWidth="1"/>
    <col min="6" max="6" width="16.1328125" style="5" customWidth="1"/>
    <col min="7" max="7" width="4.86328125" style="5" customWidth="1"/>
    <col min="8" max="8" width="8.86328125" style="28"/>
    <col min="9" max="13" width="0" style="28" hidden="1" customWidth="1"/>
    <col min="14" max="14" width="8.86328125" style="28"/>
    <col min="15" max="17" width="28.46484375" style="5" customWidth="1"/>
    <col min="18" max="16384" width="8.86328125" style="5"/>
  </cols>
  <sheetData>
    <row r="1" spans="1:14" x14ac:dyDescent="0.45">
      <c r="B1" s="303"/>
      <c r="C1" s="304"/>
      <c r="D1" s="304"/>
      <c r="E1" s="305"/>
      <c r="F1" s="306"/>
    </row>
    <row r="2" spans="1:14" ht="46.15" customHeight="1" x14ac:dyDescent="0.45">
      <c r="B2" s="1308" t="s">
        <v>386</v>
      </c>
      <c r="C2" s="1309"/>
      <c r="D2" s="1309"/>
      <c r="E2" s="1309"/>
      <c r="F2" s="1310"/>
    </row>
    <row r="3" spans="1:14" x14ac:dyDescent="0.45">
      <c r="B3" s="288"/>
      <c r="C3" s="289"/>
      <c r="D3" s="290"/>
      <c r="E3" s="289"/>
      <c r="F3" s="291"/>
    </row>
    <row r="4" spans="1:14" ht="26.45" customHeight="1" x14ac:dyDescent="0.45">
      <c r="B4" s="288"/>
      <c r="C4" s="1419" t="s">
        <v>516</v>
      </c>
      <c r="D4" s="1420"/>
      <c r="E4" s="289"/>
      <c r="F4" s="292"/>
    </row>
    <row r="5" spans="1:14" ht="18.399999999999999" thickBot="1" x14ac:dyDescent="0.6">
      <c r="B5" s="1411"/>
      <c r="C5" s="1412"/>
      <c r="D5" s="1412"/>
      <c r="E5" s="289"/>
      <c r="F5" s="291"/>
    </row>
    <row r="6" spans="1:14" ht="23.65" thickBot="1" x14ac:dyDescent="0.75">
      <c r="B6" s="293"/>
      <c r="C6" s="294"/>
      <c r="D6" s="294"/>
      <c r="E6" s="299" t="s">
        <v>292</v>
      </c>
      <c r="F6" s="132">
        <f>'Continental Dboard Targets'!G6</f>
        <v>0.40394660663373877</v>
      </c>
    </row>
    <row r="7" spans="1:14" ht="18.399999999999999" thickBot="1" x14ac:dyDescent="0.6">
      <c r="B7" s="295"/>
      <c r="C7" s="296"/>
      <c r="D7" s="296"/>
      <c r="E7" s="297"/>
      <c r="F7" s="298"/>
    </row>
    <row r="8" spans="1:14" ht="6.75" customHeight="1" thickBot="1" x14ac:dyDescent="0.5">
      <c r="B8" s="1413"/>
      <c r="C8" s="1414"/>
      <c r="D8" s="1415"/>
      <c r="E8" s="302"/>
      <c r="F8" s="307"/>
    </row>
    <row r="9" spans="1:14" ht="25.25" customHeight="1" thickBot="1" x14ac:dyDescent="0.5">
      <c r="B9" s="300" t="s">
        <v>2</v>
      </c>
      <c r="C9" s="300" t="s">
        <v>3</v>
      </c>
      <c r="D9" s="300" t="s">
        <v>387</v>
      </c>
      <c r="E9" s="300" t="s">
        <v>102</v>
      </c>
      <c r="F9" s="301" t="s">
        <v>388</v>
      </c>
      <c r="I9" s="50" t="s">
        <v>151</v>
      </c>
      <c r="J9" s="51"/>
      <c r="K9" s="51"/>
      <c r="L9" s="51"/>
      <c r="M9" s="52"/>
    </row>
    <row r="10" spans="1:14" ht="25.25" customHeight="1" thickBot="1" x14ac:dyDescent="0.5">
      <c r="B10" s="1416" t="s">
        <v>0</v>
      </c>
      <c r="C10" s="1417"/>
      <c r="D10" s="1418"/>
      <c r="E10" s="121"/>
      <c r="F10" s="131">
        <f>'Continental Dboard Targets'!G10</f>
        <v>0.32324995573810883</v>
      </c>
      <c r="I10" s="122"/>
      <c r="J10" s="123"/>
      <c r="K10" s="123"/>
      <c r="L10" s="123"/>
      <c r="M10" s="124"/>
    </row>
    <row r="11" spans="1:14" s="96" customFormat="1" ht="25.25" customHeight="1" thickBot="1" x14ac:dyDescent="0.5">
      <c r="B11" s="1340" t="s">
        <v>1</v>
      </c>
      <c r="C11" s="1326"/>
      <c r="D11" s="1326"/>
      <c r="E11" s="526"/>
      <c r="F11" s="131">
        <f>'Continental Dboard Targets'!G11</f>
        <v>0.50187641083698098</v>
      </c>
      <c r="H11" s="126"/>
      <c r="I11" s="127"/>
      <c r="J11" s="128"/>
      <c r="K11" s="128"/>
      <c r="L11" s="128"/>
      <c r="M11" s="129"/>
      <c r="N11" s="126"/>
    </row>
    <row r="12" spans="1:14" ht="27.6" customHeight="1" x14ac:dyDescent="0.45">
      <c r="A12" s="1317">
        <v>1</v>
      </c>
      <c r="B12" s="1403" t="s">
        <v>4</v>
      </c>
      <c r="C12" s="413" t="s">
        <v>111</v>
      </c>
      <c r="D12" s="57" t="s">
        <v>5</v>
      </c>
      <c r="E12" s="409" t="s">
        <v>97</v>
      </c>
      <c r="F12" s="1405">
        <f>'Continental Dboard Targets'!G12:G13</f>
        <v>0.44898509124232805</v>
      </c>
      <c r="I12" s="29" t="s">
        <v>109</v>
      </c>
      <c r="J12" s="30" t="e">
        <f>#REF!</f>
        <v>#REF!</v>
      </c>
      <c r="K12" s="31"/>
      <c r="L12" s="31"/>
      <c r="M12" s="32"/>
    </row>
    <row r="13" spans="1:14" ht="27" customHeight="1" thickBot="1" x14ac:dyDescent="0.5">
      <c r="A13" s="1317"/>
      <c r="B13" s="1404"/>
      <c r="C13" s="414" t="s">
        <v>112</v>
      </c>
      <c r="D13" s="59" t="s">
        <v>281</v>
      </c>
      <c r="E13" s="404" t="s">
        <v>98</v>
      </c>
      <c r="F13" s="1406"/>
      <c r="I13" s="33">
        <v>0.02</v>
      </c>
      <c r="J13" s="34" t="e">
        <f>(J12-(J12*I13))</f>
        <v>#REF!</v>
      </c>
      <c r="K13" s="34" t="e">
        <f>J12-(I13*J12)</f>
        <v>#REF!</v>
      </c>
      <c r="L13" s="31"/>
      <c r="M13" s="32"/>
    </row>
    <row r="14" spans="1:14" ht="32.450000000000003" customHeight="1" x14ac:dyDescent="0.45">
      <c r="A14" s="1317">
        <v>2</v>
      </c>
      <c r="B14" s="1407" t="s">
        <v>6</v>
      </c>
      <c r="C14" s="415" t="s">
        <v>273</v>
      </c>
      <c r="D14" s="416" t="s">
        <v>7</v>
      </c>
      <c r="E14" s="405" t="s">
        <v>99</v>
      </c>
      <c r="F14" s="1409">
        <f>'Continental Dboard Targets'!G14:G15</f>
        <v>0.39309888777627117</v>
      </c>
      <c r="I14" s="33">
        <v>0.02</v>
      </c>
      <c r="J14" s="34" t="e">
        <f>(#REF!-(#REF!*I14))</f>
        <v>#REF!</v>
      </c>
      <c r="K14" s="34" t="e">
        <f>(J12-(I13*J12))-((J12-(I13*J12))*0.02)-(((J12-(I13*J12))-((J12-(I13*J12))*0.02))*0.02)-(((J12-(I13*J12))-((J12-(I13*J12))*0.02)-(((J12-(I13*J12))-((J12-(I13*J12))*0.02))*0.02))*0.02)</f>
        <v>#REF!</v>
      </c>
      <c r="L14" s="35" t="e">
        <f>(J12-J15)/J12</f>
        <v>#REF!</v>
      </c>
      <c r="M14" s="32"/>
    </row>
    <row r="15" spans="1:14" ht="33" customHeight="1" thickBot="1" x14ac:dyDescent="0.5">
      <c r="A15" s="1317"/>
      <c r="B15" s="1408"/>
      <c r="C15" s="415" t="s">
        <v>274</v>
      </c>
      <c r="D15" s="416" t="s">
        <v>8</v>
      </c>
      <c r="E15" s="406" t="s">
        <v>100</v>
      </c>
      <c r="F15" s="1410"/>
      <c r="I15" s="36">
        <v>0.02</v>
      </c>
      <c r="J15" s="37" t="e">
        <f>(#REF!-(#REF!*I15))</f>
        <v>#REF!</v>
      </c>
      <c r="K15" s="37" t="e">
        <f>(J12-(I13*J12))-((J12-(I13*J12))*0.02)-(((J12-(I13*J12))-((J12-(I13*J12))*0.02))*0.02)-(((J12-(I13*J12))-((J12-(I13*J12))*0.02)-(((J12-(I13*J12))-((J12-(I13*J12))*0.02))*0.02))*0.02)-(((J12-(I13*J12))-((J12-(I13*J12))*0.02)-(((J12-(I13*J12))-((J12-(I13*J12))*0.02))*0.02)-(((J12-(I13*J12))-((J12-(I13*J12))*0.02)-(((J12-(I13*J12))-((J12-(I13*J13))*0.02))*0.02))*0.02))*0.02)-(((J12-(I13*J12))-((J12-(I13*J12))*0.02)-(((J12-(I13*J12))-((J12-(I13*J12))*0.02))*0.02)-(((J12-(I13*J12))-((J12-(I13*J12))*0.02)-(((J12-(I13*J12))-((J12-(I13*J12))*0.02))*0.02))*0.02)-(((J12-(I13*J12))-((J12-(I13*J12))*0.02)-(((J12-(I13*J12))-((J12-(I13*J12))*0.02))*0.02)-(((J12-(I13*J12))-((J12-(I13*J12))*0.02)-(((J12-(I13*J12))-((J12-(I13*J12))*0.02))*0.02))*0.02))*0.02))*0.02)</f>
        <v>#REF!</v>
      </c>
      <c r="L15" s="38" t="e">
        <f>J12-K15</f>
        <v>#REF!</v>
      </c>
      <c r="M15" s="39"/>
    </row>
    <row r="16" spans="1:14" ht="22.25" customHeight="1" x14ac:dyDescent="0.45">
      <c r="A16" s="1317">
        <v>3</v>
      </c>
      <c r="B16" s="1398" t="s">
        <v>9</v>
      </c>
      <c r="C16" s="1401" t="s">
        <v>113</v>
      </c>
      <c r="D16" s="416" t="s">
        <v>221</v>
      </c>
      <c r="E16" s="410" t="s">
        <v>101</v>
      </c>
      <c r="F16" s="1311">
        <f>'Continental Dboard Targets'!G16:G18</f>
        <v>0.6635452534923435</v>
      </c>
    </row>
    <row r="17" spans="1:6" x14ac:dyDescent="0.45">
      <c r="A17" s="1317"/>
      <c r="B17" s="1399"/>
      <c r="C17" s="1401"/>
      <c r="D17" s="416" t="s">
        <v>220</v>
      </c>
      <c r="E17" s="411" t="s">
        <v>95</v>
      </c>
      <c r="F17" s="1312"/>
    </row>
    <row r="18" spans="1:6" ht="25.25" customHeight="1" thickBot="1" x14ac:dyDescent="0.5">
      <c r="A18" s="1317"/>
      <c r="B18" s="1400"/>
      <c r="C18" s="1402"/>
      <c r="D18" s="418" t="s">
        <v>10</v>
      </c>
      <c r="E18" s="412" t="s">
        <v>162</v>
      </c>
      <c r="F18" s="1313"/>
    </row>
    <row r="19" spans="1:6" ht="26.25" customHeight="1" thickBot="1" x14ac:dyDescent="0.7">
      <c r="A19" s="14"/>
      <c r="B19" s="1340" t="s">
        <v>11</v>
      </c>
      <c r="C19" s="1395"/>
      <c r="D19" s="1396"/>
      <c r="E19" s="42"/>
      <c r="F19" s="131">
        <f>'Continental Dboard Targets'!G19</f>
        <v>0.36296414364912111</v>
      </c>
    </row>
    <row r="20" spans="1:6" ht="34.25" customHeight="1" x14ac:dyDescent="0.45">
      <c r="A20" s="1317">
        <v>4</v>
      </c>
      <c r="B20" s="1370" t="s">
        <v>12</v>
      </c>
      <c r="C20" s="56" t="s">
        <v>114</v>
      </c>
      <c r="D20" s="57" t="s">
        <v>222</v>
      </c>
      <c r="E20" s="312" t="s">
        <v>163</v>
      </c>
      <c r="F20" s="1390">
        <f>'Continental Dboard Targets'!G20:G23</f>
        <v>0.36296414364912111</v>
      </c>
    </row>
    <row r="21" spans="1:6" ht="39" customHeight="1" x14ac:dyDescent="0.45">
      <c r="A21" s="1317"/>
      <c r="B21" s="1371"/>
      <c r="C21" s="143" t="s">
        <v>152</v>
      </c>
      <c r="D21" s="59" t="s">
        <v>265</v>
      </c>
      <c r="E21" s="313" t="s">
        <v>164</v>
      </c>
      <c r="F21" s="1391"/>
    </row>
    <row r="22" spans="1:6" ht="56.45" customHeight="1" x14ac:dyDescent="0.45">
      <c r="A22" s="1317"/>
      <c r="B22" s="1371"/>
      <c r="C22" s="143" t="s">
        <v>153</v>
      </c>
      <c r="D22" s="59" t="s">
        <v>155</v>
      </c>
      <c r="E22" s="313" t="s">
        <v>165</v>
      </c>
      <c r="F22" s="1391"/>
    </row>
    <row r="23" spans="1:6" ht="36.6" customHeight="1" thickBot="1" x14ac:dyDescent="0.5">
      <c r="A23" s="1317"/>
      <c r="B23" s="1372"/>
      <c r="C23" s="62" t="s">
        <v>154</v>
      </c>
      <c r="D23" s="85" t="s">
        <v>156</v>
      </c>
      <c r="E23" s="314" t="s">
        <v>95</v>
      </c>
      <c r="F23" s="1397"/>
    </row>
    <row r="24" spans="1:6" ht="20.45" customHeight="1" thickBot="1" x14ac:dyDescent="0.5">
      <c r="B24" s="1340" t="s">
        <v>13</v>
      </c>
      <c r="C24" s="1341"/>
      <c r="D24" s="1342"/>
      <c r="E24" s="42"/>
      <c r="F24" s="131">
        <f>'Continental Dboard Targets'!G24</f>
        <v>0.47071162366341884</v>
      </c>
    </row>
    <row r="25" spans="1:6" ht="36" customHeight="1" x14ac:dyDescent="0.45">
      <c r="A25" s="1317">
        <v>5</v>
      </c>
      <c r="B25" s="1328" t="s">
        <v>14</v>
      </c>
      <c r="C25" s="138" t="s">
        <v>115</v>
      </c>
      <c r="D25" s="138" t="s">
        <v>280</v>
      </c>
      <c r="E25" s="315" t="s">
        <v>166</v>
      </c>
      <c r="F25" s="1390">
        <f>'Continental Dboard Targets'!G25:G32</f>
        <v>0.47071162366341884</v>
      </c>
    </row>
    <row r="26" spans="1:6" ht="19.8" customHeight="1" x14ac:dyDescent="0.45">
      <c r="A26" s="1317"/>
      <c r="B26" s="1329"/>
      <c r="C26" s="1332" t="s">
        <v>158</v>
      </c>
      <c r="D26" s="139" t="s">
        <v>15</v>
      </c>
      <c r="E26" s="316" t="s">
        <v>167</v>
      </c>
      <c r="F26" s="1391"/>
    </row>
    <row r="27" spans="1:6" ht="19.8" customHeight="1" x14ac:dyDescent="0.45">
      <c r="A27" s="1317"/>
      <c r="B27" s="1329"/>
      <c r="C27" s="1392"/>
      <c r="D27" s="139" t="s">
        <v>16</v>
      </c>
      <c r="E27" s="316" t="s">
        <v>168</v>
      </c>
      <c r="F27" s="1391"/>
    </row>
    <row r="28" spans="1:6" ht="19.8" customHeight="1" x14ac:dyDescent="0.45">
      <c r="A28" s="1317"/>
      <c r="B28" s="1329"/>
      <c r="C28" s="1392"/>
      <c r="D28" s="139" t="s">
        <v>17</v>
      </c>
      <c r="E28" s="316" t="s">
        <v>169</v>
      </c>
      <c r="F28" s="1391"/>
    </row>
    <row r="29" spans="1:6" ht="30.6" customHeight="1" x14ac:dyDescent="0.45">
      <c r="A29" s="137"/>
      <c r="B29" s="1329"/>
      <c r="C29" s="1393" t="s">
        <v>116</v>
      </c>
      <c r="D29" s="139" t="s">
        <v>148</v>
      </c>
      <c r="E29" s="316" t="s">
        <v>170</v>
      </c>
      <c r="F29" s="1346"/>
    </row>
    <row r="30" spans="1:6" ht="20.45" customHeight="1" x14ac:dyDescent="0.45">
      <c r="A30" s="137"/>
      <c r="B30" s="1329"/>
      <c r="C30" s="1394"/>
      <c r="D30" s="139" t="s">
        <v>149</v>
      </c>
      <c r="E30" s="316" t="s">
        <v>171</v>
      </c>
      <c r="F30" s="1346"/>
    </row>
    <row r="31" spans="1:6" ht="20.45" customHeight="1" x14ac:dyDescent="0.45">
      <c r="A31" s="137"/>
      <c r="B31" s="1388"/>
      <c r="C31" s="1394"/>
      <c r="D31" s="143" t="s">
        <v>150</v>
      </c>
      <c r="E31" s="316" t="s">
        <v>172</v>
      </c>
      <c r="F31" s="1346"/>
    </row>
    <row r="32" spans="1:6" ht="23.65" thickBot="1" x14ac:dyDescent="0.5">
      <c r="A32" s="137"/>
      <c r="B32" s="1389"/>
      <c r="C32" s="62" t="s">
        <v>117</v>
      </c>
      <c r="D32" s="94" t="s">
        <v>223</v>
      </c>
      <c r="E32" s="317" t="s">
        <v>95</v>
      </c>
      <c r="F32" s="1347"/>
    </row>
    <row r="33" spans="1:6" ht="20.45" customHeight="1" thickBot="1" x14ac:dyDescent="0.5">
      <c r="B33" s="1382" t="s">
        <v>18</v>
      </c>
      <c r="C33" s="1383"/>
      <c r="D33" s="1384"/>
      <c r="E33" s="42"/>
      <c r="F33" s="131">
        <f>'Continental Dboard Targets'!G33</f>
        <v>0.26805387418894078</v>
      </c>
    </row>
    <row r="34" spans="1:6" ht="33.6" customHeight="1" thickBot="1" x14ac:dyDescent="0.5">
      <c r="A34" s="137">
        <v>6</v>
      </c>
      <c r="B34" s="63" t="s">
        <v>19</v>
      </c>
      <c r="C34" s="64" t="s">
        <v>287</v>
      </c>
      <c r="D34" s="63" t="s">
        <v>288</v>
      </c>
      <c r="E34" s="318" t="s">
        <v>97</v>
      </c>
      <c r="F34" s="92">
        <f>'Continental Dboard Targets'!G34</f>
        <v>0.48484848484848486</v>
      </c>
    </row>
    <row r="35" spans="1:6" ht="51" customHeight="1" thickBot="1" x14ac:dyDescent="0.5">
      <c r="A35" s="137">
        <v>7</v>
      </c>
      <c r="B35" s="63" t="s">
        <v>20</v>
      </c>
      <c r="C35" s="63" t="s">
        <v>118</v>
      </c>
      <c r="D35" s="63" t="s">
        <v>21</v>
      </c>
      <c r="E35" s="318" t="s">
        <v>173</v>
      </c>
      <c r="F35" s="92">
        <f>'Continental Dboard Targets'!G35</f>
        <v>0.33333333333333331</v>
      </c>
    </row>
    <row r="36" spans="1:6" ht="40.799999999999997" customHeight="1" thickBot="1" x14ac:dyDescent="0.5">
      <c r="A36" s="137">
        <v>8</v>
      </c>
      <c r="B36" s="63" t="s">
        <v>22</v>
      </c>
      <c r="C36" s="63" t="s">
        <v>119</v>
      </c>
      <c r="D36" s="63" t="s">
        <v>23</v>
      </c>
      <c r="E36" s="318" t="s">
        <v>174</v>
      </c>
      <c r="F36" s="92">
        <f>'Continental Dboard Targets'!G36</f>
        <v>0.21017402945113786</v>
      </c>
    </row>
    <row r="37" spans="1:6" ht="32.450000000000003" customHeight="1" thickBot="1" x14ac:dyDescent="0.5">
      <c r="A37" s="137">
        <v>9</v>
      </c>
      <c r="B37" s="63" t="s">
        <v>24</v>
      </c>
      <c r="C37" s="63" t="s">
        <v>275</v>
      </c>
      <c r="D37" s="65" t="s">
        <v>25</v>
      </c>
      <c r="E37" s="319" t="s">
        <v>175</v>
      </c>
      <c r="F37" s="92">
        <f>'Continental Dboard Targets'!G37</f>
        <v>4.3859649122807105E-2</v>
      </c>
    </row>
    <row r="38" spans="1:6" ht="30.6" customHeight="1" thickBot="1" x14ac:dyDescent="0.5">
      <c r="B38" s="1385" t="s">
        <v>26</v>
      </c>
      <c r="C38" s="1386"/>
      <c r="D38" s="1387"/>
      <c r="E38" s="43"/>
      <c r="F38" s="92">
        <f>'Continental Dboard Targets'!G38</f>
        <v>1.7397507570463534E-2</v>
      </c>
    </row>
    <row r="39" spans="1:6" ht="25.8" customHeight="1" x14ac:dyDescent="0.45">
      <c r="A39" s="1317">
        <v>10</v>
      </c>
      <c r="B39" s="1370" t="s">
        <v>27</v>
      </c>
      <c r="C39" s="88" t="s">
        <v>120</v>
      </c>
      <c r="D39" s="89" t="s">
        <v>224</v>
      </c>
      <c r="E39" s="320" t="s">
        <v>176</v>
      </c>
      <c r="F39" s="1311">
        <f>'Continental Dboard Targets'!G39:G40</f>
        <v>1.7397507570463534E-2</v>
      </c>
    </row>
    <row r="40" spans="1:6" ht="35.25" thickBot="1" x14ac:dyDescent="0.5">
      <c r="A40" s="1317"/>
      <c r="B40" s="1372"/>
      <c r="C40" s="84" t="s">
        <v>157</v>
      </c>
      <c r="D40" s="346" t="s">
        <v>225</v>
      </c>
      <c r="E40" s="326" t="s">
        <v>95</v>
      </c>
      <c r="F40" s="1313"/>
    </row>
    <row r="41" spans="1:6" ht="20.45" customHeight="1" thickBot="1" x14ac:dyDescent="0.5">
      <c r="B41" s="1365" t="s">
        <v>28</v>
      </c>
      <c r="C41" s="1366"/>
      <c r="D41" s="1367"/>
      <c r="E41" s="44"/>
      <c r="F41" s="131">
        <f>'Continental Dboard Targets'!G41</f>
        <v>0.13888888888888887</v>
      </c>
    </row>
    <row r="42" spans="1:6" ht="34.9" x14ac:dyDescent="0.45">
      <c r="A42" s="1317">
        <v>11</v>
      </c>
      <c r="B42" s="1331" t="s">
        <v>29</v>
      </c>
      <c r="C42" s="141" t="s">
        <v>121</v>
      </c>
      <c r="D42" s="138" t="s">
        <v>30</v>
      </c>
      <c r="E42" s="347" t="s">
        <v>177</v>
      </c>
      <c r="F42" s="1380">
        <f>'Continental Dboard Targets'!G42:G43</f>
        <v>0.13888888888888887</v>
      </c>
    </row>
    <row r="43" spans="1:6" ht="35.25" thickBot="1" x14ac:dyDescent="0.5">
      <c r="A43" s="1317"/>
      <c r="B43" s="1333"/>
      <c r="C43" s="142" t="s">
        <v>122</v>
      </c>
      <c r="D43" s="140" t="s">
        <v>31</v>
      </c>
      <c r="E43" s="348" t="s">
        <v>95</v>
      </c>
      <c r="F43" s="1381"/>
    </row>
    <row r="44" spans="1:6" ht="30.6" customHeight="1" thickBot="1" x14ac:dyDescent="0.5">
      <c r="B44" s="1340" t="s">
        <v>32</v>
      </c>
      <c r="C44" s="1341"/>
      <c r="D44" s="1342"/>
      <c r="E44" s="42"/>
      <c r="F44" s="131">
        <f>'Continental Dboard Targets'!G44</f>
        <v>0.31119257581870746</v>
      </c>
    </row>
    <row r="45" spans="1:6" ht="37.799999999999997" customHeight="1" x14ac:dyDescent="0.45">
      <c r="A45" s="1317">
        <v>12</v>
      </c>
      <c r="B45" s="1331" t="s">
        <v>33</v>
      </c>
      <c r="C45" s="138" t="s">
        <v>123</v>
      </c>
      <c r="D45" s="138" t="s">
        <v>34</v>
      </c>
      <c r="E45" s="310" t="s">
        <v>178</v>
      </c>
      <c r="F45" s="1311">
        <f>'Continental Dboard Targets'!G45:G46</f>
        <v>0.31119257581870746</v>
      </c>
    </row>
    <row r="46" spans="1:6" ht="35.25" thickBot="1" x14ac:dyDescent="0.5">
      <c r="A46" s="1317"/>
      <c r="B46" s="1333"/>
      <c r="C46" s="140" t="s">
        <v>124</v>
      </c>
      <c r="D46" s="140" t="s">
        <v>35</v>
      </c>
      <c r="E46" s="311" t="s">
        <v>179</v>
      </c>
      <c r="F46" s="1313"/>
    </row>
    <row r="47" spans="1:6" ht="30.6" customHeight="1" thickBot="1" x14ac:dyDescent="0.5">
      <c r="B47" s="1359" t="s">
        <v>36</v>
      </c>
      <c r="C47" s="1360"/>
      <c r="D47" s="1361"/>
      <c r="E47" s="45"/>
      <c r="F47" s="131">
        <f>'Continental Dboard Targets'!G47</f>
        <v>0.54879846028855261</v>
      </c>
    </row>
    <row r="48" spans="1:6" ht="20.45" customHeight="1" thickBot="1" x14ac:dyDescent="0.5">
      <c r="B48" s="1325" t="s">
        <v>37</v>
      </c>
      <c r="C48" s="1326"/>
      <c r="D48" s="1327"/>
      <c r="E48" s="61"/>
      <c r="F48" s="131">
        <f>'Continental Dboard Targets'!G48</f>
        <v>0.33892115223041325</v>
      </c>
    </row>
    <row r="49" spans="1:8" ht="37.799999999999997" customHeight="1" x14ac:dyDescent="0.45">
      <c r="A49" s="1317">
        <v>13</v>
      </c>
      <c r="B49" s="1331" t="s">
        <v>38</v>
      </c>
      <c r="C49" s="134" t="s">
        <v>125</v>
      </c>
      <c r="D49" s="68" t="s">
        <v>289</v>
      </c>
      <c r="E49" s="315" t="s">
        <v>95</v>
      </c>
      <c r="F49" s="1378">
        <f>'Continental Dboard Targets'!G49:G50</f>
        <v>0.33892115223041325</v>
      </c>
      <c r="H49" s="436"/>
    </row>
    <row r="50" spans="1:8" ht="30.6" customHeight="1" thickBot="1" x14ac:dyDescent="0.5">
      <c r="A50" s="1317"/>
      <c r="B50" s="1333"/>
      <c r="C50" s="135" t="s">
        <v>126</v>
      </c>
      <c r="D50" s="135" t="s">
        <v>290</v>
      </c>
      <c r="E50" s="317" t="s">
        <v>95</v>
      </c>
      <c r="F50" s="1379"/>
      <c r="H50" s="436"/>
    </row>
    <row r="51" spans="1:8" ht="23.65" customHeight="1" thickBot="1" x14ac:dyDescent="0.5">
      <c r="B51" s="1340" t="s">
        <v>39</v>
      </c>
      <c r="C51" s="1341"/>
      <c r="D51" s="1342"/>
      <c r="E51" s="46"/>
      <c r="F51" s="131">
        <f>'Continental Dboard Targets'!G51</f>
        <v>0.9127777777777778</v>
      </c>
      <c r="H51" s="436"/>
    </row>
    <row r="52" spans="1:8" ht="30.6" customHeight="1" thickBot="1" x14ac:dyDescent="0.5">
      <c r="A52" s="20">
        <v>14</v>
      </c>
      <c r="B52" s="308" t="s">
        <v>226</v>
      </c>
      <c r="C52" s="309" t="s">
        <v>272</v>
      </c>
      <c r="D52" s="90" t="s">
        <v>266</v>
      </c>
      <c r="E52" s="322" t="s">
        <v>95</v>
      </c>
      <c r="F52" s="92">
        <f>'Continental Dboard Targets'!G52</f>
        <v>0.9127777777777778</v>
      </c>
    </row>
    <row r="53" spans="1:8" ht="27.75" customHeight="1" thickBot="1" x14ac:dyDescent="0.5">
      <c r="B53" s="1340" t="s">
        <v>40</v>
      </c>
      <c r="C53" s="1341"/>
      <c r="D53" s="1342"/>
      <c r="E53" s="41"/>
      <c r="F53" s="131">
        <f>'Continental Dboard Targets'!G53</f>
        <v>0.39469645085746635</v>
      </c>
    </row>
    <row r="54" spans="1:8" ht="43.8" customHeight="1" x14ac:dyDescent="0.45">
      <c r="A54" s="1317">
        <v>15</v>
      </c>
      <c r="B54" s="1370" t="s">
        <v>108</v>
      </c>
      <c r="C54" s="69" t="s">
        <v>127</v>
      </c>
      <c r="D54" s="70" t="s">
        <v>41</v>
      </c>
      <c r="E54" s="323" t="s">
        <v>95</v>
      </c>
      <c r="F54" s="1373">
        <f>'Continental Dboard Targets'!G54:G59</f>
        <v>0.39469645085746635</v>
      </c>
    </row>
    <row r="55" spans="1:8" ht="35.450000000000003" customHeight="1" x14ac:dyDescent="0.45">
      <c r="A55" s="1317"/>
      <c r="B55" s="1371"/>
      <c r="C55" s="93" t="s">
        <v>128</v>
      </c>
      <c r="D55" s="71" t="s">
        <v>42</v>
      </c>
      <c r="E55" s="324" t="s">
        <v>95</v>
      </c>
      <c r="F55" s="1374"/>
    </row>
    <row r="56" spans="1:8" ht="34.25" customHeight="1" x14ac:dyDescent="0.45">
      <c r="A56" s="1317"/>
      <c r="B56" s="1371"/>
      <c r="C56" s="93" t="s">
        <v>129</v>
      </c>
      <c r="D56" s="71" t="s">
        <v>43</v>
      </c>
      <c r="E56" s="324" t="s">
        <v>95</v>
      </c>
      <c r="F56" s="1374"/>
    </row>
    <row r="57" spans="1:8" ht="37.25" customHeight="1" x14ac:dyDescent="0.45">
      <c r="A57" s="1317"/>
      <c r="B57" s="1371"/>
      <c r="C57" s="93" t="s">
        <v>130</v>
      </c>
      <c r="D57" s="71" t="s">
        <v>44</v>
      </c>
      <c r="E57" s="324" t="s">
        <v>101</v>
      </c>
      <c r="F57" s="1374"/>
    </row>
    <row r="58" spans="1:8" ht="22.8" customHeight="1" x14ac:dyDescent="0.45">
      <c r="A58" s="1317"/>
      <c r="B58" s="1371"/>
      <c r="C58" s="1376" t="s">
        <v>131</v>
      </c>
      <c r="D58" s="71" t="s">
        <v>45</v>
      </c>
      <c r="E58" s="324" t="s">
        <v>180</v>
      </c>
      <c r="F58" s="1374"/>
    </row>
    <row r="59" spans="1:8" ht="15" customHeight="1" thickBot="1" x14ac:dyDescent="0.5">
      <c r="A59" s="1317"/>
      <c r="B59" s="1372"/>
      <c r="C59" s="1377"/>
      <c r="D59" s="54" t="s">
        <v>46</v>
      </c>
      <c r="E59" s="325" t="s">
        <v>95</v>
      </c>
      <c r="F59" s="1375"/>
    </row>
    <row r="60" spans="1:8" ht="23.45" customHeight="1" thickBot="1" x14ac:dyDescent="0.5">
      <c r="B60" s="1359" t="s">
        <v>47</v>
      </c>
      <c r="C60" s="1360"/>
      <c r="D60" s="1361"/>
      <c r="E60" s="133"/>
      <c r="F60" s="131">
        <f>'Continental Dboard Targets'!G60</f>
        <v>0.2875065281416414</v>
      </c>
    </row>
    <row r="61" spans="1:8" ht="22.25" customHeight="1" thickBot="1" x14ac:dyDescent="0.5">
      <c r="B61" s="1340" t="s">
        <v>48</v>
      </c>
      <c r="C61" s="1341"/>
      <c r="D61" s="1342"/>
      <c r="E61" s="40"/>
      <c r="F61" s="131">
        <f>'Continental Dboard Targets'!G61</f>
        <v>0.40834638961661618</v>
      </c>
    </row>
    <row r="62" spans="1:8" ht="39" customHeight="1" x14ac:dyDescent="0.45">
      <c r="A62" s="1317">
        <v>16</v>
      </c>
      <c r="B62" s="1328" t="s">
        <v>49</v>
      </c>
      <c r="C62" s="134" t="s">
        <v>133</v>
      </c>
      <c r="D62" s="134" t="s">
        <v>50</v>
      </c>
      <c r="E62" s="320" t="s">
        <v>181</v>
      </c>
      <c r="F62" s="1354">
        <f>'Continental Dboard Targets'!G62:G67</f>
        <v>0.40834638961661618</v>
      </c>
    </row>
    <row r="63" spans="1:8" ht="58.25" customHeight="1" x14ac:dyDescent="0.45">
      <c r="A63" s="1317"/>
      <c r="B63" s="1329"/>
      <c r="C63" s="136" t="s">
        <v>134</v>
      </c>
      <c r="D63" s="93" t="s">
        <v>276</v>
      </c>
      <c r="E63" s="321" t="s">
        <v>182</v>
      </c>
      <c r="F63" s="1368"/>
    </row>
    <row r="64" spans="1:8" ht="26.45" customHeight="1" x14ac:dyDescent="0.45">
      <c r="A64" s="1317"/>
      <c r="B64" s="1329"/>
      <c r="C64" s="136" t="s">
        <v>135</v>
      </c>
      <c r="D64" s="136" t="s">
        <v>51</v>
      </c>
      <c r="E64" s="321" t="s">
        <v>95</v>
      </c>
      <c r="F64" s="1368"/>
    </row>
    <row r="65" spans="1:6" ht="15" customHeight="1" x14ac:dyDescent="0.45">
      <c r="A65" s="1317"/>
      <c r="B65" s="1329"/>
      <c r="C65" s="1332" t="s">
        <v>136</v>
      </c>
      <c r="D65" s="72" t="s">
        <v>52</v>
      </c>
      <c r="E65" s="321" t="s">
        <v>95</v>
      </c>
      <c r="F65" s="1368"/>
    </row>
    <row r="66" spans="1:6" x14ac:dyDescent="0.45">
      <c r="A66" s="1317"/>
      <c r="B66" s="1329"/>
      <c r="C66" s="1332"/>
      <c r="D66" s="72" t="s">
        <v>53</v>
      </c>
      <c r="E66" s="321" t="s">
        <v>95</v>
      </c>
      <c r="F66" s="1368"/>
    </row>
    <row r="67" spans="1:6" ht="27.6" customHeight="1" thickBot="1" x14ac:dyDescent="0.5">
      <c r="A67" s="1317"/>
      <c r="B67" s="1330"/>
      <c r="C67" s="1333"/>
      <c r="D67" s="73" t="s">
        <v>54</v>
      </c>
      <c r="E67" s="326" t="s">
        <v>95</v>
      </c>
      <c r="F67" s="1369"/>
    </row>
    <row r="68" spans="1:6" ht="27" customHeight="1" thickBot="1" x14ac:dyDescent="0.5">
      <c r="B68" s="1325" t="s">
        <v>55</v>
      </c>
      <c r="C68" s="1326"/>
      <c r="D68" s="1327"/>
      <c r="E68" s="53"/>
      <c r="F68" s="131">
        <f>'Continental Dboard Targets'!G68</f>
        <v>0.16666666666666666</v>
      </c>
    </row>
    <row r="69" spans="1:6" ht="70.150000000000006" thickBot="1" x14ac:dyDescent="0.5">
      <c r="A69" s="21">
        <v>17</v>
      </c>
      <c r="B69" s="74" t="s">
        <v>56</v>
      </c>
      <c r="C69" s="74" t="s">
        <v>137</v>
      </c>
      <c r="D69" s="74" t="s">
        <v>57</v>
      </c>
      <c r="E69" s="91" t="s">
        <v>132</v>
      </c>
      <c r="F69" s="75">
        <f>'Continental Dboard Targets'!G69</f>
        <v>0.16666666666666666</v>
      </c>
    </row>
    <row r="70" spans="1:6" ht="22.25" customHeight="1" thickBot="1" x14ac:dyDescent="0.5">
      <c r="B70" s="1362" t="s">
        <v>58</v>
      </c>
      <c r="C70" s="1363"/>
      <c r="D70" s="1364"/>
      <c r="E70" s="47"/>
      <c r="F70" s="131">
        <f>'Continental Dboard Targets'!G70</f>
        <v>0.57969157161775386</v>
      </c>
    </row>
    <row r="71" spans="1:6" ht="20.45" customHeight="1" thickBot="1" x14ac:dyDescent="0.5">
      <c r="B71" s="1340" t="s">
        <v>59</v>
      </c>
      <c r="C71" s="1341"/>
      <c r="D71" s="1342"/>
      <c r="E71" s="41"/>
      <c r="F71" s="131">
        <f>'Continental Dboard Targets'!G71</f>
        <v>0.40574138151992822</v>
      </c>
    </row>
    <row r="72" spans="1:6" ht="52.25" customHeight="1" thickBot="1" x14ac:dyDescent="0.5">
      <c r="A72" s="21">
        <v>18</v>
      </c>
      <c r="B72" s="76" t="s">
        <v>60</v>
      </c>
      <c r="C72" s="77" t="s">
        <v>138</v>
      </c>
      <c r="D72" s="119" t="s">
        <v>61</v>
      </c>
      <c r="E72" s="327" t="s">
        <v>183</v>
      </c>
      <c r="F72" s="75">
        <f>'Continental Dboard Targets'!G72</f>
        <v>0.40574138151992822</v>
      </c>
    </row>
    <row r="73" spans="1:6" ht="20.45" customHeight="1" thickBot="1" x14ac:dyDescent="0.5">
      <c r="B73" s="1365" t="s">
        <v>277</v>
      </c>
      <c r="C73" s="1366"/>
      <c r="D73" s="1367"/>
      <c r="E73" s="43"/>
      <c r="F73" s="131">
        <f>'Continental Dboard Targets'!G73</f>
        <v>0.5</v>
      </c>
    </row>
    <row r="74" spans="1:6" ht="45" customHeight="1" thickBot="1" x14ac:dyDescent="0.5">
      <c r="A74" s="21">
        <v>19</v>
      </c>
      <c r="B74" s="78" t="s">
        <v>62</v>
      </c>
      <c r="C74" s="79" t="s">
        <v>139</v>
      </c>
      <c r="D74" s="120" t="s">
        <v>63</v>
      </c>
      <c r="E74" s="328" t="s">
        <v>95</v>
      </c>
      <c r="F74" s="75">
        <f>'Continental Dboard Targets'!G74</f>
        <v>0.5</v>
      </c>
    </row>
    <row r="75" spans="1:6" ht="30.6" customHeight="1" thickBot="1" x14ac:dyDescent="0.5">
      <c r="B75" s="1340" t="s">
        <v>64</v>
      </c>
      <c r="C75" s="1341"/>
      <c r="D75" s="1342"/>
      <c r="E75" s="41"/>
      <c r="F75" s="131">
        <f>'Continental Dboard Targets'!G75</f>
        <v>0.83333333333333337</v>
      </c>
    </row>
    <row r="76" spans="1:6" ht="29.45" customHeight="1" thickBot="1" x14ac:dyDescent="0.5">
      <c r="A76" s="21">
        <v>20</v>
      </c>
      <c r="B76" s="78" t="s">
        <v>65</v>
      </c>
      <c r="C76" s="77" t="s">
        <v>140</v>
      </c>
      <c r="D76" s="79" t="s">
        <v>66</v>
      </c>
      <c r="E76" s="329" t="s">
        <v>95</v>
      </c>
      <c r="F76" s="75">
        <f>'Continental Dboard Targets'!G76</f>
        <v>0.83333333333333337</v>
      </c>
    </row>
    <row r="77" spans="1:6" ht="20.45" customHeight="1" thickBot="1" x14ac:dyDescent="0.5">
      <c r="B77" s="1356" t="s">
        <v>67</v>
      </c>
      <c r="C77" s="1357"/>
      <c r="D77" s="1358"/>
      <c r="E77" s="48"/>
      <c r="F77" s="131">
        <f>'Continental Dboard Targets'!G77</f>
        <v>0.28325223033252228</v>
      </c>
    </row>
    <row r="78" spans="1:6" ht="20.45" customHeight="1" thickBot="1" x14ac:dyDescent="0.5">
      <c r="B78" s="1340" t="s">
        <v>68</v>
      </c>
      <c r="C78" s="1341"/>
      <c r="D78" s="1342"/>
      <c r="E78" s="41"/>
      <c r="F78" s="131">
        <f>'Continental Dboard Targets'!G78</f>
        <v>0.28325223033252228</v>
      </c>
    </row>
    <row r="79" spans="1:6" ht="35.25" thickBot="1" x14ac:dyDescent="0.5">
      <c r="A79" s="21">
        <v>21</v>
      </c>
      <c r="B79" s="78" t="s">
        <v>69</v>
      </c>
      <c r="C79" s="81" t="s">
        <v>141</v>
      </c>
      <c r="D79" s="81" t="s">
        <v>70</v>
      </c>
      <c r="E79" s="330" t="s">
        <v>95</v>
      </c>
      <c r="F79" s="75">
        <f>'Continental Dboard Targets'!G79</f>
        <v>0.28325223033252228</v>
      </c>
    </row>
    <row r="80" spans="1:6" ht="21.6" customHeight="1" thickBot="1" x14ac:dyDescent="0.5">
      <c r="B80" s="1349" t="s">
        <v>71</v>
      </c>
      <c r="C80" s="1350"/>
      <c r="D80" s="1351"/>
      <c r="E80" s="48"/>
      <c r="F80" s="131">
        <f>'Continental Dboard Targets'!G80</f>
        <v>0.49232230190803566</v>
      </c>
    </row>
    <row r="81" spans="1:6" ht="20.45" customHeight="1" thickBot="1" x14ac:dyDescent="0.5">
      <c r="B81" s="1325" t="s">
        <v>72</v>
      </c>
      <c r="C81" s="1326"/>
      <c r="D81" s="1327"/>
      <c r="E81" s="331"/>
      <c r="F81" s="131">
        <f>'Continental Dboard Targets'!G81</f>
        <v>0.63119290285753105</v>
      </c>
    </row>
    <row r="82" spans="1:6" ht="58.15" x14ac:dyDescent="0.45">
      <c r="A82" s="137"/>
      <c r="B82" s="1352" t="s">
        <v>73</v>
      </c>
      <c r="C82" s="138" t="s">
        <v>267</v>
      </c>
      <c r="D82" s="69" t="s">
        <v>278</v>
      </c>
      <c r="E82" s="332" t="s">
        <v>279</v>
      </c>
      <c r="F82" s="1354">
        <f>'Continental Dboard Targets'!G82:G83</f>
        <v>0.614052472381729</v>
      </c>
    </row>
    <row r="83" spans="1:6" ht="39.6" customHeight="1" thickBot="1" x14ac:dyDescent="0.5">
      <c r="A83" s="137"/>
      <c r="B83" s="1353"/>
      <c r="C83" s="140" t="s">
        <v>268</v>
      </c>
      <c r="D83" s="94" t="s">
        <v>74</v>
      </c>
      <c r="E83" s="333" t="s">
        <v>282</v>
      </c>
      <c r="F83" s="1355"/>
    </row>
    <row r="84" spans="1:6" ht="60" customHeight="1" x14ac:dyDescent="0.45">
      <c r="A84" s="137"/>
      <c r="B84" s="1334" t="s">
        <v>142</v>
      </c>
      <c r="C84" s="349" t="s">
        <v>145</v>
      </c>
      <c r="D84" s="138" t="s">
        <v>143</v>
      </c>
      <c r="E84" s="334" t="s">
        <v>184</v>
      </c>
      <c r="F84" s="1337">
        <f>'Continental Dboard Targets'!G84:G86</f>
        <v>0.64833333333333332</v>
      </c>
    </row>
    <row r="85" spans="1:6" ht="45" customHeight="1" x14ac:dyDescent="0.45">
      <c r="A85" s="137"/>
      <c r="B85" s="1335"/>
      <c r="C85" s="82" t="s">
        <v>146</v>
      </c>
      <c r="D85" s="93" t="s">
        <v>283</v>
      </c>
      <c r="E85" s="335" t="s">
        <v>185</v>
      </c>
      <c r="F85" s="1338"/>
    </row>
    <row r="86" spans="1:6" ht="38.450000000000003" customHeight="1" thickBot="1" x14ac:dyDescent="0.5">
      <c r="A86" s="137"/>
      <c r="B86" s="1336"/>
      <c r="C86" s="83" t="s">
        <v>147</v>
      </c>
      <c r="D86" s="94" t="s">
        <v>144</v>
      </c>
      <c r="E86" s="336" t="s">
        <v>284</v>
      </c>
      <c r="F86" s="1339"/>
    </row>
    <row r="87" spans="1:6" ht="20.45" customHeight="1" thickBot="1" x14ac:dyDescent="0.5">
      <c r="B87" s="1340" t="s">
        <v>75</v>
      </c>
      <c r="C87" s="1341"/>
      <c r="D87" s="1342"/>
      <c r="E87" s="42"/>
      <c r="F87" s="131">
        <f>'Continental Dboard Targets'!G87</f>
        <v>0.21458110000904473</v>
      </c>
    </row>
    <row r="88" spans="1:6" ht="27.6" customHeight="1" x14ac:dyDescent="0.45">
      <c r="A88" s="1317">
        <v>24</v>
      </c>
      <c r="B88" s="1343" t="s">
        <v>76</v>
      </c>
      <c r="C88" s="88" t="s">
        <v>159</v>
      </c>
      <c r="D88" s="57" t="s">
        <v>285</v>
      </c>
      <c r="E88" s="350" t="s">
        <v>186</v>
      </c>
      <c r="F88" s="1311">
        <f>'Continental Dboard Targets'!G88:G92</f>
        <v>0.21458110000904473</v>
      </c>
    </row>
    <row r="89" spans="1:6" ht="25.8" customHeight="1" x14ac:dyDescent="0.45">
      <c r="A89" s="1317"/>
      <c r="B89" s="1344"/>
      <c r="C89" s="1348" t="s">
        <v>160</v>
      </c>
      <c r="D89" s="59" t="s">
        <v>77</v>
      </c>
      <c r="E89" s="337" t="s">
        <v>187</v>
      </c>
      <c r="F89" s="1346"/>
    </row>
    <row r="90" spans="1:6" ht="25.25" customHeight="1" x14ac:dyDescent="0.45">
      <c r="A90" s="1317"/>
      <c r="B90" s="1344"/>
      <c r="C90" s="1348"/>
      <c r="D90" s="59" t="s">
        <v>78</v>
      </c>
      <c r="E90" s="337" t="s">
        <v>188</v>
      </c>
      <c r="F90" s="1346"/>
    </row>
    <row r="91" spans="1:6" ht="26.45" customHeight="1" x14ac:dyDescent="0.45">
      <c r="A91" s="1317"/>
      <c r="B91" s="1344"/>
      <c r="C91" s="1348"/>
      <c r="D91" s="59" t="s">
        <v>79</v>
      </c>
      <c r="E91" s="338" t="s">
        <v>189</v>
      </c>
      <c r="F91" s="1346"/>
    </row>
    <row r="92" spans="1:6" ht="40.799999999999997" customHeight="1" thickBot="1" x14ac:dyDescent="0.5">
      <c r="A92" s="1317"/>
      <c r="B92" s="1345"/>
      <c r="C92" s="84" t="s">
        <v>161</v>
      </c>
      <c r="D92" s="85" t="s">
        <v>80</v>
      </c>
      <c r="E92" s="339" t="s">
        <v>95</v>
      </c>
      <c r="F92" s="1347"/>
    </row>
    <row r="93" spans="1:6" ht="26.65" customHeight="1" thickBot="1" x14ac:dyDescent="0.5">
      <c r="B93" s="1322" t="s">
        <v>81</v>
      </c>
      <c r="C93" s="1323"/>
      <c r="D93" s="1324"/>
      <c r="E93" s="45"/>
      <c r="F93" s="131">
        <f>'Continental Dboard Targets'!G93</f>
        <v>0.42770125962740896</v>
      </c>
    </row>
    <row r="94" spans="1:6" ht="20.45" customHeight="1" thickBot="1" x14ac:dyDescent="0.5">
      <c r="B94" s="1325" t="s">
        <v>82</v>
      </c>
      <c r="C94" s="1326"/>
      <c r="D94" s="1327"/>
      <c r="E94" s="49"/>
      <c r="F94" s="131">
        <f>'Continental Dboard Targets'!G94</f>
        <v>0.62725504857011372</v>
      </c>
    </row>
    <row r="95" spans="1:6" ht="34.799999999999997" customHeight="1" x14ac:dyDescent="0.45">
      <c r="A95" s="1317">
        <v>25</v>
      </c>
      <c r="B95" s="1328" t="s">
        <v>83</v>
      </c>
      <c r="C95" s="1331" t="s">
        <v>214</v>
      </c>
      <c r="D95" s="134" t="s">
        <v>269</v>
      </c>
      <c r="E95" s="340" t="s">
        <v>190</v>
      </c>
      <c r="F95" s="1311">
        <f>'Continental Dboard Targets'!G95:G97</f>
        <v>0.62725504857011372</v>
      </c>
    </row>
    <row r="96" spans="1:6" ht="39.6" customHeight="1" x14ac:dyDescent="0.45">
      <c r="A96" s="1317"/>
      <c r="B96" s="1329"/>
      <c r="C96" s="1332"/>
      <c r="D96" s="93" t="s">
        <v>270</v>
      </c>
      <c r="E96" s="341" t="s">
        <v>191</v>
      </c>
      <c r="F96" s="1312"/>
    </row>
    <row r="97" spans="1:6" ht="41.45" customHeight="1" thickBot="1" x14ac:dyDescent="0.5">
      <c r="A97" s="1317"/>
      <c r="B97" s="1330"/>
      <c r="C97" s="1333"/>
      <c r="D97" s="135" t="s">
        <v>84</v>
      </c>
      <c r="E97" s="342" t="s">
        <v>95</v>
      </c>
      <c r="F97" s="1313"/>
    </row>
    <row r="98" spans="1:6" ht="18" customHeight="1" thickBot="1" x14ac:dyDescent="0.5">
      <c r="B98" s="1314" t="s">
        <v>85</v>
      </c>
      <c r="C98" s="1315"/>
      <c r="D98" s="1316"/>
      <c r="E98" s="153"/>
      <c r="F98" s="131">
        <f>'Continental Dboard Targets'!G98</f>
        <v>0.36118332997984076</v>
      </c>
    </row>
    <row r="99" spans="1:6" ht="29.45" customHeight="1" thickBot="1" x14ac:dyDescent="0.5">
      <c r="A99" s="137">
        <v>26</v>
      </c>
      <c r="B99" s="86" t="s">
        <v>86</v>
      </c>
      <c r="C99" s="86" t="s">
        <v>215</v>
      </c>
      <c r="D99" s="87" t="s">
        <v>291</v>
      </c>
      <c r="E99" s="343" t="s">
        <v>95</v>
      </c>
      <c r="F99" s="75">
        <f>'Continental Dboard Targets'!G99</f>
        <v>0.25</v>
      </c>
    </row>
    <row r="100" spans="1:6" ht="35.25" thickBot="1" x14ac:dyDescent="0.5">
      <c r="A100" s="137">
        <v>27</v>
      </c>
      <c r="B100" s="86" t="s">
        <v>87</v>
      </c>
      <c r="C100" s="86" t="s">
        <v>216</v>
      </c>
      <c r="D100" s="87" t="s">
        <v>271</v>
      </c>
      <c r="E100" s="343" t="s">
        <v>192</v>
      </c>
      <c r="F100" s="75">
        <f>'Continental Dboard Targets'!G100</f>
        <v>3.6821136605412252E-2</v>
      </c>
    </row>
    <row r="101" spans="1:6" ht="30.4" x14ac:dyDescent="0.45">
      <c r="A101" s="1317">
        <v>28</v>
      </c>
      <c r="B101" s="1318" t="s">
        <v>88</v>
      </c>
      <c r="C101" s="1318" t="s">
        <v>217</v>
      </c>
      <c r="D101" s="69" t="s">
        <v>89</v>
      </c>
      <c r="E101" s="344" t="s">
        <v>193</v>
      </c>
      <c r="F101" s="1320">
        <f>'Continental Dboard Targets'!G101:G102</f>
        <v>0.79672885333410992</v>
      </c>
    </row>
    <row r="102" spans="1:6" ht="38.450000000000003" customHeight="1" thickBot="1" x14ac:dyDescent="0.5">
      <c r="A102" s="1317"/>
      <c r="B102" s="1319"/>
      <c r="C102" s="1319"/>
      <c r="D102" s="140" t="s">
        <v>90</v>
      </c>
      <c r="E102" s="345" t="s">
        <v>95</v>
      </c>
      <c r="F102" s="1321"/>
    </row>
    <row r="104" spans="1:6" ht="15.75" x14ac:dyDescent="0.5">
      <c r="B104" s="26"/>
    </row>
    <row r="107" spans="1:6" ht="15.75" x14ac:dyDescent="0.5">
      <c r="B107" s="26"/>
    </row>
    <row r="108" spans="1:6" x14ac:dyDescent="0.45">
      <c r="B108" s="27"/>
    </row>
  </sheetData>
  <mergeCells count="85">
    <mergeCell ref="B5:D5"/>
    <mergeCell ref="B8:D8"/>
    <mergeCell ref="B10:D10"/>
    <mergeCell ref="B11:D11"/>
    <mergeCell ref="C4:D4"/>
    <mergeCell ref="A16:A18"/>
    <mergeCell ref="B16:B18"/>
    <mergeCell ref="C16:C18"/>
    <mergeCell ref="F16:F18"/>
    <mergeCell ref="A12:A13"/>
    <mergeCell ref="B12:B13"/>
    <mergeCell ref="F12:F13"/>
    <mergeCell ref="A14:A15"/>
    <mergeCell ref="B14:B15"/>
    <mergeCell ref="F14:F15"/>
    <mergeCell ref="B19:D19"/>
    <mergeCell ref="A20:A23"/>
    <mergeCell ref="B20:B23"/>
    <mergeCell ref="F20:F23"/>
    <mergeCell ref="B24:D24"/>
    <mergeCell ref="A25:A28"/>
    <mergeCell ref="B25:B32"/>
    <mergeCell ref="F25:F32"/>
    <mergeCell ref="C26:C28"/>
    <mergeCell ref="C29:C31"/>
    <mergeCell ref="B33:D33"/>
    <mergeCell ref="B38:D38"/>
    <mergeCell ref="A39:A40"/>
    <mergeCell ref="B39:B40"/>
    <mergeCell ref="F39:F40"/>
    <mergeCell ref="B41:D41"/>
    <mergeCell ref="A42:A43"/>
    <mergeCell ref="B42:B43"/>
    <mergeCell ref="F42:F43"/>
    <mergeCell ref="B44:D44"/>
    <mergeCell ref="A45:A46"/>
    <mergeCell ref="B45:B46"/>
    <mergeCell ref="F45:F46"/>
    <mergeCell ref="B47:D47"/>
    <mergeCell ref="B48:D48"/>
    <mergeCell ref="A49:A50"/>
    <mergeCell ref="B49:B50"/>
    <mergeCell ref="F49:F50"/>
    <mergeCell ref="B51:D51"/>
    <mergeCell ref="B53:D53"/>
    <mergeCell ref="F62:F67"/>
    <mergeCell ref="C65:C67"/>
    <mergeCell ref="A54:A59"/>
    <mergeCell ref="B54:B59"/>
    <mergeCell ref="F54:F59"/>
    <mergeCell ref="C58:C59"/>
    <mergeCell ref="B77:D77"/>
    <mergeCell ref="B60:D60"/>
    <mergeCell ref="B61:D61"/>
    <mergeCell ref="A62:A67"/>
    <mergeCell ref="B62:B67"/>
    <mergeCell ref="B68:D68"/>
    <mergeCell ref="B70:D70"/>
    <mergeCell ref="B71:D71"/>
    <mergeCell ref="B73:D73"/>
    <mergeCell ref="B75:D75"/>
    <mergeCell ref="B88:B92"/>
    <mergeCell ref="F88:F92"/>
    <mergeCell ref="C89:C91"/>
    <mergeCell ref="B78:D78"/>
    <mergeCell ref="B80:D80"/>
    <mergeCell ref="B81:D81"/>
    <mergeCell ref="B82:B83"/>
    <mergeCell ref="F82:F83"/>
    <mergeCell ref="B2:F2"/>
    <mergeCell ref="F95:F97"/>
    <mergeCell ref="B98:D98"/>
    <mergeCell ref="A101:A102"/>
    <mergeCell ref="B101:B102"/>
    <mergeCell ref="C101:C102"/>
    <mergeCell ref="F101:F102"/>
    <mergeCell ref="B93:D93"/>
    <mergeCell ref="B94:D94"/>
    <mergeCell ref="A95:A97"/>
    <mergeCell ref="B95:B97"/>
    <mergeCell ref="C95:C97"/>
    <mergeCell ref="B84:B86"/>
    <mergeCell ref="F84:F86"/>
    <mergeCell ref="B87:D87"/>
    <mergeCell ref="A88:A92"/>
  </mergeCells>
  <conditionalFormatting sqref="F20:F23 F39:F40 F54 F12:F15">
    <cfRule type="colorScale" priority="50">
      <colorScale>
        <cfvo type="num" val="0"/>
        <cfvo type="num" val="0.6"/>
        <cfvo type="num" val="1"/>
        <color rgb="FFFF0000"/>
        <color rgb="FFFFFF00"/>
        <color rgb="FF92FB4B"/>
      </colorScale>
    </cfRule>
  </conditionalFormatting>
  <conditionalFormatting sqref="F16:F18">
    <cfRule type="colorScale" priority="49">
      <colorScale>
        <cfvo type="num" val="0"/>
        <cfvo type="num" val="0.6"/>
        <cfvo type="num" val="1"/>
        <color rgb="FFFF0000"/>
        <color rgb="FFFFFF00"/>
        <color rgb="FF92FB4B"/>
      </colorScale>
    </cfRule>
  </conditionalFormatting>
  <conditionalFormatting sqref="F25:F28">
    <cfRule type="colorScale" priority="48">
      <colorScale>
        <cfvo type="num" val="0"/>
        <cfvo type="num" val="0.6"/>
        <cfvo type="num" val="1"/>
        <color rgb="FFFF0000"/>
        <color rgb="FFFFFF00"/>
        <color rgb="FF92FB4B"/>
      </colorScale>
    </cfRule>
  </conditionalFormatting>
  <conditionalFormatting sqref="F34:F38">
    <cfRule type="colorScale" priority="47">
      <colorScale>
        <cfvo type="num" val="0"/>
        <cfvo type="num" val="0.6"/>
        <cfvo type="num" val="1"/>
        <color rgb="FFFF0000"/>
        <color rgb="FFFFFF00"/>
        <color rgb="FF92FB4B"/>
      </colorScale>
    </cfRule>
  </conditionalFormatting>
  <conditionalFormatting sqref="F42:F43">
    <cfRule type="colorScale" priority="46">
      <colorScale>
        <cfvo type="num" val="0"/>
        <cfvo type="num" val="0.6"/>
        <cfvo type="num" val="1"/>
        <color rgb="FFFF0000"/>
        <color rgb="FFFFFF00"/>
        <color rgb="FF92FB4B"/>
      </colorScale>
    </cfRule>
  </conditionalFormatting>
  <conditionalFormatting sqref="F45:F46">
    <cfRule type="colorScale" priority="45">
      <colorScale>
        <cfvo type="num" val="0"/>
        <cfvo type="num" val="0.6"/>
        <cfvo type="num" val="1"/>
        <color rgb="FFFF0000"/>
        <color rgb="FFFFFF00"/>
        <color rgb="FF92FB4B"/>
      </colorScale>
    </cfRule>
  </conditionalFormatting>
  <conditionalFormatting sqref="F49:F50">
    <cfRule type="colorScale" priority="44">
      <colorScale>
        <cfvo type="num" val="0"/>
        <cfvo type="num" val="0.6"/>
        <cfvo type="num" val="1"/>
        <color rgb="FFFF0000"/>
        <color rgb="FFFFFF00"/>
        <color rgb="FF92FB4B"/>
      </colorScale>
    </cfRule>
  </conditionalFormatting>
  <conditionalFormatting sqref="F62">
    <cfRule type="colorScale" priority="43">
      <colorScale>
        <cfvo type="num" val="0"/>
        <cfvo type="num" val="0.6"/>
        <cfvo type="num" val="1"/>
        <color rgb="FFFF0000"/>
        <color rgb="FFFFFF00"/>
        <color rgb="FF92FB4B"/>
      </colorScale>
    </cfRule>
  </conditionalFormatting>
  <conditionalFormatting sqref="F79">
    <cfRule type="colorScale" priority="39">
      <colorScale>
        <cfvo type="num" val="0"/>
        <cfvo type="num" val="0.6"/>
        <cfvo type="num" val="1"/>
        <color rgb="FFFF0000"/>
        <color rgb="FFFFFF00"/>
        <color rgb="FF92FB4B"/>
      </colorScale>
    </cfRule>
  </conditionalFormatting>
  <conditionalFormatting sqref="F69">
    <cfRule type="colorScale" priority="42">
      <colorScale>
        <cfvo type="num" val="0"/>
        <cfvo type="num" val="0.6"/>
        <cfvo type="num" val="1"/>
        <color rgb="FFFF0000"/>
        <color rgb="FFFFFF00"/>
        <color rgb="FF92FB4B"/>
      </colorScale>
    </cfRule>
  </conditionalFormatting>
  <conditionalFormatting sqref="F72">
    <cfRule type="colorScale" priority="41">
      <colorScale>
        <cfvo type="num" val="0"/>
        <cfvo type="num" val="0.6"/>
        <cfvo type="num" val="1"/>
        <color rgb="FFFF0000"/>
        <color rgb="FFFFFF00"/>
        <color rgb="FF92FB4B"/>
      </colorScale>
    </cfRule>
  </conditionalFormatting>
  <conditionalFormatting sqref="F74">
    <cfRule type="colorScale" priority="40">
      <colorScale>
        <cfvo type="num" val="0"/>
        <cfvo type="num" val="0.6"/>
        <cfvo type="num" val="1"/>
        <color rgb="FFFF0000"/>
        <color rgb="FFFFFF00"/>
        <color rgb="FF92FB4B"/>
      </colorScale>
    </cfRule>
  </conditionalFormatting>
  <conditionalFormatting sqref="F82">
    <cfRule type="colorScale" priority="38">
      <colorScale>
        <cfvo type="num" val="0"/>
        <cfvo type="num" val="0.6"/>
        <cfvo type="num" val="1"/>
        <color rgb="FFFF0000"/>
        <color rgb="FFFFFF00"/>
        <color rgb="FF92FB4B"/>
      </colorScale>
    </cfRule>
  </conditionalFormatting>
  <conditionalFormatting sqref="F88">
    <cfRule type="colorScale" priority="37">
      <colorScale>
        <cfvo type="num" val="0"/>
        <cfvo type="num" val="0.6"/>
        <cfvo type="num" val="1"/>
        <color rgb="FFFF0000"/>
        <color rgb="FFFFFF00"/>
        <color rgb="FF92FB4B"/>
      </colorScale>
    </cfRule>
  </conditionalFormatting>
  <conditionalFormatting sqref="F95">
    <cfRule type="colorScale" priority="36">
      <colorScale>
        <cfvo type="num" val="0"/>
        <cfvo type="num" val="0.6"/>
        <cfvo type="num" val="1"/>
        <color rgb="FFFF0000"/>
        <color rgb="FFFFFF00"/>
        <color rgb="FF92FB4B"/>
      </colorScale>
    </cfRule>
  </conditionalFormatting>
  <conditionalFormatting sqref="F99:F100">
    <cfRule type="colorScale" priority="35">
      <colorScale>
        <cfvo type="num" val="0"/>
        <cfvo type="num" val="0.6"/>
        <cfvo type="num" val="1"/>
        <color rgb="FFFF0000"/>
        <color rgb="FFFFFF00"/>
        <color rgb="FF92FB4B"/>
      </colorScale>
    </cfRule>
  </conditionalFormatting>
  <conditionalFormatting sqref="F101:F102">
    <cfRule type="colorScale" priority="34">
      <colorScale>
        <cfvo type="num" val="0"/>
        <cfvo type="num" val="0.6"/>
        <cfvo type="num" val="1"/>
        <color rgb="FFFF0000"/>
        <color rgb="FFFFFF00"/>
        <color rgb="FF92FB4B"/>
      </colorScale>
    </cfRule>
  </conditionalFormatting>
  <conditionalFormatting sqref="F52">
    <cfRule type="colorScale" priority="33">
      <colorScale>
        <cfvo type="num" val="0"/>
        <cfvo type="num" val="0.6"/>
        <cfvo type="num" val="1"/>
        <color rgb="FFFF0000"/>
        <color rgb="FFFFFF00"/>
        <color rgb="FF92FB4B"/>
      </colorScale>
    </cfRule>
  </conditionalFormatting>
  <conditionalFormatting sqref="F84">
    <cfRule type="colorScale" priority="32">
      <colorScale>
        <cfvo type="num" val="0"/>
        <cfvo type="num" val="0.6"/>
        <cfvo type="num" val="1"/>
        <color rgb="FFFF0000"/>
        <color rgb="FFFFFF00"/>
        <color rgb="FF92FB4B"/>
      </colorScale>
    </cfRule>
  </conditionalFormatting>
  <conditionalFormatting sqref="F76">
    <cfRule type="colorScale" priority="31">
      <colorScale>
        <cfvo type="num" val="0"/>
        <cfvo type="num" val="0.6"/>
        <cfvo type="num" val="1"/>
        <color rgb="FFFF0000"/>
        <color rgb="FFFFFF00"/>
        <color rgb="FF92FB4B"/>
      </colorScale>
    </cfRule>
  </conditionalFormatting>
  <conditionalFormatting sqref="F11">
    <cfRule type="colorScale" priority="30">
      <colorScale>
        <cfvo type="num" val="0"/>
        <cfvo type="num" val="0.6"/>
        <cfvo type="num" val="1"/>
        <color rgb="FFFF0000"/>
        <color rgb="FFFFFF00"/>
        <color rgb="FF92FB4B"/>
      </colorScale>
    </cfRule>
  </conditionalFormatting>
  <conditionalFormatting sqref="F33">
    <cfRule type="colorScale" priority="29">
      <colorScale>
        <cfvo type="num" val="0"/>
        <cfvo type="num" val="0.6"/>
        <cfvo type="num" val="1"/>
        <color rgb="FFFF0000"/>
        <color rgb="FFFFFF00"/>
        <color rgb="FF92FB4B"/>
      </colorScale>
    </cfRule>
  </conditionalFormatting>
  <conditionalFormatting sqref="F41">
    <cfRule type="colorScale" priority="27">
      <colorScale>
        <cfvo type="num" val="0"/>
        <cfvo type="num" val="0.6"/>
        <cfvo type="num" val="1"/>
        <color rgb="FFFF0000"/>
        <color rgb="FFFFFF00"/>
        <color rgb="FF92FB4B"/>
      </colorScale>
    </cfRule>
  </conditionalFormatting>
  <conditionalFormatting sqref="F48">
    <cfRule type="colorScale" priority="26">
      <colorScale>
        <cfvo type="num" val="0"/>
        <cfvo type="num" val="0.6"/>
        <cfvo type="num" val="1"/>
        <color rgb="FFFF0000"/>
        <color rgb="FFFFFF00"/>
        <color rgb="FF92FB4B"/>
      </colorScale>
    </cfRule>
  </conditionalFormatting>
  <conditionalFormatting sqref="F51">
    <cfRule type="colorScale" priority="25">
      <colorScale>
        <cfvo type="num" val="0"/>
        <cfvo type="num" val="0.6"/>
        <cfvo type="num" val="1"/>
        <color rgb="FFFF0000"/>
        <color rgb="FFFFFF00"/>
        <color rgb="FF92FB4B"/>
      </colorScale>
    </cfRule>
  </conditionalFormatting>
  <conditionalFormatting sqref="F71">
    <cfRule type="colorScale" priority="24">
      <colorScale>
        <cfvo type="num" val="0"/>
        <cfvo type="num" val="0.6"/>
        <cfvo type="num" val="1"/>
        <color rgb="FFFF0000"/>
        <color rgb="FFFFFF00"/>
        <color rgb="FF92FB4B"/>
      </colorScale>
    </cfRule>
  </conditionalFormatting>
  <conditionalFormatting sqref="F75">
    <cfRule type="colorScale" priority="23">
      <colorScale>
        <cfvo type="num" val="0"/>
        <cfvo type="num" val="0.6"/>
        <cfvo type="num" val="1"/>
        <color rgb="FFFF0000"/>
        <color rgb="FFFFFF00"/>
        <color rgb="FF92FB4B"/>
      </colorScale>
    </cfRule>
  </conditionalFormatting>
  <conditionalFormatting sqref="F78">
    <cfRule type="colorScale" priority="22">
      <colorScale>
        <cfvo type="num" val="0"/>
        <cfvo type="num" val="0.6"/>
        <cfvo type="num" val="1"/>
        <color rgb="FFFF0000"/>
        <color rgb="FFFFFF00"/>
        <color rgb="FF92FB4B"/>
      </colorScale>
    </cfRule>
  </conditionalFormatting>
  <conditionalFormatting sqref="F81">
    <cfRule type="colorScale" priority="21">
      <colorScale>
        <cfvo type="num" val="0"/>
        <cfvo type="num" val="0.6"/>
        <cfvo type="num" val="1"/>
        <color rgb="FFFF0000"/>
        <color rgb="FFFFFF00"/>
        <color rgb="FF92FB4B"/>
      </colorScale>
    </cfRule>
  </conditionalFormatting>
  <conditionalFormatting sqref="F87">
    <cfRule type="colorScale" priority="20">
      <colorScale>
        <cfvo type="num" val="0"/>
        <cfvo type="num" val="0.6"/>
        <cfvo type="num" val="1"/>
        <color rgb="FFFF0000"/>
        <color rgb="FFFFFF00"/>
        <color rgb="FF92FB4B"/>
      </colorScale>
    </cfRule>
  </conditionalFormatting>
  <conditionalFormatting sqref="F94">
    <cfRule type="colorScale" priority="19">
      <colorScale>
        <cfvo type="num" val="0"/>
        <cfvo type="num" val="0.6"/>
        <cfvo type="num" val="1"/>
        <color rgb="FFFF0000"/>
        <color rgb="FFFFFF00"/>
        <color rgb="FF92FB4B"/>
      </colorScale>
    </cfRule>
  </conditionalFormatting>
  <conditionalFormatting sqref="F98">
    <cfRule type="colorScale" priority="18">
      <colorScale>
        <cfvo type="num" val="0"/>
        <cfvo type="num" val="0.6"/>
        <cfvo type="num" val="1"/>
        <color rgb="FFFF0000"/>
        <color rgb="FFFFFF00"/>
        <color rgb="FF92FB4B"/>
      </colorScale>
    </cfRule>
  </conditionalFormatting>
  <conditionalFormatting sqref="F10">
    <cfRule type="colorScale" priority="17">
      <colorScale>
        <cfvo type="num" val="0"/>
        <cfvo type="num" val="0.6"/>
        <cfvo type="num" val="1"/>
        <color rgb="FFFF0000"/>
        <color rgb="FFFFFF00"/>
        <color rgb="FF92FB4B"/>
      </colorScale>
    </cfRule>
  </conditionalFormatting>
  <conditionalFormatting sqref="F47">
    <cfRule type="colorScale" priority="16">
      <colorScale>
        <cfvo type="num" val="0"/>
        <cfvo type="num" val="0.6"/>
        <cfvo type="num" val="1"/>
        <color rgb="FFFF0000"/>
        <color rgb="FFFFFF00"/>
        <color rgb="FF92FB4B"/>
      </colorScale>
    </cfRule>
  </conditionalFormatting>
  <conditionalFormatting sqref="F60">
    <cfRule type="colorScale" priority="15">
      <colorScale>
        <cfvo type="num" val="0"/>
        <cfvo type="num" val="0.6"/>
        <cfvo type="num" val="1"/>
        <color rgb="FFFF0000"/>
        <color rgb="FFFFFF00"/>
        <color rgb="FF92FB4B"/>
      </colorScale>
    </cfRule>
  </conditionalFormatting>
  <conditionalFormatting sqref="F70">
    <cfRule type="colorScale" priority="14">
      <colorScale>
        <cfvo type="num" val="0"/>
        <cfvo type="num" val="0.6"/>
        <cfvo type="num" val="1"/>
        <color rgb="FFFF0000"/>
        <color rgb="FFFFFF00"/>
        <color rgb="FF92FB4B"/>
      </colorScale>
    </cfRule>
  </conditionalFormatting>
  <conditionalFormatting sqref="F77">
    <cfRule type="colorScale" priority="13">
      <colorScale>
        <cfvo type="num" val="0"/>
        <cfvo type="num" val="0.6"/>
        <cfvo type="num" val="1"/>
        <color rgb="FFFF0000"/>
        <color rgb="FFFFFF00"/>
        <color rgb="FF92FB4B"/>
      </colorScale>
    </cfRule>
  </conditionalFormatting>
  <conditionalFormatting sqref="F80">
    <cfRule type="colorScale" priority="12">
      <colorScale>
        <cfvo type="num" val="0"/>
        <cfvo type="num" val="0.6"/>
        <cfvo type="num" val="1"/>
        <color rgb="FFFF0000"/>
        <color rgb="FFFFFF00"/>
        <color rgb="FF92FB4B"/>
      </colorScale>
    </cfRule>
  </conditionalFormatting>
  <conditionalFormatting sqref="F93">
    <cfRule type="colorScale" priority="11">
      <colorScale>
        <cfvo type="num" val="0"/>
        <cfvo type="num" val="0.6"/>
        <cfvo type="num" val="1"/>
        <color rgb="FFFF0000"/>
        <color rgb="FFFFFF00"/>
        <color rgb="FF92FB4B"/>
      </colorScale>
    </cfRule>
  </conditionalFormatting>
  <conditionalFormatting sqref="F4">
    <cfRule type="colorScale" priority="10">
      <colorScale>
        <cfvo type="num" val="0"/>
        <cfvo type="num" val="0.6"/>
        <cfvo type="num" val="1"/>
        <color rgb="FFFF0000"/>
        <color rgb="FFFFFF00"/>
        <color rgb="FF92FB4B"/>
      </colorScale>
    </cfRule>
  </conditionalFormatting>
  <conditionalFormatting sqref="F24">
    <cfRule type="colorScale" priority="9">
      <colorScale>
        <cfvo type="num" val="0"/>
        <cfvo type="num" val="0.6"/>
        <cfvo type="num" val="1"/>
        <color rgb="FFFF0000"/>
        <color rgb="FFFFFF00"/>
        <color rgb="FF92FB4B"/>
      </colorScale>
    </cfRule>
  </conditionalFormatting>
  <conditionalFormatting sqref="F61">
    <cfRule type="colorScale" priority="8">
      <colorScale>
        <cfvo type="num" val="0"/>
        <cfvo type="num" val="0.6"/>
        <cfvo type="num" val="1"/>
        <color rgb="FFFF0000"/>
        <color rgb="FFFFFF00"/>
        <color rgb="FF92FB4B"/>
      </colorScale>
    </cfRule>
  </conditionalFormatting>
  <conditionalFormatting sqref="F68">
    <cfRule type="colorScale" priority="7">
      <colorScale>
        <cfvo type="num" val="0"/>
        <cfvo type="num" val="0.6"/>
        <cfvo type="num" val="1"/>
        <color rgb="FFFF0000"/>
        <color rgb="FFFFFF00"/>
        <color rgb="FF92FB4B"/>
      </colorScale>
    </cfRule>
  </conditionalFormatting>
  <conditionalFormatting sqref="F73">
    <cfRule type="colorScale" priority="6">
      <colorScale>
        <cfvo type="num" val="0"/>
        <cfvo type="num" val="0.6"/>
        <cfvo type="num" val="1"/>
        <color rgb="FFFF0000"/>
        <color rgb="FFFFFF00"/>
        <color rgb="FF92FB4B"/>
      </colorScale>
    </cfRule>
  </conditionalFormatting>
  <conditionalFormatting sqref="F19">
    <cfRule type="colorScale" priority="5">
      <colorScale>
        <cfvo type="num" val="0"/>
        <cfvo type="num" val="0.6"/>
        <cfvo type="num" val="1"/>
        <color rgb="FFFF0000"/>
        <color rgb="FFFFFF00"/>
        <color rgb="FF92FB4B"/>
      </colorScale>
    </cfRule>
  </conditionalFormatting>
  <conditionalFormatting sqref="F44">
    <cfRule type="colorScale" priority="4">
      <colorScale>
        <cfvo type="num" val="0"/>
        <cfvo type="num" val="0.6"/>
        <cfvo type="num" val="1"/>
        <color rgb="FFFF0000"/>
        <color rgb="FFFFFF00"/>
        <color rgb="FF92FB4B"/>
      </colorScale>
    </cfRule>
  </conditionalFormatting>
  <conditionalFormatting sqref="F53">
    <cfRule type="colorScale" priority="3">
      <colorScale>
        <cfvo type="num" val="0"/>
        <cfvo type="num" val="0.6"/>
        <cfvo type="num" val="1"/>
        <color rgb="FFFF0000"/>
        <color rgb="FFFFFF00"/>
        <color rgb="FF92FB4B"/>
      </colorScale>
    </cfRule>
  </conditionalFormatting>
  <conditionalFormatting sqref="F6">
    <cfRule type="colorScale" priority="2">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12EE-E1FB-4D0D-A7D9-58DAB5AC9B89}">
  <dimension ref="A1:O108"/>
  <sheetViews>
    <sheetView topLeftCell="B4" zoomScale="70" zoomScaleNormal="70" workbookViewId="0">
      <selection activeCell="O74" sqref="O74"/>
    </sheetView>
  </sheetViews>
  <sheetFormatPr defaultColWidth="8.86328125" defaultRowHeight="14.25" x14ac:dyDescent="0.45"/>
  <cols>
    <col min="1" max="1" width="0" style="5" hidden="1" customWidth="1"/>
    <col min="2" max="2" width="24" style="5" customWidth="1"/>
    <col min="3" max="3" width="41.86328125" style="5" customWidth="1"/>
    <col min="4" max="4" width="38.6640625" style="5" customWidth="1"/>
    <col min="5" max="5" width="36.59765625" style="28" customWidth="1"/>
    <col min="6" max="6" width="25.06640625" style="28" customWidth="1"/>
    <col min="7" max="7" width="16.1328125" style="5" customWidth="1"/>
    <col min="8" max="8" width="4.86328125" style="5" customWidth="1"/>
    <col min="9" max="9" width="8.86328125" style="28"/>
    <col min="10" max="14" width="0" style="28" hidden="1" customWidth="1"/>
    <col min="15" max="15" width="8.86328125" style="28"/>
    <col min="16" max="18" width="28.46484375" style="5" customWidth="1"/>
    <col min="19" max="16384" width="8.86328125" style="5"/>
  </cols>
  <sheetData>
    <row r="1" spans="1:15" x14ac:dyDescent="0.45">
      <c r="B1" s="303"/>
      <c r="C1" s="304"/>
      <c r="D1" s="304"/>
      <c r="E1" s="305"/>
      <c r="F1" s="305"/>
      <c r="G1" s="306"/>
    </row>
    <row r="2" spans="1:15" ht="46.15" customHeight="1" x14ac:dyDescent="0.45">
      <c r="B2" s="1308" t="s">
        <v>386</v>
      </c>
      <c r="C2" s="1309"/>
      <c r="D2" s="1309"/>
      <c r="E2" s="1309"/>
      <c r="F2" s="1309"/>
      <c r="G2" s="1310"/>
    </row>
    <row r="3" spans="1:15" x14ac:dyDescent="0.45">
      <c r="B3" s="288"/>
      <c r="C3" s="289"/>
      <c r="D3" s="290"/>
      <c r="E3" s="289"/>
      <c r="F3" s="289"/>
      <c r="G3" s="291"/>
    </row>
    <row r="4" spans="1:15" ht="26.45" customHeight="1" x14ac:dyDescent="0.45">
      <c r="B4" s="288"/>
      <c r="C4" s="1419" t="s">
        <v>516</v>
      </c>
      <c r="D4" s="1420"/>
      <c r="E4" s="289"/>
      <c r="F4" s="289"/>
      <c r="G4" s="292"/>
    </row>
    <row r="5" spans="1:15" ht="18.399999999999999" thickBot="1" x14ac:dyDescent="0.6">
      <c r="B5" s="1411"/>
      <c r="C5" s="1412"/>
      <c r="D5" s="1412"/>
      <c r="E5" s="289"/>
      <c r="F5" s="289"/>
      <c r="G5" s="291"/>
    </row>
    <row r="6" spans="1:15" ht="23.65" thickBot="1" x14ac:dyDescent="0.75">
      <c r="B6" s="394"/>
      <c r="C6" s="395"/>
      <c r="D6" s="395"/>
      <c r="E6" s="407"/>
      <c r="F6" s="299" t="s">
        <v>292</v>
      </c>
      <c r="G6" s="132">
        <f>(Ethiopia!P4+Rwanda!P4+Seychelles!P4+Sudan!P4+Uganda!P4+Tanzania!P4)/6</f>
        <v>0.40394660663373877</v>
      </c>
    </row>
    <row r="7" spans="1:15" ht="18.399999999999999" thickBot="1" x14ac:dyDescent="0.6">
      <c r="B7" s="295"/>
      <c r="C7" s="296"/>
      <c r="D7" s="296"/>
      <c r="E7" s="297"/>
      <c r="F7" s="297"/>
      <c r="G7" s="298"/>
    </row>
    <row r="8" spans="1:15" ht="6.75" customHeight="1" thickBot="1" x14ac:dyDescent="0.5">
      <c r="B8" s="1413"/>
      <c r="C8" s="1414"/>
      <c r="D8" s="1415"/>
      <c r="E8" s="302"/>
      <c r="F8" s="302"/>
      <c r="G8" s="307"/>
    </row>
    <row r="9" spans="1:15" ht="25.25" customHeight="1" thickBot="1" x14ac:dyDescent="0.5">
      <c r="B9" s="300" t="s">
        <v>2</v>
      </c>
      <c r="C9" s="300" t="s">
        <v>3</v>
      </c>
      <c r="D9" s="300" t="s">
        <v>387</v>
      </c>
      <c r="E9" s="300" t="s">
        <v>102</v>
      </c>
      <c r="F9" s="300" t="s">
        <v>427</v>
      </c>
      <c r="G9" s="301" t="s">
        <v>388</v>
      </c>
      <c r="J9" s="50" t="s">
        <v>151</v>
      </c>
      <c r="K9" s="51"/>
      <c r="L9" s="51"/>
      <c r="M9" s="51"/>
      <c r="N9" s="52"/>
    </row>
    <row r="10" spans="1:15" ht="25.25" customHeight="1" thickBot="1" x14ac:dyDescent="0.5">
      <c r="B10" s="1416" t="s">
        <v>0</v>
      </c>
      <c r="C10" s="1417"/>
      <c r="D10" s="1418"/>
      <c r="E10" s="121"/>
      <c r="F10" s="121"/>
      <c r="G10" s="553">
        <f>(Ethiopia!P9+Rwanda!P9+Seychelles!P9+Sudan!P9+Uganda!P9+Tanzania!P9)/6</f>
        <v>0.32324995573810883</v>
      </c>
      <c r="J10" s="122"/>
      <c r="K10" s="123"/>
      <c r="L10" s="123"/>
      <c r="M10" s="123"/>
      <c r="N10" s="124"/>
    </row>
    <row r="11" spans="1:15" s="96" customFormat="1" ht="25.25" customHeight="1" thickBot="1" x14ac:dyDescent="0.5">
      <c r="B11" s="1340" t="s">
        <v>1</v>
      </c>
      <c r="C11" s="1326"/>
      <c r="D11" s="1326"/>
      <c r="E11" s="408"/>
      <c r="F11" s="125"/>
      <c r="G11" s="553">
        <f>(Ethiopia!P10+Rwanda!P10+Seychelles!P10+Sudan!P10+Uganda!P10+Tanzania!P10)/6</f>
        <v>0.50187641083698098</v>
      </c>
      <c r="I11" s="126"/>
      <c r="J11" s="127"/>
      <c r="K11" s="128"/>
      <c r="L11" s="128"/>
      <c r="M11" s="128"/>
      <c r="N11" s="129"/>
      <c r="O11" s="126"/>
    </row>
    <row r="12" spans="1:15" ht="27.6" customHeight="1" thickBot="1" x14ac:dyDescent="0.5">
      <c r="A12" s="1317">
        <v>1</v>
      </c>
      <c r="B12" s="1403" t="s">
        <v>4</v>
      </c>
      <c r="C12" s="413" t="s">
        <v>111</v>
      </c>
      <c r="D12" s="57" t="s">
        <v>5</v>
      </c>
      <c r="E12" s="409" t="s">
        <v>97</v>
      </c>
      <c r="F12" s="527">
        <f>(Ethiopia!M11+Rwanda!M11+Seychelles!M11+Sudan!M11+Uganda!M11+Tanzania!M11)/6</f>
        <v>1.6445706072371944</v>
      </c>
      <c r="G12" s="1424">
        <f>(Ethiopia!P11+Rwanda!P11+Seychelles!P11+Sudan!P11+Uganda!P11+Tanzania!P11)/6</f>
        <v>0.44898509124232805</v>
      </c>
      <c r="J12" s="29" t="s">
        <v>109</v>
      </c>
      <c r="K12" s="30" t="e">
        <f>#REF!</f>
        <v>#REF!</v>
      </c>
      <c r="L12" s="31"/>
      <c r="M12" s="31"/>
      <c r="N12" s="32"/>
    </row>
    <row r="13" spans="1:15" ht="27" customHeight="1" thickBot="1" x14ac:dyDescent="0.5">
      <c r="A13" s="1317"/>
      <c r="B13" s="1404"/>
      <c r="C13" s="414" t="s">
        <v>112</v>
      </c>
      <c r="D13" s="59" t="s">
        <v>281</v>
      </c>
      <c r="E13" s="404" t="s">
        <v>98</v>
      </c>
      <c r="F13" s="527">
        <f>(Ethiopia!M12+Rwanda!M12+Seychelles!M12+Sudan!M12+Uganda!M12+Tanzania!M12)/6</f>
        <v>-1.4012358870785773</v>
      </c>
      <c r="G13" s="1425"/>
      <c r="J13" s="33">
        <v>0.02</v>
      </c>
      <c r="K13" s="34" t="e">
        <f>(K12-(K12*J13))</f>
        <v>#REF!</v>
      </c>
      <c r="L13" s="34" t="e">
        <f>K12-(J13*K12)</f>
        <v>#REF!</v>
      </c>
      <c r="M13" s="31"/>
      <c r="N13" s="32"/>
    </row>
    <row r="14" spans="1:15" ht="32.450000000000003" customHeight="1" thickBot="1" x14ac:dyDescent="0.5">
      <c r="A14" s="1317">
        <v>2</v>
      </c>
      <c r="B14" s="1407" t="s">
        <v>6</v>
      </c>
      <c r="C14" s="417" t="s">
        <v>273</v>
      </c>
      <c r="D14" s="416" t="s">
        <v>7</v>
      </c>
      <c r="E14" s="405" t="s">
        <v>99</v>
      </c>
      <c r="F14" s="527">
        <f>(Ethiopia!M13+Rwanda!M13+Seychelles!M13+Sudan!M13+Uganda!M13+Tanzania!M13)/6</f>
        <v>0.25658607073097439</v>
      </c>
      <c r="G14" s="1424">
        <f>(Ethiopia!P13+Rwanda!P13+Seychelles!P13+Sudan!P13+Uganda!P13+Tanzania!P13)/6</f>
        <v>0.39309888777627117</v>
      </c>
      <c r="J14" s="33">
        <v>0.02</v>
      </c>
      <c r="K14" s="34" t="e">
        <f>(#REF!-(#REF!*J14))</f>
        <v>#REF!</v>
      </c>
      <c r="L14" s="34" t="e">
        <f>(K12-(J13*K12))-((K12-(J13*K12))*0.02)-(((K12-(J13*K12))-((K12-(J13*K12))*0.02))*0.02)-(((K12-(J13*K12))-((K12-(J13*K12))*0.02)-(((K12-(J13*K12))-((K12-(J13*K12))*0.02))*0.02))*0.02)</f>
        <v>#REF!</v>
      </c>
      <c r="M14" s="35" t="e">
        <f>(K12-K15)/K12</f>
        <v>#REF!</v>
      </c>
      <c r="N14" s="32"/>
    </row>
    <row r="15" spans="1:15" ht="33" customHeight="1" thickBot="1" x14ac:dyDescent="0.5">
      <c r="A15" s="1317"/>
      <c r="B15" s="1408"/>
      <c r="C15" s="417" t="s">
        <v>274</v>
      </c>
      <c r="D15" s="416" t="s">
        <v>8</v>
      </c>
      <c r="E15" s="406" t="s">
        <v>100</v>
      </c>
      <c r="F15" s="532">
        <f>(Ethiopia!M14+Rwanda!M14+Seychelles!M14+Sudan!M14+Uganda!M14+Tanzania!M14)/6</f>
        <v>0.47679737733618782</v>
      </c>
      <c r="G15" s="1425"/>
      <c r="J15" s="36">
        <v>0.02</v>
      </c>
      <c r="K15" s="37" t="e">
        <f>(#REF!-(#REF!*J15))</f>
        <v>#REF!</v>
      </c>
      <c r="L15" s="37" t="e">
        <f>(K12-(J13*K12))-((K12-(J13*K12))*0.02)-(((K12-(J13*K12))-((K12-(J13*K12))*0.02))*0.02)-(((K12-(J13*K12))-((K12-(J13*K12))*0.02)-(((K12-(J13*K12))-((K12-(J13*K12))*0.02))*0.02))*0.02)-(((K12-(J13*K12))-((K12-(J13*K12))*0.02)-(((K12-(J13*K12))-((K12-(J13*K12))*0.02))*0.02)-(((K12-(J13*K12))-((K12-(J13*K12))*0.02)-(((K12-(J13*K12))-((K12-(J13*K13))*0.02))*0.02))*0.02))*0.02)-(((K12-(J13*K12))-((K12-(J13*K12))*0.02)-(((K12-(J13*K12))-((K12-(J13*K12))*0.02))*0.02)-(((K12-(J13*K12))-((K12-(J13*K12))*0.02)-(((K12-(J13*K12))-((K12-(J13*K12))*0.02))*0.02))*0.02)-(((K12-(J13*K12))-((K12-(J13*K12))*0.02)-(((K12-(J13*K12))-((K12-(J13*K12))*0.02))*0.02)-(((K12-(J13*K12))-((K12-(J13*K12))*0.02)-(((K12-(J13*K12))-((K12-(J13*K12))*0.02))*0.02))*0.02))*0.02))*0.02)</f>
        <v>#REF!</v>
      </c>
      <c r="M15" s="38" t="e">
        <f>K12-L15</f>
        <v>#REF!</v>
      </c>
      <c r="N15" s="39"/>
    </row>
    <row r="16" spans="1:15" ht="22.25" customHeight="1" x14ac:dyDescent="0.45">
      <c r="A16" s="1317">
        <v>3</v>
      </c>
      <c r="B16" s="1398" t="s">
        <v>9</v>
      </c>
      <c r="C16" s="1401" t="s">
        <v>113</v>
      </c>
      <c r="D16" s="416" t="s">
        <v>221</v>
      </c>
      <c r="E16" s="410" t="s">
        <v>101</v>
      </c>
      <c r="F16" s="527">
        <f>(Ethiopia!M15+Rwanda!M15+Seychelles!M15+Sudan!M15+Uganda!M15+Tanzania!M15)/6</f>
        <v>1.3717830499382846</v>
      </c>
      <c r="G16" s="1426">
        <f>(Ethiopia!P15+Rwanda!P15+Seychelles!P15+Sudan!P15+Uganda!P15+Tanzania!P15)/6</f>
        <v>0.6635452534923435</v>
      </c>
    </row>
    <row r="17" spans="1:9" x14ac:dyDescent="0.45">
      <c r="A17" s="1317"/>
      <c r="B17" s="1399"/>
      <c r="C17" s="1401"/>
      <c r="D17" s="416" t="s">
        <v>220</v>
      </c>
      <c r="E17" s="411" t="s">
        <v>95</v>
      </c>
      <c r="F17" s="528">
        <f>(Ethiopia!M16+Rwanda!M16+Seychelles!M16+Sudan!M16+Uganda!M16+Tanzania!M16)/6</f>
        <v>1.2131089618623572</v>
      </c>
      <c r="G17" s="1427"/>
    </row>
    <row r="18" spans="1:9" ht="25.25" customHeight="1" thickBot="1" x14ac:dyDescent="0.5">
      <c r="A18" s="1317"/>
      <c r="B18" s="1400"/>
      <c r="C18" s="1402"/>
      <c r="D18" s="418" t="s">
        <v>10</v>
      </c>
      <c r="E18" s="412" t="s">
        <v>162</v>
      </c>
      <c r="F18" s="529">
        <f>(Ethiopia!M17+Rwanda!M17+Seychelles!M17+Sudan!M17+Uganda!M17+Tanzania!M17)/6</f>
        <v>1.8890585543162031</v>
      </c>
      <c r="G18" s="1428"/>
    </row>
    <row r="19" spans="1:9" ht="26.25" customHeight="1" thickBot="1" x14ac:dyDescent="0.7">
      <c r="A19" s="14"/>
      <c r="B19" s="1340" t="s">
        <v>11</v>
      </c>
      <c r="C19" s="1395"/>
      <c r="D19" s="1396"/>
      <c r="E19" s="42"/>
      <c r="F19" s="40"/>
      <c r="G19" s="553">
        <f>(Ethiopia!P18+Rwanda!P18+Seychelles!P18+Sudan!P18+Uganda!P18+Tanzania!P18)/6</f>
        <v>0.36296414364912111</v>
      </c>
    </row>
    <row r="20" spans="1:9" ht="34.25" customHeight="1" thickBot="1" x14ac:dyDescent="0.5">
      <c r="A20" s="1317">
        <v>4</v>
      </c>
      <c r="B20" s="1370" t="s">
        <v>12</v>
      </c>
      <c r="C20" s="56" t="s">
        <v>114</v>
      </c>
      <c r="D20" s="57" t="s">
        <v>222</v>
      </c>
      <c r="E20" s="312" t="s">
        <v>163</v>
      </c>
      <c r="F20" s="529">
        <f>(Ethiopia!M19+Rwanda!M19+Seychelles!M19+Sudan!M19+Uganda!M19+Tanzania!M19)/6</f>
        <v>0.10890644007357993</v>
      </c>
      <c r="G20" s="1421">
        <f>(Ethiopia!P19+Rwanda!P19+Seychelles!P19+Sudan!P19+Uganda!P19+Tanzania!P19)/6</f>
        <v>0.36296414364912111</v>
      </c>
    </row>
    <row r="21" spans="1:9" ht="39" customHeight="1" thickBot="1" x14ac:dyDescent="0.5">
      <c r="A21" s="1317"/>
      <c r="B21" s="1371"/>
      <c r="C21" s="398" t="s">
        <v>152</v>
      </c>
      <c r="D21" s="59" t="s">
        <v>265</v>
      </c>
      <c r="E21" s="313" t="s">
        <v>164</v>
      </c>
      <c r="F21" s="529">
        <f>(Ethiopia!M20+Rwanda!M20+Seychelles!M20+Sudan!M20+Uganda!M20+Tanzania!M20)/6</f>
        <v>0.54420487479784063</v>
      </c>
      <c r="G21" s="1422"/>
    </row>
    <row r="22" spans="1:9" ht="56.45" customHeight="1" thickBot="1" x14ac:dyDescent="0.5">
      <c r="A22" s="1317"/>
      <c r="B22" s="1371"/>
      <c r="C22" s="398" t="s">
        <v>153</v>
      </c>
      <c r="D22" s="59" t="s">
        <v>155</v>
      </c>
      <c r="E22" s="313" t="s">
        <v>165</v>
      </c>
      <c r="F22" s="529">
        <f>(Ethiopia!M21+Rwanda!M21+Seychelles!M21+Sudan!M21+Uganda!M21+Tanzania!M21)/6</f>
        <v>0.69073594869761978</v>
      </c>
      <c r="G22" s="1422"/>
    </row>
    <row r="23" spans="1:9" ht="36.6" customHeight="1" thickBot="1" x14ac:dyDescent="0.5">
      <c r="A23" s="1317"/>
      <c r="B23" s="1372"/>
      <c r="C23" s="62" t="s">
        <v>154</v>
      </c>
      <c r="D23" s="85" t="s">
        <v>156</v>
      </c>
      <c r="E23" s="314" t="s">
        <v>95</v>
      </c>
      <c r="F23" s="529">
        <f>(Ethiopia!M22+Rwanda!M22+Seychelles!M22+Sudan!M22+Uganda!M22+Tanzania!M22)/6</f>
        <v>0.10208167071250214</v>
      </c>
      <c r="G23" s="1423"/>
    </row>
    <row r="24" spans="1:9" ht="20.45" customHeight="1" thickBot="1" x14ac:dyDescent="0.5">
      <c r="B24" s="1340" t="s">
        <v>13</v>
      </c>
      <c r="C24" s="1341"/>
      <c r="D24" s="1342"/>
      <c r="E24" s="42"/>
      <c r="F24" s="40"/>
      <c r="G24" s="553">
        <f>(Ethiopia!P23+Rwanda!P23+Seychelles!P23+Sudan!P23+Uganda!P23+Tanzania!P23)/6</f>
        <v>0.47071162366341884</v>
      </c>
      <c r="I24" s="436"/>
    </row>
    <row r="25" spans="1:9" ht="36" customHeight="1" x14ac:dyDescent="0.45">
      <c r="A25" s="1317">
        <v>5</v>
      </c>
      <c r="B25" s="1328" t="s">
        <v>14</v>
      </c>
      <c r="C25" s="399" t="s">
        <v>115</v>
      </c>
      <c r="D25" s="399" t="s">
        <v>280</v>
      </c>
      <c r="E25" s="315" t="s">
        <v>166</v>
      </c>
      <c r="F25" s="527">
        <f>(Ethiopia!M24+Rwanda!M24+Seychelles!M24+Sudan!M24+Uganda!M24+Tanzania!M24)/6</f>
        <v>1.1063741995114544</v>
      </c>
      <c r="G25" s="1421">
        <f>(Ethiopia!P24+Rwanda!P24+Seychelles!P24+Sudan!P24+Uganda!P24+Tanzania!P24)/6</f>
        <v>0.47071162366341884</v>
      </c>
    </row>
    <row r="26" spans="1:9" ht="19.8" customHeight="1" x14ac:dyDescent="0.45">
      <c r="A26" s="1317"/>
      <c r="B26" s="1329"/>
      <c r="C26" s="1332" t="s">
        <v>158</v>
      </c>
      <c r="D26" s="397" t="s">
        <v>15</v>
      </c>
      <c r="E26" s="316" t="s">
        <v>167</v>
      </c>
      <c r="F26" s="528">
        <f>(Ethiopia!M25+Rwanda!M25+Seychelles!M25+Sudan!M25+Uganda!M25+Tanzania!M25)/6</f>
        <v>3.6223162202029369E-2</v>
      </c>
      <c r="G26" s="1422"/>
    </row>
    <row r="27" spans="1:9" ht="19.8" customHeight="1" x14ac:dyDescent="0.45">
      <c r="A27" s="1317"/>
      <c r="B27" s="1329"/>
      <c r="C27" s="1392"/>
      <c r="D27" s="397" t="s">
        <v>16</v>
      </c>
      <c r="E27" s="316" t="s">
        <v>168</v>
      </c>
      <c r="F27" s="528">
        <f>(Ethiopia!M26+Rwanda!M26+Seychelles!M26+Sudan!M26+Uganda!M26+Tanzania!M26)/6</f>
        <v>-4.9446441571860261E-2</v>
      </c>
      <c r="G27" s="1422"/>
    </row>
    <row r="28" spans="1:9" ht="19.8" customHeight="1" x14ac:dyDescent="0.45">
      <c r="A28" s="1317"/>
      <c r="B28" s="1329"/>
      <c r="C28" s="1392"/>
      <c r="D28" s="397" t="s">
        <v>17</v>
      </c>
      <c r="E28" s="316" t="s">
        <v>169</v>
      </c>
      <c r="F28" s="528">
        <f>(Ethiopia!M27+Rwanda!M27+Seychelles!M27+Sudan!M27+Uganda!M27+Tanzania!M27)/6</f>
        <v>0.43514223086574705</v>
      </c>
      <c r="G28" s="1422"/>
    </row>
    <row r="29" spans="1:9" ht="30.6" customHeight="1" x14ac:dyDescent="0.45">
      <c r="A29" s="396"/>
      <c r="B29" s="1329"/>
      <c r="C29" s="1393" t="s">
        <v>116</v>
      </c>
      <c r="D29" s="397" t="s">
        <v>148</v>
      </c>
      <c r="E29" s="316" t="s">
        <v>170</v>
      </c>
      <c r="F29" s="528">
        <f>(Ethiopia!M28+Rwanda!M28+Seychelles!M28+Sudan!M28+Uganda!M28+Tanzania!M28)/6</f>
        <v>0.15826981584156982</v>
      </c>
      <c r="G29" s="1429"/>
    </row>
    <row r="30" spans="1:9" ht="20.45" customHeight="1" x14ac:dyDescent="0.45">
      <c r="A30" s="396"/>
      <c r="B30" s="1329"/>
      <c r="C30" s="1394"/>
      <c r="D30" s="397" t="s">
        <v>149</v>
      </c>
      <c r="E30" s="316" t="s">
        <v>171</v>
      </c>
      <c r="F30" s="528">
        <f>(Ethiopia!M29+Rwanda!M29+Seychelles!M29+Sudan!M29+Uganda!M29+Tanzania!M29)/6</f>
        <v>0.17739580680963199</v>
      </c>
      <c r="G30" s="1429"/>
    </row>
    <row r="31" spans="1:9" ht="20.45" customHeight="1" x14ac:dyDescent="0.45">
      <c r="A31" s="396"/>
      <c r="B31" s="1388"/>
      <c r="C31" s="1394"/>
      <c r="D31" s="398" t="s">
        <v>150</v>
      </c>
      <c r="E31" s="316" t="s">
        <v>172</v>
      </c>
      <c r="F31" s="528">
        <f>(Ethiopia!M30+Rwanda!M30+Seychelles!M30+Sudan!M30+Uganda!M30+Tanzania!M30)/6</f>
        <v>0.58313938396862508</v>
      </c>
      <c r="G31" s="1429"/>
    </row>
    <row r="32" spans="1:9" ht="23.65" thickBot="1" x14ac:dyDescent="0.5">
      <c r="A32" s="396"/>
      <c r="B32" s="1389"/>
      <c r="C32" s="62" t="s">
        <v>117</v>
      </c>
      <c r="D32" s="94" t="s">
        <v>223</v>
      </c>
      <c r="E32" s="317" t="s">
        <v>95</v>
      </c>
      <c r="F32" s="529">
        <f>(Ethiopia!M31+Rwanda!M31+Seychelles!M31+Sudan!M31+Uganda!M31+Tanzania!M31)/6</f>
        <v>0.23048575100828791</v>
      </c>
      <c r="G32" s="1430"/>
    </row>
    <row r="33" spans="1:7" ht="20.45" customHeight="1" thickBot="1" x14ac:dyDescent="0.5">
      <c r="B33" s="1382" t="s">
        <v>18</v>
      </c>
      <c r="C33" s="1383"/>
      <c r="D33" s="1384"/>
      <c r="E33" s="42"/>
      <c r="F33" s="40"/>
      <c r="G33" s="553">
        <f>(Ethiopia!P32+Rwanda!P32+Seychelles!P32+Sudan!P32+Uganda!P32+Tanzania!P32)/6</f>
        <v>0.26805387418894078</v>
      </c>
    </row>
    <row r="34" spans="1:7" ht="33.6" customHeight="1" thickBot="1" x14ac:dyDescent="0.5">
      <c r="A34" s="396">
        <v>6</v>
      </c>
      <c r="B34" s="63" t="s">
        <v>19</v>
      </c>
      <c r="C34" s="64" t="s">
        <v>287</v>
      </c>
      <c r="D34" s="63" t="s">
        <v>288</v>
      </c>
      <c r="E34" s="318" t="s">
        <v>97</v>
      </c>
      <c r="F34" s="131">
        <f>(Ethiopia!M33+Rwanda!M33+Seychelles!M33+Sudan!M33+Uganda!M33+Tanzania!M33)/6</f>
        <v>0.51400667008225664</v>
      </c>
      <c r="G34" s="553">
        <f>(Ethiopia!P33+Rwanda!P33+Seychelles!P33+Sudan!P33+Uganda!P33+Tanzania!P33)/6</f>
        <v>0.48484848484848486</v>
      </c>
    </row>
    <row r="35" spans="1:7" ht="51" customHeight="1" thickBot="1" x14ac:dyDescent="0.5">
      <c r="A35" s="396">
        <v>7</v>
      </c>
      <c r="B35" s="63" t="s">
        <v>20</v>
      </c>
      <c r="C35" s="63" t="s">
        <v>118</v>
      </c>
      <c r="D35" s="63" t="s">
        <v>21</v>
      </c>
      <c r="E35" s="318" t="s">
        <v>173</v>
      </c>
      <c r="F35" s="131">
        <f>(Ethiopia!M34+Rwanda!M34+Seychelles!M34+Sudan!M34+Uganda!M34+Tanzania!M34)/6</f>
        <v>0.43498796603384188</v>
      </c>
      <c r="G35" s="553">
        <f>(Ethiopia!P34+Rwanda!P34+Seychelles!P34+Sudan!P34+Uganda!P34+Tanzania!P34)/6</f>
        <v>0.33333333333333331</v>
      </c>
    </row>
    <row r="36" spans="1:7" ht="40.799999999999997" customHeight="1" thickBot="1" x14ac:dyDescent="0.5">
      <c r="A36" s="396">
        <v>8</v>
      </c>
      <c r="B36" s="63" t="s">
        <v>22</v>
      </c>
      <c r="C36" s="63" t="s">
        <v>119</v>
      </c>
      <c r="D36" s="63" t="s">
        <v>23</v>
      </c>
      <c r="E36" s="318" t="s">
        <v>174</v>
      </c>
      <c r="F36" s="131">
        <f>(Ethiopia!M35+Rwanda!M35+Seychelles!M35+Sudan!M35+Uganda!M35+Tanzania!M35)/6</f>
        <v>-0.13302299231289438</v>
      </c>
      <c r="G36" s="553">
        <f>(Ethiopia!P35+Rwanda!P35+Seychelles!P35+Sudan!P35+Uganda!P35+Tanzania!P35)/6</f>
        <v>0.21017402945113786</v>
      </c>
    </row>
    <row r="37" spans="1:7" ht="32.450000000000003" customHeight="1" thickBot="1" x14ac:dyDescent="0.5">
      <c r="A37" s="396">
        <v>9</v>
      </c>
      <c r="B37" s="63" t="s">
        <v>24</v>
      </c>
      <c r="C37" s="63" t="s">
        <v>275</v>
      </c>
      <c r="D37" s="65" t="s">
        <v>25</v>
      </c>
      <c r="E37" s="319" t="s">
        <v>175</v>
      </c>
      <c r="F37" s="131">
        <f>(Ethiopia!M36+Rwanda!M36+Seychelles!M36+Sudan!M36+Uganda!M36+Tanzania!M36)/6</f>
        <v>4.2704767144738413E-2</v>
      </c>
      <c r="G37" s="553">
        <f>(Ethiopia!P36+Rwanda!P36+Seychelles!P36+Sudan!P36+Uganda!P36+Tanzania!P36)/6</f>
        <v>4.3859649122807105E-2</v>
      </c>
    </row>
    <row r="38" spans="1:7" ht="30.6" customHeight="1" thickBot="1" x14ac:dyDescent="0.5">
      <c r="B38" s="1385" t="s">
        <v>26</v>
      </c>
      <c r="C38" s="1386"/>
      <c r="D38" s="1387"/>
      <c r="E38" s="43"/>
      <c r="F38" s="530"/>
      <c r="G38" s="553">
        <f>(Ethiopia!P37+Rwanda!P37+Seychelles!P37+Sudan!P37+Uganda!P37+Tanzania!P37)/6</f>
        <v>1.7397507570463534E-2</v>
      </c>
    </row>
    <row r="39" spans="1:7" ht="25.8" customHeight="1" x14ac:dyDescent="0.45">
      <c r="A39" s="1317">
        <v>10</v>
      </c>
      <c r="B39" s="1370" t="s">
        <v>27</v>
      </c>
      <c r="C39" s="88" t="s">
        <v>120</v>
      </c>
      <c r="D39" s="89" t="s">
        <v>224</v>
      </c>
      <c r="E39" s="320" t="s">
        <v>176</v>
      </c>
      <c r="F39" s="527">
        <f>(Ethiopia!M38+Rwanda!M38+Seychelles!M38+Sudan!M38+Uganda!M38+Tanzania!M38)/6</f>
        <v>3.4795015140927067E-2</v>
      </c>
      <c r="G39" s="1424">
        <f>(Ethiopia!P38+Rwanda!P38+Seychelles!P38+Sudan!P38+Uganda!P38+Tanzania!P38)/6</f>
        <v>1.7397507570463534E-2</v>
      </c>
    </row>
    <row r="40" spans="1:7" ht="35.25" thickBot="1" x14ac:dyDescent="0.5">
      <c r="A40" s="1317"/>
      <c r="B40" s="1372"/>
      <c r="C40" s="84" t="s">
        <v>157</v>
      </c>
      <c r="D40" s="346" t="s">
        <v>225</v>
      </c>
      <c r="E40" s="326" t="s">
        <v>95</v>
      </c>
      <c r="F40" s="529">
        <f>(Ethiopia!M39+Rwanda!M39+Seychelles!M39+Sudan!M39+Uganda!M39+Tanzania!M39)/6</f>
        <v>0</v>
      </c>
      <c r="G40" s="1425"/>
    </row>
    <row r="41" spans="1:7" ht="20.45" customHeight="1" thickBot="1" x14ac:dyDescent="0.5">
      <c r="B41" s="1365" t="s">
        <v>28</v>
      </c>
      <c r="C41" s="1366"/>
      <c r="D41" s="1367"/>
      <c r="E41" s="44"/>
      <c r="F41" s="531"/>
      <c r="G41" s="553">
        <f>(Ethiopia!P40+Rwanda!P40+Seychelles!P40+Sudan!P40+Uganda!P40+Tanzania!P40)/6</f>
        <v>0.13888888888888887</v>
      </c>
    </row>
    <row r="42" spans="1:7" ht="34.9" x14ac:dyDescent="0.45">
      <c r="A42" s="1317">
        <v>11</v>
      </c>
      <c r="B42" s="1331" t="s">
        <v>29</v>
      </c>
      <c r="C42" s="402" t="s">
        <v>121</v>
      </c>
      <c r="D42" s="399" t="s">
        <v>30</v>
      </c>
      <c r="E42" s="347" t="s">
        <v>177</v>
      </c>
      <c r="F42" s="527">
        <f>(Ethiopia!M41+Rwanda!M41+Seychelles!M41+Sudan!M41+Uganda!M41+Tanzania!M41)/6</f>
        <v>8.1334436173145799E-2</v>
      </c>
      <c r="G42" s="1424">
        <f>(Ethiopia!P41+Rwanda!P41+Seychelles!P41+Sudan!P41+Uganda!P41+Tanzania!P41)/6</f>
        <v>0.13888888888888887</v>
      </c>
    </row>
    <row r="43" spans="1:7" ht="35.25" thickBot="1" x14ac:dyDescent="0.5">
      <c r="A43" s="1317"/>
      <c r="B43" s="1333"/>
      <c r="C43" s="403" t="s">
        <v>122</v>
      </c>
      <c r="D43" s="400" t="s">
        <v>31</v>
      </c>
      <c r="E43" s="348" t="s">
        <v>95</v>
      </c>
      <c r="F43" s="529">
        <f>(Ethiopia!M42+Rwanda!M42+Seychelles!M42+Sudan!M42+Uganda!M42+Tanzania!M42)/6</f>
        <v>0</v>
      </c>
      <c r="G43" s="1425"/>
    </row>
    <row r="44" spans="1:7" ht="30.6" customHeight="1" thickBot="1" x14ac:dyDescent="0.5">
      <c r="B44" s="1340" t="s">
        <v>32</v>
      </c>
      <c r="C44" s="1341"/>
      <c r="D44" s="1342"/>
      <c r="E44" s="42"/>
      <c r="F44" s="40"/>
      <c r="G44" s="553">
        <f>(Ethiopia!P43+Rwanda!P43+Seychelles!P43+Sudan!P43+Uganda!P43+Tanzania!P43)/6</f>
        <v>0.31119257581870746</v>
      </c>
    </row>
    <row r="45" spans="1:7" ht="37.799999999999997" customHeight="1" x14ac:dyDescent="0.45">
      <c r="A45" s="1317">
        <v>12</v>
      </c>
      <c r="B45" s="1331" t="s">
        <v>33</v>
      </c>
      <c r="C45" s="399" t="s">
        <v>123</v>
      </c>
      <c r="D45" s="399" t="s">
        <v>34</v>
      </c>
      <c r="E45" s="310" t="s">
        <v>178</v>
      </c>
      <c r="F45" s="550">
        <f>(Ethiopia!M44+Rwanda!M44+Seychelles!M44+Sudan!M44+Uganda!M44+Tanzania!M44)/6</f>
        <v>0.33839337019872989</v>
      </c>
      <c r="G45" s="1424">
        <f>(Ethiopia!P44+Rwanda!P44+Seychelles!P44+Sudan!P44+Uganda!P44+Tanzania!P44)/6</f>
        <v>0.31119257581870746</v>
      </c>
    </row>
    <row r="46" spans="1:7" ht="35.25" thickBot="1" x14ac:dyDescent="0.5">
      <c r="A46" s="1317"/>
      <c r="B46" s="1333"/>
      <c r="C46" s="400" t="s">
        <v>124</v>
      </c>
      <c r="D46" s="400" t="s">
        <v>35</v>
      </c>
      <c r="E46" s="311" t="s">
        <v>179</v>
      </c>
      <c r="F46" s="550">
        <f>(Ethiopia!M45+Rwanda!M45+Seychelles!M45+Sudan!M45+Uganda!M45+Tanzania!M45)/6</f>
        <v>0.38009803921568625</v>
      </c>
      <c r="G46" s="1425"/>
    </row>
    <row r="47" spans="1:7" ht="30.6" customHeight="1" thickBot="1" x14ac:dyDescent="0.5">
      <c r="B47" s="1359" t="s">
        <v>36</v>
      </c>
      <c r="C47" s="1360"/>
      <c r="D47" s="1361"/>
      <c r="E47" s="45"/>
      <c r="F47" s="45"/>
      <c r="G47" s="553">
        <f>(Ethiopia!P46+Rwanda!P46+Seychelles!P46+Sudan!P46+Uganda!P46+Tanzania!P46)/6</f>
        <v>0.54879846028855261</v>
      </c>
    </row>
    <row r="48" spans="1:7" ht="20.45" customHeight="1" thickBot="1" x14ac:dyDescent="0.5">
      <c r="B48" s="1325" t="s">
        <v>37</v>
      </c>
      <c r="C48" s="1326"/>
      <c r="D48" s="1327"/>
      <c r="E48" s="61"/>
      <c r="F48" s="61"/>
      <c r="G48" s="553">
        <f>(Ethiopia!P47+Rwanda!P47+Seychelles!P47+Sudan!P47+Uganda!P47+Tanzania!P47)/6</f>
        <v>0.33892115223041325</v>
      </c>
    </row>
    <row r="49" spans="1:7" ht="37.799999999999997" customHeight="1" x14ac:dyDescent="0.45">
      <c r="A49" s="1317">
        <v>13</v>
      </c>
      <c r="B49" s="1331" t="s">
        <v>38</v>
      </c>
      <c r="C49" s="399" t="s">
        <v>125</v>
      </c>
      <c r="D49" s="68" t="s">
        <v>289</v>
      </c>
      <c r="E49" s="315" t="s">
        <v>95</v>
      </c>
      <c r="F49" s="527">
        <f>(Ethiopia!M48+Rwanda!M48+Seychelles!M48+Sudan!M48+Uganda!M48+Tanzania!M48)/6</f>
        <v>1.1111111111111112</v>
      </c>
      <c r="G49" s="1424">
        <f>(Ethiopia!P48+Rwanda!P48+Seychelles!P48+Sudan!P48+Uganda!P48+Tanzania!P48)/6</f>
        <v>0.33892115223041325</v>
      </c>
    </row>
    <row r="50" spans="1:7" ht="30.6" customHeight="1" thickBot="1" x14ac:dyDescent="0.5">
      <c r="A50" s="1317"/>
      <c r="B50" s="1333"/>
      <c r="C50" s="400" t="s">
        <v>126</v>
      </c>
      <c r="D50" s="400" t="s">
        <v>290</v>
      </c>
      <c r="E50" s="317" t="s">
        <v>95</v>
      </c>
      <c r="F50" s="529">
        <f>(Ethiopia!M49+Rwanda!M49+Seychelles!M49+Sudan!M49+Uganda!M49+Tanzania!M49)/6</f>
        <v>0.57554500170505307</v>
      </c>
      <c r="G50" s="1425"/>
    </row>
    <row r="51" spans="1:7" ht="23.65" customHeight="1" thickBot="1" x14ac:dyDescent="0.5">
      <c r="B51" s="1340" t="s">
        <v>39</v>
      </c>
      <c r="C51" s="1341"/>
      <c r="D51" s="1342"/>
      <c r="E51" s="46"/>
      <c r="F51" s="46"/>
      <c r="G51" s="553">
        <f>(Ethiopia!P50+Rwanda!P50+Seychelles!P50+Sudan!P50+Uganda!P50+Tanzania!P50)/6</f>
        <v>0.9127777777777778</v>
      </c>
    </row>
    <row r="52" spans="1:7" ht="30.6" customHeight="1" thickBot="1" x14ac:dyDescent="0.5">
      <c r="A52" s="20">
        <v>14</v>
      </c>
      <c r="B52" s="308" t="s">
        <v>226</v>
      </c>
      <c r="C52" s="309" t="s">
        <v>272</v>
      </c>
      <c r="D52" s="90" t="s">
        <v>266</v>
      </c>
      <c r="E52" s="322" t="s">
        <v>95</v>
      </c>
      <c r="F52" s="529">
        <f>(Ethiopia!M51+Rwanda!M51+Seychelles!M51+Sudan!M51+Uganda!M51+Tanzania!M51)/6</f>
        <v>1.2461111111111112</v>
      </c>
      <c r="G52" s="553">
        <f>(Ethiopia!P51+Rwanda!P51+Seychelles!P51+Sudan!P51+Uganda!P51+Tanzania!P51)/6</f>
        <v>0.9127777777777778</v>
      </c>
    </row>
    <row r="53" spans="1:7" ht="27.75" customHeight="1" thickBot="1" x14ac:dyDescent="0.5">
      <c r="B53" s="1340" t="s">
        <v>40</v>
      </c>
      <c r="C53" s="1341"/>
      <c r="D53" s="1342"/>
      <c r="E53" s="41"/>
      <c r="F53" s="61"/>
      <c r="G53" s="553">
        <f>(Ethiopia!P52+Rwanda!P52+Seychelles!P52+Sudan!P52+Uganda!P52+Tanzania!P52)/6</f>
        <v>0.39469645085746635</v>
      </c>
    </row>
    <row r="54" spans="1:7" ht="43.8" customHeight="1" x14ac:dyDescent="0.45">
      <c r="A54" s="1317">
        <v>15</v>
      </c>
      <c r="B54" s="1370" t="s">
        <v>108</v>
      </c>
      <c r="C54" s="69" t="s">
        <v>127</v>
      </c>
      <c r="D54" s="70" t="s">
        <v>41</v>
      </c>
      <c r="E54" s="323" t="s">
        <v>95</v>
      </c>
      <c r="F54" s="527">
        <f>(Ethiopia!M53+Rwanda!M53+Seychelles!M53+Sudan!M53+Uganda!M53+Tanzania!M53)/6</f>
        <v>0.44444444444444448</v>
      </c>
      <c r="G54" s="1431">
        <f>(Ethiopia!P53+Rwanda!P53+Seychelles!P53+Sudan!P53+Uganda!P53+Tanzania!P53)/6</f>
        <v>0.39469645085746635</v>
      </c>
    </row>
    <row r="55" spans="1:7" ht="35.450000000000003" customHeight="1" x14ac:dyDescent="0.45">
      <c r="A55" s="1317"/>
      <c r="B55" s="1371"/>
      <c r="C55" s="93" t="s">
        <v>128</v>
      </c>
      <c r="D55" s="71" t="s">
        <v>42</v>
      </c>
      <c r="E55" s="324" t="s">
        <v>95</v>
      </c>
      <c r="F55" s="528">
        <f>(Ethiopia!M54+Rwanda!M54+Seychelles!M54+Sudan!M54+Uganda!M54+Tanzania!M54)/6</f>
        <v>0.23833333333333331</v>
      </c>
      <c r="G55" s="1432"/>
    </row>
    <row r="56" spans="1:7" ht="34.25" customHeight="1" x14ac:dyDescent="0.45">
      <c r="A56" s="1317"/>
      <c r="B56" s="1371"/>
      <c r="C56" s="93" t="s">
        <v>129</v>
      </c>
      <c r="D56" s="71" t="s">
        <v>43</v>
      </c>
      <c r="E56" s="324" t="s">
        <v>95</v>
      </c>
      <c r="F56" s="528">
        <f>(Ethiopia!M55+Rwanda!M55+Seychelles!M55+Sudan!M55+Uganda!M55+Tanzania!M55)/6</f>
        <v>0.30555555555555558</v>
      </c>
      <c r="G56" s="1432"/>
    </row>
    <row r="57" spans="1:7" ht="37.25" customHeight="1" x14ac:dyDescent="0.45">
      <c r="A57" s="1317"/>
      <c r="B57" s="1371"/>
      <c r="C57" s="93" t="s">
        <v>130</v>
      </c>
      <c r="D57" s="71" t="s">
        <v>44</v>
      </c>
      <c r="E57" s="324" t="s">
        <v>101</v>
      </c>
      <c r="F57" s="528">
        <f>(Ethiopia!M56+Rwanda!M56+Seychelles!M56+Sudan!M56+Uganda!M56+Tanzania!M56)/6</f>
        <v>1.1560983731403716</v>
      </c>
      <c r="G57" s="1432"/>
    </row>
    <row r="58" spans="1:7" ht="22.8" customHeight="1" x14ac:dyDescent="0.45">
      <c r="A58" s="1317"/>
      <c r="B58" s="1371"/>
      <c r="C58" s="1376" t="s">
        <v>131</v>
      </c>
      <c r="D58" s="71" t="s">
        <v>45</v>
      </c>
      <c r="E58" s="324" t="s">
        <v>180</v>
      </c>
      <c r="F58" s="528">
        <f>(Ethiopia!M57+Rwanda!M57+Seychelles!M57+Sudan!M57+Uganda!M57+Tanzania!M57)/6</f>
        <v>0.2923251978064913</v>
      </c>
      <c r="G58" s="1432"/>
    </row>
    <row r="59" spans="1:7" ht="21.4" customHeight="1" thickBot="1" x14ac:dyDescent="0.5">
      <c r="A59" s="1317"/>
      <c r="B59" s="1372"/>
      <c r="C59" s="1377"/>
      <c r="D59" s="54" t="s">
        <v>46</v>
      </c>
      <c r="E59" s="325" t="s">
        <v>95</v>
      </c>
      <c r="F59" s="529">
        <f>(Ethiopia!M58+Rwanda!M58+Seychelles!M58+Sudan!M58+Uganda!M58+Tanzania!M58)/6</f>
        <v>2.1048999309868897E-2</v>
      </c>
      <c r="G59" s="1433"/>
    </row>
    <row r="60" spans="1:7" ht="23.45" customHeight="1" thickBot="1" x14ac:dyDescent="0.5">
      <c r="B60" s="1359" t="s">
        <v>47</v>
      </c>
      <c r="C60" s="1360"/>
      <c r="D60" s="1361"/>
      <c r="E60" s="401"/>
      <c r="F60" s="401"/>
      <c r="G60" s="553">
        <f>(Ethiopia!P59+Rwanda!P59+Seychelles!P59+Sudan!P59+Uganda!P59+Tanzania!P59)/6</f>
        <v>0.2875065281416414</v>
      </c>
    </row>
    <row r="61" spans="1:7" ht="22.25" customHeight="1" thickBot="1" x14ac:dyDescent="0.5">
      <c r="B61" s="1340" t="s">
        <v>48</v>
      </c>
      <c r="C61" s="1341"/>
      <c r="D61" s="1342"/>
      <c r="E61" s="40"/>
      <c r="F61" s="40"/>
      <c r="G61" s="553">
        <f>(Ethiopia!P60+Rwanda!P60+Seychelles!P60+Sudan!P60+Uganda!P60+Tanzania!P60)/6</f>
        <v>0.40834638961661618</v>
      </c>
    </row>
    <row r="62" spans="1:7" ht="39" customHeight="1" x14ac:dyDescent="0.45">
      <c r="A62" s="1317">
        <v>16</v>
      </c>
      <c r="B62" s="1328" t="s">
        <v>49</v>
      </c>
      <c r="C62" s="399" t="s">
        <v>133</v>
      </c>
      <c r="D62" s="399" t="s">
        <v>50</v>
      </c>
      <c r="E62" s="320" t="s">
        <v>181</v>
      </c>
      <c r="F62" s="527">
        <f>(Ethiopia!M61+Rwanda!M61+Seychelles!M61+Sudan!M61+Uganda!M61+Tanzania!M61)/6</f>
        <v>0.32114220258550147</v>
      </c>
      <c r="G62" s="1431">
        <f>(Ethiopia!P61+Rwanda!P61+Seychelles!P61+Sudan!P61+Uganda!P61+Tanzania!P61)/6</f>
        <v>0.40834638961661618</v>
      </c>
    </row>
    <row r="63" spans="1:7" ht="58.25" customHeight="1" x14ac:dyDescent="0.45">
      <c r="A63" s="1317"/>
      <c r="B63" s="1329"/>
      <c r="C63" s="397" t="s">
        <v>134</v>
      </c>
      <c r="D63" s="93" t="s">
        <v>276</v>
      </c>
      <c r="E63" s="321" t="s">
        <v>182</v>
      </c>
      <c r="F63" s="528">
        <f>(Ethiopia!M62+Rwanda!M62+Seychelles!M62+Sudan!M62+Uganda!M62+Tanzania!M62)/6</f>
        <v>0.34360670194003529</v>
      </c>
      <c r="G63" s="1432"/>
    </row>
    <row r="64" spans="1:7" ht="26.45" customHeight="1" x14ac:dyDescent="0.45">
      <c r="A64" s="1317"/>
      <c r="B64" s="1329"/>
      <c r="C64" s="397" t="s">
        <v>135</v>
      </c>
      <c r="D64" s="397" t="s">
        <v>51</v>
      </c>
      <c r="E64" s="321" t="s">
        <v>95</v>
      </c>
      <c r="F64" s="528">
        <f>(Ethiopia!M63+Rwanda!M63+Seychelles!M63+Sudan!M63+Uganda!M63+Tanzania!M63)/6</f>
        <v>0.62714285714285711</v>
      </c>
      <c r="G64" s="1432"/>
    </row>
    <row r="65" spans="1:15" ht="24" customHeight="1" x14ac:dyDescent="0.45">
      <c r="A65" s="1317"/>
      <c r="B65" s="1329"/>
      <c r="C65" s="1332" t="s">
        <v>136</v>
      </c>
      <c r="D65" s="72" t="s">
        <v>52</v>
      </c>
      <c r="E65" s="321" t="s">
        <v>95</v>
      </c>
      <c r="F65" s="528">
        <f>(Ethiopia!M64+Rwanda!M64+Seychelles!M64+Sudan!M64+Uganda!M64+Tanzania!M64)/6</f>
        <v>0.99716828478964403</v>
      </c>
      <c r="G65" s="1432"/>
    </row>
    <row r="66" spans="1:15" ht="22.5" customHeight="1" x14ac:dyDescent="0.45">
      <c r="A66" s="1317"/>
      <c r="B66" s="1329"/>
      <c r="C66" s="1332"/>
      <c r="D66" s="72" t="s">
        <v>53</v>
      </c>
      <c r="E66" s="321" t="s">
        <v>95</v>
      </c>
      <c r="F66" s="528">
        <f>(Ethiopia!M65+Rwanda!M65+Seychelles!M65+Sudan!M65+Uganda!M65+Tanzania!M65)/6</f>
        <v>0.66383495145631066</v>
      </c>
      <c r="G66" s="1432"/>
    </row>
    <row r="67" spans="1:15" ht="27.6" customHeight="1" thickBot="1" x14ac:dyDescent="0.5">
      <c r="A67" s="1317"/>
      <c r="B67" s="1330"/>
      <c r="C67" s="1333"/>
      <c r="D67" s="73" t="s">
        <v>54</v>
      </c>
      <c r="E67" s="326" t="s">
        <v>95</v>
      </c>
      <c r="F67" s="529">
        <f>(Ethiopia!M66+Rwanda!M66+Seychelles!M66+Sudan!M66+Uganda!M66+Tanzania!M66)/6</f>
        <v>0.1388888888888889</v>
      </c>
      <c r="G67" s="1433"/>
    </row>
    <row r="68" spans="1:15" ht="27" customHeight="1" thickBot="1" x14ac:dyDescent="0.5">
      <c r="B68" s="1325" t="s">
        <v>55</v>
      </c>
      <c r="C68" s="1326"/>
      <c r="D68" s="1327"/>
      <c r="E68" s="53"/>
      <c r="F68" s="551"/>
      <c r="G68" s="554">
        <f>(Ethiopia!P67+Rwanda!P67+Seychelles!P67+Sudan!P67+Uganda!P67+Tanzania!P67)/6</f>
        <v>0.16666666666666666</v>
      </c>
    </row>
    <row r="69" spans="1:15" ht="70.150000000000006" thickBot="1" x14ac:dyDescent="0.5">
      <c r="A69" s="21">
        <v>17</v>
      </c>
      <c r="B69" s="74" t="s">
        <v>56</v>
      </c>
      <c r="C69" s="74" t="s">
        <v>137</v>
      </c>
      <c r="D69" s="74" t="s">
        <v>57</v>
      </c>
      <c r="E69" s="91" t="s">
        <v>132</v>
      </c>
      <c r="F69" s="529">
        <f>(Ethiopia!M68+Rwanda!M68+Seychelles!M68+Sudan!M68+Uganda!M68+Tanzania!M68)/6</f>
        <v>0.15143999791058613</v>
      </c>
      <c r="G69" s="553">
        <f>(Ethiopia!P68+Rwanda!P68+Seychelles!P68+Sudan!P68+Uganda!P68+Tanzania!P68)/6</f>
        <v>0.16666666666666666</v>
      </c>
    </row>
    <row r="70" spans="1:15" ht="22.25" customHeight="1" thickBot="1" x14ac:dyDescent="0.5">
      <c r="B70" s="1362" t="s">
        <v>58</v>
      </c>
      <c r="C70" s="1363"/>
      <c r="D70" s="1364"/>
      <c r="E70" s="47"/>
      <c r="F70" s="47"/>
      <c r="G70" s="553">
        <f>(Ethiopia!P69+Rwanda!P69+Seychelles!P69+Sudan!P69+Uganda!P69+Tanzania!P69)/6</f>
        <v>0.57969157161775386</v>
      </c>
    </row>
    <row r="71" spans="1:15" ht="20.45" customHeight="1" thickBot="1" x14ac:dyDescent="0.5">
      <c r="B71" s="1340" t="s">
        <v>59</v>
      </c>
      <c r="C71" s="1341"/>
      <c r="D71" s="1342"/>
      <c r="E71" s="41"/>
      <c r="F71" s="41"/>
      <c r="G71" s="553">
        <f>(Ethiopia!P70+Rwanda!P70+Seychelles!P70+Sudan!P70+Uganda!P70+Tanzania!P70)/6</f>
        <v>0.40574138151992822</v>
      </c>
    </row>
    <row r="72" spans="1:15" ht="52.25" customHeight="1" thickBot="1" x14ac:dyDescent="0.5">
      <c r="A72" s="21">
        <v>18</v>
      </c>
      <c r="B72" s="76" t="s">
        <v>60</v>
      </c>
      <c r="C72" s="77" t="s">
        <v>138</v>
      </c>
      <c r="D72" s="119" t="s">
        <v>61</v>
      </c>
      <c r="E72" s="327" t="s">
        <v>183</v>
      </c>
      <c r="F72" s="529">
        <f>(Ethiopia!M71+Rwanda!M71+Seychelles!M71+Sudan!M71+Uganda!M71+Tanzania!M71)/6</f>
        <v>0.40574138151992822</v>
      </c>
      <c r="G72" s="553">
        <f>(Ethiopia!P71+Rwanda!P71+Seychelles!P71+Sudan!P71+Uganda!P71+Tanzania!P71)/6</f>
        <v>0.40574138151992822</v>
      </c>
    </row>
    <row r="73" spans="1:15" ht="20.45" customHeight="1" thickBot="1" x14ac:dyDescent="0.5">
      <c r="B73" s="1365" t="s">
        <v>277</v>
      </c>
      <c r="C73" s="1366"/>
      <c r="D73" s="1367"/>
      <c r="E73" s="43"/>
      <c r="F73" s="43"/>
      <c r="G73" s="553">
        <f>(Ethiopia!P72+Rwanda!P72+Seychelles!P72+Sudan!P72+Uganda!P72+Tanzania!P72)/6</f>
        <v>0.5</v>
      </c>
    </row>
    <row r="74" spans="1:15" ht="45" customHeight="1" thickBot="1" x14ac:dyDescent="0.5">
      <c r="A74" s="21">
        <v>19</v>
      </c>
      <c r="B74" s="78" t="s">
        <v>62</v>
      </c>
      <c r="C74" s="79" t="s">
        <v>139</v>
      </c>
      <c r="D74" s="120" t="s">
        <v>63</v>
      </c>
      <c r="E74" s="328" t="s">
        <v>95</v>
      </c>
      <c r="F74" s="529">
        <f>(Ethiopia!M73+Rwanda!M73+Seychelles!M73+Sudan!M73+Uganda!M73+Tanzania!M73)/6</f>
        <v>0.50709219858156029</v>
      </c>
      <c r="G74" s="553">
        <f>(Ethiopia!P73+Rwanda!P73+Seychelles!P73+Sudan!P73+Uganda!P73+Tanzania!P73)/6</f>
        <v>0.5</v>
      </c>
    </row>
    <row r="75" spans="1:15" ht="30.6" customHeight="1" thickBot="1" x14ac:dyDescent="0.5">
      <c r="B75" s="1340" t="s">
        <v>64</v>
      </c>
      <c r="C75" s="1341"/>
      <c r="D75" s="1342"/>
      <c r="E75" s="41"/>
      <c r="F75" s="41"/>
      <c r="G75" s="553">
        <f>(Ethiopia!P74+Rwanda!P74+Seychelles!P74+Sudan!P74+Uganda!P74+Tanzania!P74)/6</f>
        <v>0.83333333333333337</v>
      </c>
      <c r="I75" s="436"/>
      <c r="J75" s="436"/>
      <c r="K75" s="436"/>
      <c r="L75" s="436"/>
      <c r="M75" s="436"/>
      <c r="N75" s="436"/>
      <c r="O75" s="436"/>
    </row>
    <row r="76" spans="1:15" ht="29.45" customHeight="1" thickBot="1" x14ac:dyDescent="0.5">
      <c r="A76" s="21">
        <v>20</v>
      </c>
      <c r="B76" s="78" t="s">
        <v>65</v>
      </c>
      <c r="C76" s="77" t="s">
        <v>140</v>
      </c>
      <c r="D76" s="79" t="s">
        <v>66</v>
      </c>
      <c r="E76" s="329" t="s">
        <v>95</v>
      </c>
      <c r="F76" s="529">
        <f>(Ethiopia!M75+Rwanda!M75+Seychelles!M75+Sudan!M75+Uganda!M75+Tanzania!M75)/6</f>
        <v>0.83333333333333337</v>
      </c>
      <c r="G76" s="553">
        <f>(Ethiopia!P75+Rwanda!P75+Seychelles!P75+Sudan!P75+Uganda!P75+Tanzania!P75)/6</f>
        <v>0.83333333333333337</v>
      </c>
      <c r="I76" s="436"/>
      <c r="J76" s="436"/>
      <c r="K76" s="436"/>
      <c r="L76" s="436"/>
      <c r="M76" s="436"/>
      <c r="N76" s="436"/>
      <c r="O76" s="436"/>
    </row>
    <row r="77" spans="1:15" ht="20.45" customHeight="1" thickBot="1" x14ac:dyDescent="0.5">
      <c r="B77" s="1356" t="s">
        <v>67</v>
      </c>
      <c r="C77" s="1357"/>
      <c r="D77" s="1358"/>
      <c r="E77" s="48"/>
      <c r="F77" s="48"/>
      <c r="G77" s="553">
        <f>(Ethiopia!P76+Rwanda!P76+Seychelles!P76+Sudan!P76+Uganda!P76+Tanzania!P76)/6</f>
        <v>0.28325223033252228</v>
      </c>
    </row>
    <row r="78" spans="1:15" ht="20.45" customHeight="1" thickBot="1" x14ac:dyDescent="0.5">
      <c r="B78" s="1340" t="s">
        <v>68</v>
      </c>
      <c r="C78" s="1341"/>
      <c r="D78" s="1342"/>
      <c r="E78" s="41"/>
      <c r="F78" s="41"/>
      <c r="G78" s="553">
        <f>(Ethiopia!P77+Rwanda!P77+Seychelles!P77+Sudan!P77+Uganda!P77+Tanzania!P77)/6</f>
        <v>0.28325223033252228</v>
      </c>
    </row>
    <row r="79" spans="1:15" ht="35.25" thickBot="1" x14ac:dyDescent="0.5">
      <c r="A79" s="21">
        <v>21</v>
      </c>
      <c r="B79" s="78" t="s">
        <v>69</v>
      </c>
      <c r="C79" s="81" t="s">
        <v>141</v>
      </c>
      <c r="D79" s="81" t="s">
        <v>70</v>
      </c>
      <c r="E79" s="330" t="s">
        <v>95</v>
      </c>
      <c r="F79" s="529">
        <f>(Ethiopia!M78+Rwanda!M78+Seychelles!M78+Sudan!M78+Uganda!M78+Tanzania!M78)/6</f>
        <v>0.39436334144363339</v>
      </c>
      <c r="G79" s="553">
        <f>(Ethiopia!P78+Rwanda!P78+Seychelles!P78+Sudan!P78+Uganda!P78+Tanzania!P78)/6</f>
        <v>0.28325223033252228</v>
      </c>
    </row>
    <row r="80" spans="1:15" ht="21.6" customHeight="1" thickBot="1" x14ac:dyDescent="0.5">
      <c r="B80" s="1349" t="s">
        <v>71</v>
      </c>
      <c r="C80" s="1350"/>
      <c r="D80" s="1351"/>
      <c r="E80" s="48"/>
      <c r="F80" s="48"/>
      <c r="G80" s="553">
        <f>(Ethiopia!P79+Rwanda!P79+Seychelles!P79+Sudan!P79+Uganda!P79+Tanzania!P79)/6</f>
        <v>0.49232230190803566</v>
      </c>
    </row>
    <row r="81" spans="1:9" ht="20.45" customHeight="1" thickBot="1" x14ac:dyDescent="0.5">
      <c r="B81" s="1325" t="s">
        <v>72</v>
      </c>
      <c r="C81" s="1326"/>
      <c r="D81" s="1327"/>
      <c r="E81" s="331"/>
      <c r="F81" s="331"/>
      <c r="G81" s="553">
        <f>(Ethiopia!P80+Rwanda!P80+Seychelles!P80+Sudan!P80+Uganda!P80+Tanzania!P80)/6</f>
        <v>0.63119290285753105</v>
      </c>
      <c r="I81" s="436"/>
    </row>
    <row r="82" spans="1:9" ht="58.15" x14ac:dyDescent="0.45">
      <c r="A82" s="396"/>
      <c r="B82" s="1352" t="s">
        <v>73</v>
      </c>
      <c r="C82" s="399" t="s">
        <v>267</v>
      </c>
      <c r="D82" s="69" t="s">
        <v>278</v>
      </c>
      <c r="E82" s="332" t="s">
        <v>279</v>
      </c>
      <c r="F82" s="527">
        <f>(Ethiopia!M81+Rwanda!M81+Seychelles!M81+Sudan!M81+Uganda!M81+Tanzania!M81)/6</f>
        <v>0.73729071537290736</v>
      </c>
      <c r="G82" s="1424">
        <f>(Ethiopia!P81+Rwanda!P81+Seychelles!P81+Sudan!P81+Uganda!P81+Tanzania!P81)/6</f>
        <v>0.614052472381729</v>
      </c>
      <c r="I82" s="436"/>
    </row>
    <row r="83" spans="1:9" ht="39.6" customHeight="1" thickBot="1" x14ac:dyDescent="0.5">
      <c r="A83" s="396"/>
      <c r="B83" s="1353"/>
      <c r="C83" s="400" t="s">
        <v>268</v>
      </c>
      <c r="D83" s="94" t="s">
        <v>74</v>
      </c>
      <c r="E83" s="333" t="s">
        <v>282</v>
      </c>
      <c r="F83" s="552">
        <f>(Ethiopia!M82+Rwanda!M82+Seychelles!M82+Sudan!M82+Uganda!M82+Tanzania!M82)/6</f>
        <v>1.1025396825396825</v>
      </c>
      <c r="G83" s="1425"/>
      <c r="I83" s="436"/>
    </row>
    <row r="84" spans="1:9" ht="60" customHeight="1" x14ac:dyDescent="0.45">
      <c r="A84" s="396"/>
      <c r="B84" s="1334" t="s">
        <v>142</v>
      </c>
      <c r="C84" s="349" t="s">
        <v>145</v>
      </c>
      <c r="D84" s="399" t="s">
        <v>143</v>
      </c>
      <c r="E84" s="334" t="s">
        <v>184</v>
      </c>
      <c r="F84" s="527">
        <f>(Ethiopia!M83+Rwanda!M83+Seychelles!M83+Sudan!M83+Uganda!M83+Tanzania!M83)/6</f>
        <v>1.6470274504908506</v>
      </c>
      <c r="G84" s="1426">
        <f>(Ethiopia!P83+Rwanda!P83+Seychelles!P83+Sudan!P83+Uganda!P83+Tanzania!P83)/6</f>
        <v>0.64833333333333332</v>
      </c>
    </row>
    <row r="85" spans="1:9" ht="45" customHeight="1" x14ac:dyDescent="0.45">
      <c r="A85" s="396"/>
      <c r="B85" s="1335"/>
      <c r="C85" s="82" t="s">
        <v>146</v>
      </c>
      <c r="D85" s="93" t="s">
        <v>283</v>
      </c>
      <c r="E85" s="335" t="s">
        <v>185</v>
      </c>
      <c r="F85" s="528">
        <f>(Ethiopia!M84+Rwanda!M84+Seychelles!M84+Sudan!M84+Uganda!M84+Tanzania!M84)/6</f>
        <v>0.83590733590733579</v>
      </c>
      <c r="G85" s="1427"/>
    </row>
    <row r="86" spans="1:9" ht="38.450000000000003" customHeight="1" thickBot="1" x14ac:dyDescent="0.5">
      <c r="A86" s="396"/>
      <c r="B86" s="1336"/>
      <c r="C86" s="83" t="s">
        <v>147</v>
      </c>
      <c r="D86" s="94" t="s">
        <v>144</v>
      </c>
      <c r="E86" s="336" t="s">
        <v>284</v>
      </c>
      <c r="F86" s="529">
        <f>(Ethiopia!M85+Rwanda!M85+Seychelles!M85+Sudan!M85+Uganda!M85+Tanzania!M85)/6</f>
        <v>0.53767009779914099</v>
      </c>
      <c r="G86" s="1428"/>
    </row>
    <row r="87" spans="1:9" ht="20.45" customHeight="1" thickBot="1" x14ac:dyDescent="0.5">
      <c r="B87" s="1340" t="s">
        <v>75</v>
      </c>
      <c r="C87" s="1341"/>
      <c r="D87" s="1342"/>
      <c r="E87" s="42"/>
      <c r="F87" s="40"/>
      <c r="G87" s="553">
        <f>(Ethiopia!P86+Rwanda!P86+Seychelles!P86+Sudan!P86+Uganda!P86+Tanzania!P86)/6</f>
        <v>0.21458110000904473</v>
      </c>
    </row>
    <row r="88" spans="1:9" ht="27.6" customHeight="1" x14ac:dyDescent="0.45">
      <c r="A88" s="1317">
        <v>24</v>
      </c>
      <c r="B88" s="1343" t="s">
        <v>76</v>
      </c>
      <c r="C88" s="88" t="s">
        <v>159</v>
      </c>
      <c r="D88" s="57" t="s">
        <v>285</v>
      </c>
      <c r="E88" s="350" t="s">
        <v>186</v>
      </c>
      <c r="F88" s="527">
        <f>(Ethiopia!M87+Rwanda!M87+Seychelles!M87+Sudan!M87+Uganda!M87+Tanzania!M87)/6</f>
        <v>-5.31934427647204</v>
      </c>
      <c r="G88" s="1426">
        <f>(Ethiopia!P87+Rwanda!P87+Seychelles!P87+Sudan!P87+Uganda!P87+Tanzania!P87)/6</f>
        <v>0.21458110000904473</v>
      </c>
    </row>
    <row r="89" spans="1:9" ht="25.8" customHeight="1" x14ac:dyDescent="0.45">
      <c r="A89" s="1317"/>
      <c r="B89" s="1344"/>
      <c r="C89" s="1348" t="s">
        <v>160</v>
      </c>
      <c r="D89" s="59" t="s">
        <v>77</v>
      </c>
      <c r="E89" s="337" t="s">
        <v>187</v>
      </c>
      <c r="F89" s="528">
        <f>(Ethiopia!M88+Rwanda!M88+Seychelles!M88+Sudan!M88+Uganda!M88+Tanzania!M88)/6</f>
        <v>0.21459341916914917</v>
      </c>
      <c r="G89" s="1429"/>
    </row>
    <row r="90" spans="1:9" ht="25.25" customHeight="1" x14ac:dyDescent="0.45">
      <c r="A90" s="1317"/>
      <c r="B90" s="1344"/>
      <c r="C90" s="1348"/>
      <c r="D90" s="59" t="s">
        <v>78</v>
      </c>
      <c r="E90" s="337" t="s">
        <v>188</v>
      </c>
      <c r="F90" s="528">
        <f>(Ethiopia!M89+Rwanda!M89+Seychelles!M89+Sudan!M89+Uganda!M89+Tanzania!M89)/6</f>
        <v>0.35110294117647062</v>
      </c>
      <c r="G90" s="1429"/>
    </row>
    <row r="91" spans="1:9" ht="26.45" customHeight="1" x14ac:dyDescent="0.45">
      <c r="A91" s="1317"/>
      <c r="B91" s="1344"/>
      <c r="C91" s="1348"/>
      <c r="D91" s="59" t="s">
        <v>79</v>
      </c>
      <c r="E91" s="338" t="s">
        <v>189</v>
      </c>
      <c r="F91" s="528">
        <f>(Ethiopia!M90+Rwanda!M90+Seychelles!M90+Sudan!M90+Uganda!M90+Tanzania!M90)/6</f>
        <v>-8.9120370370370364E-2</v>
      </c>
      <c r="G91" s="1429"/>
    </row>
    <row r="92" spans="1:9" ht="40.799999999999997" customHeight="1" thickBot="1" x14ac:dyDescent="0.5">
      <c r="A92" s="1317"/>
      <c r="B92" s="1345"/>
      <c r="C92" s="84" t="s">
        <v>161</v>
      </c>
      <c r="D92" s="85" t="s">
        <v>80</v>
      </c>
      <c r="E92" s="339" t="s">
        <v>95</v>
      </c>
      <c r="F92" s="529">
        <f>(Ethiopia!M91+Rwanda!M91+Seychelles!M91+Sudan!M91+Uganda!M91+Tanzania!M91)/6</f>
        <v>0.83829365079365081</v>
      </c>
      <c r="G92" s="1430"/>
    </row>
    <row r="93" spans="1:9" ht="26.65" customHeight="1" thickBot="1" x14ac:dyDescent="0.5">
      <c r="B93" s="1322" t="s">
        <v>81</v>
      </c>
      <c r="C93" s="1323"/>
      <c r="D93" s="1324"/>
      <c r="E93" s="45"/>
      <c r="F93" s="45"/>
      <c r="G93" s="553">
        <f>(Ethiopia!P92+Rwanda!P92+Seychelles!P92+Sudan!P92+Uganda!P92+Tanzania!P92)/6</f>
        <v>0.42770125962740896</v>
      </c>
    </row>
    <row r="94" spans="1:9" ht="20.45" customHeight="1" thickBot="1" x14ac:dyDescent="0.5">
      <c r="B94" s="1325" t="s">
        <v>82</v>
      </c>
      <c r="C94" s="1326"/>
      <c r="D94" s="1327"/>
      <c r="E94" s="49"/>
      <c r="F94" s="49"/>
      <c r="G94" s="553">
        <f>(Ethiopia!P93+Rwanda!P93+Seychelles!P93+Sudan!P93+Uganda!P93+Tanzania!P93)/6</f>
        <v>0.62725504857011372</v>
      </c>
    </row>
    <row r="95" spans="1:9" ht="34.799999999999997" customHeight="1" x14ac:dyDescent="0.45">
      <c r="A95" s="1317">
        <v>25</v>
      </c>
      <c r="B95" s="1328" t="s">
        <v>83</v>
      </c>
      <c r="C95" s="1331" t="s">
        <v>214</v>
      </c>
      <c r="D95" s="399" t="s">
        <v>269</v>
      </c>
      <c r="E95" s="340" t="s">
        <v>190</v>
      </c>
      <c r="F95" s="527">
        <f>(Ethiopia!M94+Rwanda!M94+Seychelles!M94+Sudan!M94+Uganda!M94+Tanzania!M94)/6</f>
        <v>0.83050161812297729</v>
      </c>
      <c r="G95" s="1426">
        <f>(Ethiopia!P94+Rwanda!P94+Seychelles!P94+Sudan!P94+Uganda!P94+Tanzania!P94)/6</f>
        <v>0.62725504857011372</v>
      </c>
    </row>
    <row r="96" spans="1:9" ht="39.6" customHeight="1" x14ac:dyDescent="0.45">
      <c r="A96" s="1317"/>
      <c r="B96" s="1329"/>
      <c r="C96" s="1332"/>
      <c r="D96" s="93" t="s">
        <v>270</v>
      </c>
      <c r="E96" s="341" t="s">
        <v>191</v>
      </c>
      <c r="F96" s="528">
        <f>(Ethiopia!M95+Rwanda!M95+Seychelles!M95+Sudan!M95+Uganda!M95+Tanzania!M95)/6</f>
        <v>0.77743181237700787</v>
      </c>
      <c r="G96" s="1427"/>
    </row>
    <row r="97" spans="1:7" ht="41.45" customHeight="1" thickBot="1" x14ac:dyDescent="0.5">
      <c r="A97" s="1317"/>
      <c r="B97" s="1330"/>
      <c r="C97" s="1333"/>
      <c r="D97" s="400" t="s">
        <v>84</v>
      </c>
      <c r="E97" s="342" t="s">
        <v>95</v>
      </c>
      <c r="F97" s="529">
        <f>(Ethiopia!M96+Rwanda!M96+Seychelles!M96+Sudan!M96+Uganda!M96+Tanzania!M96)/6</f>
        <v>0.66666666666666663</v>
      </c>
      <c r="G97" s="1428"/>
    </row>
    <row r="98" spans="1:7" ht="18" customHeight="1" thickBot="1" x14ac:dyDescent="0.5">
      <c r="B98" s="1314" t="s">
        <v>85</v>
      </c>
      <c r="C98" s="1315"/>
      <c r="D98" s="1316"/>
      <c r="E98" s="153"/>
      <c r="F98" s="474"/>
      <c r="G98" s="553">
        <f>(Ethiopia!P97+Rwanda!P97+Seychelles!P97+Sudan!P97+Uganda!P97+Tanzania!P97)/6</f>
        <v>0.36118332997984076</v>
      </c>
    </row>
    <row r="99" spans="1:7" ht="29.45" customHeight="1" thickBot="1" x14ac:dyDescent="0.5">
      <c r="A99" s="396">
        <v>26</v>
      </c>
      <c r="B99" s="86" t="s">
        <v>86</v>
      </c>
      <c r="C99" s="86" t="s">
        <v>215</v>
      </c>
      <c r="D99" s="87" t="s">
        <v>291</v>
      </c>
      <c r="E99" s="343" t="s">
        <v>95</v>
      </c>
      <c r="F99" s="131">
        <f>(Ethiopia!M98+Rwanda!M98+Seychelles!M98+Sudan!M98+Uganda!M98+Tanzania!M98)/6</f>
        <v>0.96666666666666667</v>
      </c>
      <c r="G99" s="554">
        <f>(Ethiopia!P98+Rwanda!P98+Seychelles!P98+Sudan!P98+Uganda!P98+Tanzania!P98)/6</f>
        <v>0.25</v>
      </c>
    </row>
    <row r="100" spans="1:7" ht="35.25" thickBot="1" x14ac:dyDescent="0.5">
      <c r="A100" s="396">
        <v>27</v>
      </c>
      <c r="B100" s="86" t="s">
        <v>87</v>
      </c>
      <c r="C100" s="86" t="s">
        <v>216</v>
      </c>
      <c r="D100" s="87" t="s">
        <v>271</v>
      </c>
      <c r="E100" s="343" t="s">
        <v>192</v>
      </c>
      <c r="F100" s="532">
        <f>(Ethiopia!M99+Rwanda!M99+Seychelles!M99+Sudan!M99+Uganda!M99+Tanzania!M99)/6</f>
        <v>2.582453697428393E-2</v>
      </c>
      <c r="G100" s="554">
        <f>(Ethiopia!P99+Rwanda!P99+Seychelles!P99+Sudan!P99+Uganda!P99+Tanzania!P99)/6</f>
        <v>3.6821136605412252E-2</v>
      </c>
    </row>
    <row r="101" spans="1:7" ht="30.4" x14ac:dyDescent="0.45">
      <c r="A101" s="1317">
        <v>28</v>
      </c>
      <c r="B101" s="1318" t="s">
        <v>88</v>
      </c>
      <c r="C101" s="1318" t="s">
        <v>217</v>
      </c>
      <c r="D101" s="69" t="s">
        <v>89</v>
      </c>
      <c r="E101" s="344" t="s">
        <v>193</v>
      </c>
      <c r="F101" s="527">
        <f>(Ethiopia!M100+Rwanda!M100+Seychelles!M100+Sudan!M100+Uganda!M100+Tanzania!M100)/6</f>
        <v>1.4994480000000001</v>
      </c>
      <c r="G101" s="1424">
        <f>(Ethiopia!P100+Rwanda!P100+Seychelles!P100+Sudan!P100+Uganda!P100+Tanzania!P100)/6</f>
        <v>0.79672885333410992</v>
      </c>
    </row>
    <row r="102" spans="1:7" ht="38.450000000000003" customHeight="1" thickBot="1" x14ac:dyDescent="0.5">
      <c r="A102" s="1317"/>
      <c r="B102" s="1319"/>
      <c r="C102" s="1319"/>
      <c r="D102" s="400" t="s">
        <v>90</v>
      </c>
      <c r="E102" s="345" t="s">
        <v>95</v>
      </c>
      <c r="F102" s="529">
        <f>(Ethiopia!M101+Rwanda!M101+Seychelles!M101+Sudan!M101+Uganda!M101+Tanzania!M101)/6</f>
        <v>0.54917300862506346</v>
      </c>
      <c r="G102" s="1425"/>
    </row>
    <row r="104" spans="1:7" ht="15.75" x14ac:dyDescent="0.5">
      <c r="B104" s="26"/>
    </row>
    <row r="107" spans="1:7" ht="15.75" x14ac:dyDescent="0.5">
      <c r="B107" s="26"/>
    </row>
    <row r="108" spans="1:7" x14ac:dyDescent="0.45">
      <c r="B108" s="27"/>
    </row>
  </sheetData>
  <mergeCells count="85">
    <mergeCell ref="B93:D93"/>
    <mergeCell ref="A101:A102"/>
    <mergeCell ref="B101:B102"/>
    <mergeCell ref="C101:C102"/>
    <mergeCell ref="G101:G102"/>
    <mergeCell ref="B94:D94"/>
    <mergeCell ref="A95:A97"/>
    <mergeCell ref="B95:B97"/>
    <mergeCell ref="C95:C97"/>
    <mergeCell ref="G95:G97"/>
    <mergeCell ref="B98:D98"/>
    <mergeCell ref="A88:A92"/>
    <mergeCell ref="B88:B92"/>
    <mergeCell ref="G88:G92"/>
    <mergeCell ref="C89:C91"/>
    <mergeCell ref="B87:D87"/>
    <mergeCell ref="G54:G59"/>
    <mergeCell ref="C58:C59"/>
    <mergeCell ref="B78:D78"/>
    <mergeCell ref="B61:D61"/>
    <mergeCell ref="B70:D70"/>
    <mergeCell ref="B71:D71"/>
    <mergeCell ref="B73:D73"/>
    <mergeCell ref="B75:D75"/>
    <mergeCell ref="B77:D77"/>
    <mergeCell ref="B60:D60"/>
    <mergeCell ref="B80:D80"/>
    <mergeCell ref="B81:D81"/>
    <mergeCell ref="B82:B83"/>
    <mergeCell ref="G82:G83"/>
    <mergeCell ref="B84:B86"/>
    <mergeCell ref="G84:G86"/>
    <mergeCell ref="A62:A67"/>
    <mergeCell ref="B62:B67"/>
    <mergeCell ref="G62:G67"/>
    <mergeCell ref="C65:C67"/>
    <mergeCell ref="B68:D68"/>
    <mergeCell ref="A54:A59"/>
    <mergeCell ref="B54:B59"/>
    <mergeCell ref="G49:G50"/>
    <mergeCell ref="B51:D51"/>
    <mergeCell ref="A42:A43"/>
    <mergeCell ref="B42:B43"/>
    <mergeCell ref="G42:G43"/>
    <mergeCell ref="B44:D44"/>
    <mergeCell ref="A45:A46"/>
    <mergeCell ref="B45:B46"/>
    <mergeCell ref="G45:G46"/>
    <mergeCell ref="B47:D47"/>
    <mergeCell ref="B48:D48"/>
    <mergeCell ref="A49:A50"/>
    <mergeCell ref="B49:B50"/>
    <mergeCell ref="B53:D53"/>
    <mergeCell ref="B41:D41"/>
    <mergeCell ref="B24:D24"/>
    <mergeCell ref="A25:A28"/>
    <mergeCell ref="B25:B32"/>
    <mergeCell ref="G25:G32"/>
    <mergeCell ref="C26:C28"/>
    <mergeCell ref="C29:C31"/>
    <mergeCell ref="B33:D33"/>
    <mergeCell ref="B38:D38"/>
    <mergeCell ref="A39:A40"/>
    <mergeCell ref="B39:B40"/>
    <mergeCell ref="G39:G40"/>
    <mergeCell ref="A20:A23"/>
    <mergeCell ref="B20:B23"/>
    <mergeCell ref="G20:G23"/>
    <mergeCell ref="A12:A13"/>
    <mergeCell ref="B12:B13"/>
    <mergeCell ref="G12:G13"/>
    <mergeCell ref="A14:A15"/>
    <mergeCell ref="B14:B15"/>
    <mergeCell ref="G14:G15"/>
    <mergeCell ref="A16:A18"/>
    <mergeCell ref="B16:B18"/>
    <mergeCell ref="C16:C18"/>
    <mergeCell ref="G16:G18"/>
    <mergeCell ref="B19:D19"/>
    <mergeCell ref="B11:D11"/>
    <mergeCell ref="B2:G2"/>
    <mergeCell ref="C4:D4"/>
    <mergeCell ref="B5:D5"/>
    <mergeCell ref="B8:D8"/>
    <mergeCell ref="B10:D10"/>
  </mergeCells>
  <conditionalFormatting sqref="G20:G23 G54 G12:G15 G39:G40">
    <cfRule type="colorScale" priority="687">
      <colorScale>
        <cfvo type="num" val="0"/>
        <cfvo type="num" val="0.6"/>
        <cfvo type="num" val="1"/>
        <color rgb="FFFF0000"/>
        <color rgb="FFFFFF00"/>
        <color rgb="FF92FB4B"/>
      </colorScale>
    </cfRule>
  </conditionalFormatting>
  <conditionalFormatting sqref="G16:G18">
    <cfRule type="colorScale" priority="686">
      <colorScale>
        <cfvo type="num" val="0"/>
        <cfvo type="num" val="0.6"/>
        <cfvo type="num" val="1"/>
        <color rgb="FFFF0000"/>
        <color rgb="FFFFFF00"/>
        <color rgb="FF92FB4B"/>
      </colorScale>
    </cfRule>
  </conditionalFormatting>
  <conditionalFormatting sqref="G25:G28">
    <cfRule type="colorScale" priority="685">
      <colorScale>
        <cfvo type="num" val="0"/>
        <cfvo type="num" val="0.6"/>
        <cfvo type="num" val="1"/>
        <color rgb="FFFF0000"/>
        <color rgb="FFFFFF00"/>
        <color rgb="FF92FB4B"/>
      </colorScale>
    </cfRule>
  </conditionalFormatting>
  <conditionalFormatting sqref="G88">
    <cfRule type="colorScale" priority="674">
      <colorScale>
        <cfvo type="num" val="0"/>
        <cfvo type="num" val="0.6"/>
        <cfvo type="num" val="1"/>
        <color rgb="FFFF0000"/>
        <color rgb="FFFFFF00"/>
        <color rgb="FF92FB4B"/>
      </colorScale>
    </cfRule>
  </conditionalFormatting>
  <conditionalFormatting sqref="G4">
    <cfRule type="colorScale" priority="647">
      <colorScale>
        <cfvo type="num" val="0"/>
        <cfvo type="num" val="0.6"/>
        <cfvo type="num" val="1"/>
        <color rgb="FFFF0000"/>
        <color rgb="FFFFFF00"/>
        <color rgb="FF92FB4B"/>
      </colorScale>
    </cfRule>
  </conditionalFormatting>
  <conditionalFormatting sqref="G6">
    <cfRule type="colorScale" priority="639">
      <colorScale>
        <cfvo type="num" val="0"/>
        <cfvo type="num" val="0.6"/>
        <cfvo type="num" val="1"/>
        <color rgb="FFFF0000"/>
        <color rgb="FFFFFF00"/>
        <color rgb="FF92FB4B"/>
      </colorScale>
    </cfRule>
  </conditionalFormatting>
  <conditionalFormatting sqref="F12:F18">
    <cfRule type="colorScale" priority="638">
      <colorScale>
        <cfvo type="num" val="0"/>
        <cfvo type="num" val="0.6"/>
        <cfvo type="num" val="1"/>
        <color rgb="FFFF0000"/>
        <color rgb="FFFFFF00"/>
        <color rgb="FF92FB4B"/>
      </colorScale>
    </cfRule>
  </conditionalFormatting>
  <conditionalFormatting sqref="G10">
    <cfRule type="colorScale" priority="419">
      <colorScale>
        <cfvo type="num" val="0"/>
        <cfvo type="num" val="0.6"/>
        <cfvo type="num" val="1"/>
        <color rgb="FFFF0000"/>
        <color rgb="FFFFFF00"/>
        <color rgb="FF92FB4B"/>
      </colorScale>
    </cfRule>
  </conditionalFormatting>
  <conditionalFormatting sqref="G11">
    <cfRule type="colorScale" priority="108">
      <colorScale>
        <cfvo type="num" val="0"/>
        <cfvo type="num" val="0.6"/>
        <cfvo type="num" val="1"/>
        <color rgb="FFFF0000"/>
        <color rgb="FFFFFF00"/>
        <color rgb="FF92FB4B"/>
      </colorScale>
    </cfRule>
  </conditionalFormatting>
  <conditionalFormatting sqref="G19">
    <cfRule type="colorScale" priority="107">
      <colorScale>
        <cfvo type="num" val="0"/>
        <cfvo type="num" val="0.6"/>
        <cfvo type="num" val="1"/>
        <color rgb="FFFF0000"/>
        <color rgb="FFFFFF00"/>
        <color rgb="FF92FB4B"/>
      </colorScale>
    </cfRule>
  </conditionalFormatting>
  <conditionalFormatting sqref="G24">
    <cfRule type="colorScale" priority="106">
      <colorScale>
        <cfvo type="num" val="0"/>
        <cfvo type="num" val="0.6"/>
        <cfvo type="num" val="1"/>
        <color rgb="FFFF0000"/>
        <color rgb="FFFFFF00"/>
        <color rgb="FF92FB4B"/>
      </colorScale>
    </cfRule>
  </conditionalFormatting>
  <conditionalFormatting sqref="G33">
    <cfRule type="colorScale" priority="105">
      <colorScale>
        <cfvo type="num" val="0"/>
        <cfvo type="num" val="0.6"/>
        <cfvo type="num" val="1"/>
        <color rgb="FFFF0000"/>
        <color rgb="FFFFFF00"/>
        <color rgb="FF92FB4B"/>
      </colorScale>
    </cfRule>
  </conditionalFormatting>
  <conditionalFormatting sqref="G34">
    <cfRule type="colorScale" priority="104">
      <colorScale>
        <cfvo type="num" val="0"/>
        <cfvo type="num" val="0.6"/>
        <cfvo type="num" val="1"/>
        <color rgb="FFFF0000"/>
        <color rgb="FFFFFF00"/>
        <color rgb="FF92FB4B"/>
      </colorScale>
    </cfRule>
  </conditionalFormatting>
  <conditionalFormatting sqref="G35">
    <cfRule type="colorScale" priority="103">
      <colorScale>
        <cfvo type="num" val="0"/>
        <cfvo type="num" val="0.6"/>
        <cfvo type="num" val="1"/>
        <color rgb="FFFF0000"/>
        <color rgb="FFFFFF00"/>
        <color rgb="FF92FB4B"/>
      </colorScale>
    </cfRule>
  </conditionalFormatting>
  <conditionalFormatting sqref="G36">
    <cfRule type="colorScale" priority="102">
      <colorScale>
        <cfvo type="num" val="0"/>
        <cfvo type="num" val="0.6"/>
        <cfvo type="num" val="1"/>
        <color rgb="FFFF0000"/>
        <color rgb="FFFFFF00"/>
        <color rgb="FF92FB4B"/>
      </colorScale>
    </cfRule>
  </conditionalFormatting>
  <conditionalFormatting sqref="G37">
    <cfRule type="colorScale" priority="101">
      <colorScale>
        <cfvo type="num" val="0"/>
        <cfvo type="num" val="0.6"/>
        <cfvo type="num" val="1"/>
        <color rgb="FFFF0000"/>
        <color rgb="FFFFFF00"/>
        <color rgb="FF92FB4B"/>
      </colorScale>
    </cfRule>
  </conditionalFormatting>
  <conditionalFormatting sqref="G38">
    <cfRule type="colorScale" priority="100">
      <colorScale>
        <cfvo type="num" val="0"/>
        <cfvo type="num" val="0.6"/>
        <cfvo type="num" val="1"/>
        <color rgb="FFFF0000"/>
        <color rgb="FFFFFF00"/>
        <color rgb="FF92FB4B"/>
      </colorScale>
    </cfRule>
  </conditionalFormatting>
  <conditionalFormatting sqref="G42:G43">
    <cfRule type="colorScale" priority="99">
      <colorScale>
        <cfvo type="num" val="0"/>
        <cfvo type="num" val="0.6"/>
        <cfvo type="num" val="1"/>
        <color rgb="FFFF0000"/>
        <color rgb="FFFFFF00"/>
        <color rgb="FF92FB4B"/>
      </colorScale>
    </cfRule>
  </conditionalFormatting>
  <conditionalFormatting sqref="G45:G46">
    <cfRule type="colorScale" priority="98">
      <colorScale>
        <cfvo type="num" val="0"/>
        <cfvo type="num" val="0.6"/>
        <cfvo type="num" val="1"/>
        <color rgb="FFFF0000"/>
        <color rgb="FFFFFF00"/>
        <color rgb="FF92FB4B"/>
      </colorScale>
    </cfRule>
  </conditionalFormatting>
  <conditionalFormatting sqref="G49:G50">
    <cfRule type="colorScale" priority="97">
      <colorScale>
        <cfvo type="num" val="0"/>
        <cfvo type="num" val="0.6"/>
        <cfvo type="num" val="1"/>
        <color rgb="FFFF0000"/>
        <color rgb="FFFFFF00"/>
        <color rgb="FF92FB4B"/>
      </colorScale>
    </cfRule>
  </conditionalFormatting>
  <conditionalFormatting sqref="G41">
    <cfRule type="colorScale" priority="96">
      <colorScale>
        <cfvo type="num" val="0"/>
        <cfvo type="num" val="0.6"/>
        <cfvo type="num" val="1"/>
        <color rgb="FFFF0000"/>
        <color rgb="FFFFFF00"/>
        <color rgb="FF92FB4B"/>
      </colorScale>
    </cfRule>
  </conditionalFormatting>
  <conditionalFormatting sqref="G44">
    <cfRule type="colorScale" priority="95">
      <colorScale>
        <cfvo type="num" val="0"/>
        <cfvo type="num" val="0.6"/>
        <cfvo type="num" val="1"/>
        <color rgb="FFFF0000"/>
        <color rgb="FFFFFF00"/>
        <color rgb="FF92FB4B"/>
      </colorScale>
    </cfRule>
  </conditionalFormatting>
  <conditionalFormatting sqref="G47">
    <cfRule type="colorScale" priority="94">
      <colorScale>
        <cfvo type="num" val="0"/>
        <cfvo type="num" val="0.6"/>
        <cfvo type="num" val="1"/>
        <color rgb="FFFF0000"/>
        <color rgb="FFFFFF00"/>
        <color rgb="FF92FB4B"/>
      </colorScale>
    </cfRule>
  </conditionalFormatting>
  <conditionalFormatting sqref="G48">
    <cfRule type="colorScale" priority="93">
      <colorScale>
        <cfvo type="num" val="0"/>
        <cfvo type="num" val="0.6"/>
        <cfvo type="num" val="1"/>
        <color rgb="FFFF0000"/>
        <color rgb="FFFFFF00"/>
        <color rgb="FF92FB4B"/>
      </colorScale>
    </cfRule>
  </conditionalFormatting>
  <conditionalFormatting sqref="G51">
    <cfRule type="colorScale" priority="92">
      <colorScale>
        <cfvo type="num" val="0"/>
        <cfvo type="num" val="0.6"/>
        <cfvo type="num" val="1"/>
        <color rgb="FFFF0000"/>
        <color rgb="FFFFFF00"/>
        <color rgb="FF92FB4B"/>
      </colorScale>
    </cfRule>
  </conditionalFormatting>
  <conditionalFormatting sqref="G52">
    <cfRule type="colorScale" priority="91">
      <colorScale>
        <cfvo type="num" val="0"/>
        <cfvo type="num" val="0.6"/>
        <cfvo type="num" val="1"/>
        <color rgb="FFFF0000"/>
        <color rgb="FFFFFF00"/>
        <color rgb="FF92FB4B"/>
      </colorScale>
    </cfRule>
  </conditionalFormatting>
  <conditionalFormatting sqref="G53">
    <cfRule type="colorScale" priority="90">
      <colorScale>
        <cfvo type="num" val="0"/>
        <cfvo type="num" val="0.6"/>
        <cfvo type="num" val="1"/>
        <color rgb="FFFF0000"/>
        <color rgb="FFFFFF00"/>
        <color rgb="FF92FB4B"/>
      </colorScale>
    </cfRule>
  </conditionalFormatting>
  <conditionalFormatting sqref="G60">
    <cfRule type="colorScale" priority="89">
      <colorScale>
        <cfvo type="num" val="0"/>
        <cfvo type="num" val="0.6"/>
        <cfvo type="num" val="1"/>
        <color rgb="FFFF0000"/>
        <color rgb="FFFFFF00"/>
        <color rgb="FF92FB4B"/>
      </colorScale>
    </cfRule>
  </conditionalFormatting>
  <conditionalFormatting sqref="G61">
    <cfRule type="colorScale" priority="88">
      <colorScale>
        <cfvo type="num" val="0"/>
        <cfvo type="num" val="0.6"/>
        <cfvo type="num" val="1"/>
        <color rgb="FFFF0000"/>
        <color rgb="FFFFFF00"/>
        <color rgb="FF92FB4B"/>
      </colorScale>
    </cfRule>
  </conditionalFormatting>
  <conditionalFormatting sqref="G62">
    <cfRule type="colorScale" priority="87">
      <colorScale>
        <cfvo type="num" val="0"/>
        <cfvo type="num" val="0.6"/>
        <cfvo type="num" val="1"/>
        <color rgb="FFFF0000"/>
        <color rgb="FFFFFF00"/>
        <color rgb="FF92FB4B"/>
      </colorScale>
    </cfRule>
  </conditionalFormatting>
  <conditionalFormatting sqref="G68">
    <cfRule type="colorScale" priority="86">
      <colorScale>
        <cfvo type="num" val="0"/>
        <cfvo type="num" val="0.6"/>
        <cfvo type="num" val="1"/>
        <color rgb="FFFF0000"/>
        <color rgb="FFFFFF00"/>
        <color rgb="FF92FB4B"/>
      </colorScale>
    </cfRule>
  </conditionalFormatting>
  <conditionalFormatting sqref="G69">
    <cfRule type="colorScale" priority="85">
      <colorScale>
        <cfvo type="num" val="0"/>
        <cfvo type="num" val="0.6"/>
        <cfvo type="num" val="1"/>
        <color rgb="FFFF0000"/>
        <color rgb="FFFFFF00"/>
        <color rgb="FF92FB4B"/>
      </colorScale>
    </cfRule>
  </conditionalFormatting>
  <conditionalFormatting sqref="G70">
    <cfRule type="colorScale" priority="84">
      <colorScale>
        <cfvo type="num" val="0"/>
        <cfvo type="num" val="0.6"/>
        <cfvo type="num" val="1"/>
        <color rgb="FFFF0000"/>
        <color rgb="FFFFFF00"/>
        <color rgb="FF92FB4B"/>
      </colorScale>
    </cfRule>
  </conditionalFormatting>
  <conditionalFormatting sqref="G71">
    <cfRule type="colorScale" priority="83">
      <colorScale>
        <cfvo type="num" val="0"/>
        <cfvo type="num" val="0.6"/>
        <cfvo type="num" val="1"/>
        <color rgb="FFFF0000"/>
        <color rgb="FFFFFF00"/>
        <color rgb="FF92FB4B"/>
      </colorScale>
    </cfRule>
  </conditionalFormatting>
  <conditionalFormatting sqref="G72">
    <cfRule type="colorScale" priority="82">
      <colorScale>
        <cfvo type="num" val="0"/>
        <cfvo type="num" val="0.6"/>
        <cfvo type="num" val="1"/>
        <color rgb="FFFF0000"/>
        <color rgb="FFFFFF00"/>
        <color rgb="FF92FB4B"/>
      </colorScale>
    </cfRule>
  </conditionalFormatting>
  <conditionalFormatting sqref="G73">
    <cfRule type="colorScale" priority="81">
      <colorScale>
        <cfvo type="num" val="0"/>
        <cfvo type="num" val="0.6"/>
        <cfvo type="num" val="1"/>
        <color rgb="FFFF0000"/>
        <color rgb="FFFFFF00"/>
        <color rgb="FF92FB4B"/>
      </colorScale>
    </cfRule>
  </conditionalFormatting>
  <conditionalFormatting sqref="G74">
    <cfRule type="colorScale" priority="80">
      <colorScale>
        <cfvo type="num" val="0"/>
        <cfvo type="num" val="0.6"/>
        <cfvo type="num" val="1"/>
        <color rgb="FFFF0000"/>
        <color rgb="FFFFFF00"/>
        <color rgb="FF92FB4B"/>
      </colorScale>
    </cfRule>
  </conditionalFormatting>
  <conditionalFormatting sqref="G75">
    <cfRule type="colorScale" priority="79">
      <colorScale>
        <cfvo type="num" val="0"/>
        <cfvo type="num" val="0.6"/>
        <cfvo type="num" val="1"/>
        <color rgb="FFFF0000"/>
        <color rgb="FFFFFF00"/>
        <color rgb="FF92FB4B"/>
      </colorScale>
    </cfRule>
  </conditionalFormatting>
  <conditionalFormatting sqref="G76">
    <cfRule type="colorScale" priority="78">
      <colorScale>
        <cfvo type="num" val="0"/>
        <cfvo type="num" val="0.6"/>
        <cfvo type="num" val="1"/>
        <color rgb="FFFF0000"/>
        <color rgb="FFFFFF00"/>
        <color rgb="FF92FB4B"/>
      </colorScale>
    </cfRule>
  </conditionalFormatting>
  <conditionalFormatting sqref="G77">
    <cfRule type="colorScale" priority="77">
      <colorScale>
        <cfvo type="num" val="0"/>
        <cfvo type="num" val="0.6"/>
        <cfvo type="num" val="1"/>
        <color rgb="FFFF0000"/>
        <color rgb="FFFFFF00"/>
        <color rgb="FF92FB4B"/>
      </colorScale>
    </cfRule>
  </conditionalFormatting>
  <conditionalFormatting sqref="G78">
    <cfRule type="colorScale" priority="76">
      <colorScale>
        <cfvo type="num" val="0"/>
        <cfvo type="num" val="0.6"/>
        <cfvo type="num" val="1"/>
        <color rgb="FFFF0000"/>
        <color rgb="FFFFFF00"/>
        <color rgb="FF92FB4B"/>
      </colorScale>
    </cfRule>
  </conditionalFormatting>
  <conditionalFormatting sqref="G79">
    <cfRule type="colorScale" priority="75">
      <colorScale>
        <cfvo type="num" val="0"/>
        <cfvo type="num" val="0.6"/>
        <cfvo type="num" val="1"/>
        <color rgb="FFFF0000"/>
        <color rgb="FFFFFF00"/>
        <color rgb="FF92FB4B"/>
      </colorScale>
    </cfRule>
  </conditionalFormatting>
  <conditionalFormatting sqref="G80">
    <cfRule type="colorScale" priority="74">
      <colorScale>
        <cfvo type="num" val="0"/>
        <cfvo type="num" val="0.6"/>
        <cfvo type="num" val="1"/>
        <color rgb="FFFF0000"/>
        <color rgb="FFFFFF00"/>
        <color rgb="FF92FB4B"/>
      </colorScale>
    </cfRule>
  </conditionalFormatting>
  <conditionalFormatting sqref="G81">
    <cfRule type="colorScale" priority="73">
      <colorScale>
        <cfvo type="num" val="0"/>
        <cfvo type="num" val="0.6"/>
        <cfvo type="num" val="1"/>
        <color rgb="FFFF0000"/>
        <color rgb="FFFFFF00"/>
        <color rgb="FF92FB4B"/>
      </colorScale>
    </cfRule>
  </conditionalFormatting>
  <conditionalFormatting sqref="G82:G83">
    <cfRule type="colorScale" priority="72">
      <colorScale>
        <cfvo type="num" val="0"/>
        <cfvo type="num" val="0.6"/>
        <cfvo type="num" val="1"/>
        <color rgb="FFFF0000"/>
        <color rgb="FFFFFF00"/>
        <color rgb="FF92FB4B"/>
      </colorScale>
    </cfRule>
  </conditionalFormatting>
  <conditionalFormatting sqref="G84:G86">
    <cfRule type="colorScale" priority="71">
      <colorScale>
        <cfvo type="num" val="0"/>
        <cfvo type="num" val="0.6"/>
        <cfvo type="num" val="1"/>
        <color rgb="FFFF0000"/>
        <color rgb="FFFFFF00"/>
        <color rgb="FF92FB4B"/>
      </colorScale>
    </cfRule>
  </conditionalFormatting>
  <conditionalFormatting sqref="G87">
    <cfRule type="colorScale" priority="70">
      <colorScale>
        <cfvo type="num" val="0"/>
        <cfvo type="num" val="0.6"/>
        <cfvo type="num" val="1"/>
        <color rgb="FFFF0000"/>
        <color rgb="FFFFFF00"/>
        <color rgb="FF92FB4B"/>
      </colorScale>
    </cfRule>
  </conditionalFormatting>
  <conditionalFormatting sqref="G93">
    <cfRule type="colorScale" priority="69">
      <colorScale>
        <cfvo type="num" val="0"/>
        <cfvo type="num" val="0.6"/>
        <cfvo type="num" val="1"/>
        <color rgb="FFFF0000"/>
        <color rgb="FFFFFF00"/>
        <color rgb="FF92FB4B"/>
      </colorScale>
    </cfRule>
  </conditionalFormatting>
  <conditionalFormatting sqref="G94">
    <cfRule type="colorScale" priority="68">
      <colorScale>
        <cfvo type="num" val="0"/>
        <cfvo type="num" val="0.6"/>
        <cfvo type="num" val="1"/>
        <color rgb="FFFF0000"/>
        <color rgb="FFFFFF00"/>
        <color rgb="FF92FB4B"/>
      </colorScale>
    </cfRule>
  </conditionalFormatting>
  <conditionalFormatting sqref="G95:G97">
    <cfRule type="colorScale" priority="67">
      <colorScale>
        <cfvo type="num" val="0"/>
        <cfvo type="num" val="0.6"/>
        <cfvo type="num" val="1"/>
        <color rgb="FFFF0000"/>
        <color rgb="FFFFFF00"/>
        <color rgb="FF92FB4B"/>
      </colorScale>
    </cfRule>
  </conditionalFormatting>
  <conditionalFormatting sqref="G98">
    <cfRule type="colorScale" priority="66">
      <colorScale>
        <cfvo type="num" val="0"/>
        <cfvo type="num" val="0.6"/>
        <cfvo type="num" val="1"/>
        <color rgb="FFFF0000"/>
        <color rgb="FFFFFF00"/>
        <color rgb="FF92FB4B"/>
      </colorScale>
    </cfRule>
  </conditionalFormatting>
  <conditionalFormatting sqref="G99">
    <cfRule type="colorScale" priority="65">
      <colorScale>
        <cfvo type="num" val="0"/>
        <cfvo type="num" val="0.6"/>
        <cfvo type="num" val="1"/>
        <color rgb="FFFF0000"/>
        <color rgb="FFFFFF00"/>
        <color rgb="FF92FB4B"/>
      </colorScale>
    </cfRule>
  </conditionalFormatting>
  <conditionalFormatting sqref="G100">
    <cfRule type="colorScale" priority="64">
      <colorScale>
        <cfvo type="num" val="0"/>
        <cfvo type="num" val="0.6"/>
        <cfvo type="num" val="1"/>
        <color rgb="FFFF0000"/>
        <color rgb="FFFFFF00"/>
        <color rgb="FF92FB4B"/>
      </colorScale>
    </cfRule>
  </conditionalFormatting>
  <conditionalFormatting sqref="G101:G102">
    <cfRule type="colorScale" priority="63">
      <colorScale>
        <cfvo type="num" val="0"/>
        <cfvo type="num" val="0.6"/>
        <cfvo type="num" val="1"/>
        <color rgb="FFFF0000"/>
        <color rgb="FFFFFF00"/>
        <color rgb="FF92FB4B"/>
      </colorScale>
    </cfRule>
  </conditionalFormatting>
  <conditionalFormatting sqref="F20">
    <cfRule type="colorScale" priority="62">
      <colorScale>
        <cfvo type="num" val="0"/>
        <cfvo type="num" val="0.6"/>
        <cfvo type="num" val="1"/>
        <color rgb="FFFF0000"/>
        <color rgb="FFFFFF00"/>
        <color rgb="FF92FB4B"/>
      </colorScale>
    </cfRule>
  </conditionalFormatting>
  <conditionalFormatting sqref="F21">
    <cfRule type="colorScale" priority="61">
      <colorScale>
        <cfvo type="num" val="0"/>
        <cfvo type="num" val="0.6"/>
        <cfvo type="num" val="1"/>
        <color rgb="FFFF0000"/>
        <color rgb="FFFFFF00"/>
        <color rgb="FF92FB4B"/>
      </colorScale>
    </cfRule>
  </conditionalFormatting>
  <conditionalFormatting sqref="F22">
    <cfRule type="colorScale" priority="60">
      <colorScale>
        <cfvo type="num" val="0"/>
        <cfvo type="num" val="0.6"/>
        <cfvo type="num" val="1"/>
        <color rgb="FFFF0000"/>
        <color rgb="FFFFFF00"/>
        <color rgb="FF92FB4B"/>
      </colorScale>
    </cfRule>
  </conditionalFormatting>
  <conditionalFormatting sqref="F23">
    <cfRule type="colorScale" priority="59">
      <colorScale>
        <cfvo type="num" val="0"/>
        <cfvo type="num" val="0.6"/>
        <cfvo type="num" val="1"/>
        <color rgb="FFFF0000"/>
        <color rgb="FFFFFF00"/>
        <color rgb="FF92FB4B"/>
      </colorScale>
    </cfRule>
  </conditionalFormatting>
  <conditionalFormatting sqref="F25">
    <cfRule type="colorScale" priority="58">
      <colorScale>
        <cfvo type="num" val="0"/>
        <cfvo type="num" val="0.6"/>
        <cfvo type="num" val="1"/>
        <color rgb="FFFF0000"/>
        <color rgb="FFFFFF00"/>
        <color rgb="FF92FB4B"/>
      </colorScale>
    </cfRule>
  </conditionalFormatting>
  <conditionalFormatting sqref="F26">
    <cfRule type="colorScale" priority="57">
      <colorScale>
        <cfvo type="num" val="0"/>
        <cfvo type="num" val="0.6"/>
        <cfvo type="num" val="1"/>
        <color rgb="FFFF0000"/>
        <color rgb="FFFFFF00"/>
        <color rgb="FF92FB4B"/>
      </colorScale>
    </cfRule>
  </conditionalFormatting>
  <conditionalFormatting sqref="F27">
    <cfRule type="colorScale" priority="56">
      <colorScale>
        <cfvo type="num" val="0"/>
        <cfvo type="num" val="0.6"/>
        <cfvo type="num" val="1"/>
        <color rgb="FFFF0000"/>
        <color rgb="FFFFFF00"/>
        <color rgb="FF92FB4B"/>
      </colorScale>
    </cfRule>
  </conditionalFormatting>
  <conditionalFormatting sqref="F28">
    <cfRule type="colorScale" priority="55">
      <colorScale>
        <cfvo type="num" val="0"/>
        <cfvo type="num" val="0.6"/>
        <cfvo type="num" val="1"/>
        <color rgb="FFFF0000"/>
        <color rgb="FFFFFF00"/>
        <color rgb="FF92FB4B"/>
      </colorScale>
    </cfRule>
  </conditionalFormatting>
  <conditionalFormatting sqref="F29">
    <cfRule type="colorScale" priority="54">
      <colorScale>
        <cfvo type="num" val="0"/>
        <cfvo type="num" val="0.6"/>
        <cfvo type="num" val="1"/>
        <color rgb="FFFF0000"/>
        <color rgb="FFFFFF00"/>
        <color rgb="FF92FB4B"/>
      </colorScale>
    </cfRule>
  </conditionalFormatting>
  <conditionalFormatting sqref="F30">
    <cfRule type="colorScale" priority="53">
      <colorScale>
        <cfvo type="num" val="0"/>
        <cfvo type="num" val="0.6"/>
        <cfvo type="num" val="1"/>
        <color rgb="FFFF0000"/>
        <color rgb="FFFFFF00"/>
        <color rgb="FF92FB4B"/>
      </colorScale>
    </cfRule>
  </conditionalFormatting>
  <conditionalFormatting sqref="F31">
    <cfRule type="colorScale" priority="52">
      <colorScale>
        <cfvo type="num" val="0"/>
        <cfvo type="num" val="0.6"/>
        <cfvo type="num" val="1"/>
        <color rgb="FFFF0000"/>
        <color rgb="FFFFFF00"/>
        <color rgb="FF92FB4B"/>
      </colorScale>
    </cfRule>
  </conditionalFormatting>
  <conditionalFormatting sqref="F32">
    <cfRule type="colorScale" priority="51">
      <colorScale>
        <cfvo type="num" val="0"/>
        <cfvo type="num" val="0.6"/>
        <cfvo type="num" val="1"/>
        <color rgb="FFFF0000"/>
        <color rgb="FFFFFF00"/>
        <color rgb="FF92FB4B"/>
      </colorScale>
    </cfRule>
  </conditionalFormatting>
  <conditionalFormatting sqref="F34">
    <cfRule type="colorScale" priority="50">
      <colorScale>
        <cfvo type="num" val="0"/>
        <cfvo type="num" val="0.6"/>
        <cfvo type="num" val="1"/>
        <color rgb="FFFF0000"/>
        <color rgb="FFFFFF00"/>
        <color rgb="FF92FB4B"/>
      </colorScale>
    </cfRule>
  </conditionalFormatting>
  <conditionalFormatting sqref="F35">
    <cfRule type="colorScale" priority="49">
      <colorScale>
        <cfvo type="num" val="0"/>
        <cfvo type="num" val="0.6"/>
        <cfvo type="num" val="1"/>
        <color rgb="FFFF0000"/>
        <color rgb="FFFFFF00"/>
        <color rgb="FF92FB4B"/>
      </colorScale>
    </cfRule>
  </conditionalFormatting>
  <conditionalFormatting sqref="F36">
    <cfRule type="colorScale" priority="48">
      <colorScale>
        <cfvo type="num" val="0"/>
        <cfvo type="num" val="0.6"/>
        <cfvo type="num" val="1"/>
        <color rgb="FFFF0000"/>
        <color rgb="FFFFFF00"/>
        <color rgb="FF92FB4B"/>
      </colorScale>
    </cfRule>
  </conditionalFormatting>
  <conditionalFormatting sqref="F37">
    <cfRule type="colorScale" priority="47">
      <colorScale>
        <cfvo type="num" val="0"/>
        <cfvo type="num" val="0.6"/>
        <cfvo type="num" val="1"/>
        <color rgb="FFFF0000"/>
        <color rgb="FFFFFF00"/>
        <color rgb="FF92FB4B"/>
      </colorScale>
    </cfRule>
  </conditionalFormatting>
  <conditionalFormatting sqref="F39">
    <cfRule type="colorScale" priority="46">
      <colorScale>
        <cfvo type="num" val="0"/>
        <cfvo type="num" val="0.6"/>
        <cfvo type="num" val="1"/>
        <color rgb="FFFF0000"/>
        <color rgb="FFFFFF00"/>
        <color rgb="FF92FB4B"/>
      </colorScale>
    </cfRule>
  </conditionalFormatting>
  <conditionalFormatting sqref="F40">
    <cfRule type="colorScale" priority="45">
      <colorScale>
        <cfvo type="num" val="0"/>
        <cfvo type="num" val="0.6"/>
        <cfvo type="num" val="1"/>
        <color rgb="FFFF0000"/>
        <color rgb="FFFFFF00"/>
        <color rgb="FF92FB4B"/>
      </colorScale>
    </cfRule>
  </conditionalFormatting>
  <conditionalFormatting sqref="F42">
    <cfRule type="colorScale" priority="44">
      <colorScale>
        <cfvo type="num" val="0"/>
        <cfvo type="num" val="0.6"/>
        <cfvo type="num" val="1"/>
        <color rgb="FFFF0000"/>
        <color rgb="FFFFFF00"/>
        <color rgb="FF92FB4B"/>
      </colorScale>
    </cfRule>
  </conditionalFormatting>
  <conditionalFormatting sqref="F43">
    <cfRule type="colorScale" priority="43">
      <colorScale>
        <cfvo type="num" val="0"/>
        <cfvo type="num" val="0.6"/>
        <cfvo type="num" val="1"/>
        <color rgb="FFFF0000"/>
        <color rgb="FFFFFF00"/>
        <color rgb="FF92FB4B"/>
      </colorScale>
    </cfRule>
  </conditionalFormatting>
  <conditionalFormatting sqref="F45">
    <cfRule type="colorScale" priority="40">
      <colorScale>
        <cfvo type="num" val="0"/>
        <cfvo type="num" val="0.6"/>
        <cfvo type="num" val="1"/>
        <color rgb="FFFF0000"/>
        <color rgb="FFFFFF00"/>
        <color rgb="FF92FB4B"/>
      </colorScale>
    </cfRule>
  </conditionalFormatting>
  <conditionalFormatting sqref="F46">
    <cfRule type="colorScale" priority="39">
      <colorScale>
        <cfvo type="num" val="0"/>
        <cfvo type="num" val="0.6"/>
        <cfvo type="num" val="1"/>
        <color rgb="FFFF0000"/>
        <color rgb="FFFFFF00"/>
        <color rgb="FF92FB4B"/>
      </colorScale>
    </cfRule>
  </conditionalFormatting>
  <conditionalFormatting sqref="F49">
    <cfRule type="colorScale" priority="38">
      <colorScale>
        <cfvo type="num" val="0"/>
        <cfvo type="num" val="0.6"/>
        <cfvo type="num" val="1"/>
        <color rgb="FFFF0000"/>
        <color rgb="FFFFFF00"/>
        <color rgb="FF92FB4B"/>
      </colorScale>
    </cfRule>
  </conditionalFormatting>
  <conditionalFormatting sqref="F50">
    <cfRule type="colorScale" priority="37">
      <colorScale>
        <cfvo type="num" val="0"/>
        <cfvo type="num" val="0.6"/>
        <cfvo type="num" val="1"/>
        <color rgb="FFFF0000"/>
        <color rgb="FFFFFF00"/>
        <color rgb="FF92FB4B"/>
      </colorScale>
    </cfRule>
  </conditionalFormatting>
  <conditionalFormatting sqref="F52">
    <cfRule type="colorScale" priority="35">
      <colorScale>
        <cfvo type="num" val="0"/>
        <cfvo type="num" val="0.6"/>
        <cfvo type="num" val="1"/>
        <color rgb="FFFF0000"/>
        <color rgb="FFFFFF00"/>
        <color rgb="FF92FB4B"/>
      </colorScale>
    </cfRule>
  </conditionalFormatting>
  <conditionalFormatting sqref="F54">
    <cfRule type="colorScale" priority="34">
      <colorScale>
        <cfvo type="num" val="0"/>
        <cfvo type="num" val="0.6"/>
        <cfvo type="num" val="1"/>
        <color rgb="FFFF0000"/>
        <color rgb="FFFFFF00"/>
        <color rgb="FF92FB4B"/>
      </colorScale>
    </cfRule>
  </conditionalFormatting>
  <conditionalFormatting sqref="F55">
    <cfRule type="colorScale" priority="33">
      <colorScale>
        <cfvo type="num" val="0"/>
        <cfvo type="num" val="0.6"/>
        <cfvo type="num" val="1"/>
        <color rgb="FFFF0000"/>
        <color rgb="FFFFFF00"/>
        <color rgb="FF92FB4B"/>
      </colorScale>
    </cfRule>
  </conditionalFormatting>
  <conditionalFormatting sqref="F56">
    <cfRule type="colorScale" priority="32">
      <colorScale>
        <cfvo type="num" val="0"/>
        <cfvo type="num" val="0.6"/>
        <cfvo type="num" val="1"/>
        <color rgb="FFFF0000"/>
        <color rgb="FFFFFF00"/>
        <color rgb="FF92FB4B"/>
      </colorScale>
    </cfRule>
  </conditionalFormatting>
  <conditionalFormatting sqref="F57">
    <cfRule type="colorScale" priority="31">
      <colorScale>
        <cfvo type="num" val="0"/>
        <cfvo type="num" val="0.6"/>
        <cfvo type="num" val="1"/>
        <color rgb="FFFF0000"/>
        <color rgb="FFFFFF00"/>
        <color rgb="FF92FB4B"/>
      </colorScale>
    </cfRule>
  </conditionalFormatting>
  <conditionalFormatting sqref="F58">
    <cfRule type="colorScale" priority="30">
      <colorScale>
        <cfvo type="num" val="0"/>
        <cfvo type="num" val="0.6"/>
        <cfvo type="num" val="1"/>
        <color rgb="FFFF0000"/>
        <color rgb="FFFFFF00"/>
        <color rgb="FF92FB4B"/>
      </colorScale>
    </cfRule>
  </conditionalFormatting>
  <conditionalFormatting sqref="F59">
    <cfRule type="colorScale" priority="29">
      <colorScale>
        <cfvo type="num" val="0"/>
        <cfvo type="num" val="0.6"/>
        <cfvo type="num" val="1"/>
        <color rgb="FFFF0000"/>
        <color rgb="FFFFFF00"/>
        <color rgb="FF92FB4B"/>
      </colorScale>
    </cfRule>
  </conditionalFormatting>
  <conditionalFormatting sqref="F62">
    <cfRule type="colorScale" priority="28">
      <colorScale>
        <cfvo type="num" val="0"/>
        <cfvo type="num" val="0.6"/>
        <cfvo type="num" val="1"/>
        <color rgb="FFFF0000"/>
        <color rgb="FFFFFF00"/>
        <color rgb="FF92FB4B"/>
      </colorScale>
    </cfRule>
  </conditionalFormatting>
  <conditionalFormatting sqref="F63">
    <cfRule type="colorScale" priority="27">
      <colorScale>
        <cfvo type="num" val="0"/>
        <cfvo type="num" val="0.6"/>
        <cfvo type="num" val="1"/>
        <color rgb="FFFF0000"/>
        <color rgb="FFFFFF00"/>
        <color rgb="FF92FB4B"/>
      </colorScale>
    </cfRule>
  </conditionalFormatting>
  <conditionalFormatting sqref="F64">
    <cfRule type="colorScale" priority="26">
      <colorScale>
        <cfvo type="num" val="0"/>
        <cfvo type="num" val="0.6"/>
        <cfvo type="num" val="1"/>
        <color rgb="FFFF0000"/>
        <color rgb="FFFFFF00"/>
        <color rgb="FF92FB4B"/>
      </colorScale>
    </cfRule>
  </conditionalFormatting>
  <conditionalFormatting sqref="F65">
    <cfRule type="colorScale" priority="25">
      <colorScale>
        <cfvo type="num" val="0"/>
        <cfvo type="num" val="0.6"/>
        <cfvo type="num" val="1"/>
        <color rgb="FFFF0000"/>
        <color rgb="FFFFFF00"/>
        <color rgb="FF92FB4B"/>
      </colorScale>
    </cfRule>
  </conditionalFormatting>
  <conditionalFormatting sqref="F66">
    <cfRule type="colorScale" priority="24">
      <colorScale>
        <cfvo type="num" val="0"/>
        <cfvo type="num" val="0.6"/>
        <cfvo type="num" val="1"/>
        <color rgb="FFFF0000"/>
        <color rgb="FFFFFF00"/>
        <color rgb="FF92FB4B"/>
      </colorScale>
    </cfRule>
  </conditionalFormatting>
  <conditionalFormatting sqref="F67">
    <cfRule type="colorScale" priority="23">
      <colorScale>
        <cfvo type="num" val="0"/>
        <cfvo type="num" val="0.6"/>
        <cfvo type="num" val="1"/>
        <color rgb="FFFF0000"/>
        <color rgb="FFFFFF00"/>
        <color rgb="FF92FB4B"/>
      </colorScale>
    </cfRule>
  </conditionalFormatting>
  <conditionalFormatting sqref="F69">
    <cfRule type="colorScale" priority="22">
      <colorScale>
        <cfvo type="num" val="0"/>
        <cfvo type="num" val="0.6"/>
        <cfvo type="num" val="1"/>
        <color rgb="FFFF0000"/>
        <color rgb="FFFFFF00"/>
        <color rgb="FF92FB4B"/>
      </colorScale>
    </cfRule>
  </conditionalFormatting>
  <conditionalFormatting sqref="F72">
    <cfRule type="colorScale" priority="21">
      <colorScale>
        <cfvo type="num" val="0"/>
        <cfvo type="num" val="0.6"/>
        <cfvo type="num" val="1"/>
        <color rgb="FFFF0000"/>
        <color rgb="FFFFFF00"/>
        <color rgb="FF92FB4B"/>
      </colorScale>
    </cfRule>
  </conditionalFormatting>
  <conditionalFormatting sqref="F74">
    <cfRule type="colorScale" priority="20">
      <colorScale>
        <cfvo type="num" val="0"/>
        <cfvo type="num" val="0.6"/>
        <cfvo type="num" val="1"/>
        <color rgb="FFFF0000"/>
        <color rgb="FFFFFF00"/>
        <color rgb="FF92FB4B"/>
      </colorScale>
    </cfRule>
  </conditionalFormatting>
  <conditionalFormatting sqref="F76">
    <cfRule type="colorScale" priority="19">
      <colorScale>
        <cfvo type="num" val="0"/>
        <cfvo type="num" val="0.6"/>
        <cfvo type="num" val="1"/>
        <color rgb="FFFF0000"/>
        <color rgb="FFFFFF00"/>
        <color rgb="FF92FB4B"/>
      </colorScale>
    </cfRule>
  </conditionalFormatting>
  <conditionalFormatting sqref="F79">
    <cfRule type="colorScale" priority="18">
      <colorScale>
        <cfvo type="num" val="0"/>
        <cfvo type="num" val="0.6"/>
        <cfvo type="num" val="1"/>
        <color rgb="FFFF0000"/>
        <color rgb="FFFFFF00"/>
        <color rgb="FF92FB4B"/>
      </colorScale>
    </cfRule>
  </conditionalFormatting>
  <conditionalFormatting sqref="F82">
    <cfRule type="colorScale" priority="17">
      <colorScale>
        <cfvo type="num" val="0"/>
        <cfvo type="num" val="0.6"/>
        <cfvo type="num" val="1"/>
        <color rgb="FFFF0000"/>
        <color rgb="FFFFFF00"/>
        <color rgb="FF92FB4B"/>
      </colorScale>
    </cfRule>
  </conditionalFormatting>
  <conditionalFormatting sqref="F83">
    <cfRule type="colorScale" priority="16">
      <colorScale>
        <cfvo type="num" val="0"/>
        <cfvo type="num" val="0.6"/>
        <cfvo type="num" val="1"/>
        <color rgb="FFFF0000"/>
        <color rgb="FFFFFF00"/>
        <color rgb="FF92FB4B"/>
      </colorScale>
    </cfRule>
  </conditionalFormatting>
  <conditionalFormatting sqref="F84">
    <cfRule type="colorScale" priority="15">
      <colorScale>
        <cfvo type="num" val="0"/>
        <cfvo type="num" val="0.6"/>
        <cfvo type="num" val="1"/>
        <color rgb="FFFF0000"/>
        <color rgb="FFFFFF00"/>
        <color rgb="FF92FB4B"/>
      </colorScale>
    </cfRule>
  </conditionalFormatting>
  <conditionalFormatting sqref="F85">
    <cfRule type="colorScale" priority="14">
      <colorScale>
        <cfvo type="num" val="0"/>
        <cfvo type="num" val="0.6"/>
        <cfvo type="num" val="1"/>
        <color rgb="FFFF0000"/>
        <color rgb="FFFFFF00"/>
        <color rgb="FF92FB4B"/>
      </colorScale>
    </cfRule>
  </conditionalFormatting>
  <conditionalFormatting sqref="F86">
    <cfRule type="colorScale" priority="13">
      <colorScale>
        <cfvo type="num" val="0"/>
        <cfvo type="num" val="0.6"/>
        <cfvo type="num" val="1"/>
        <color rgb="FFFF0000"/>
        <color rgb="FFFFFF00"/>
        <color rgb="FF92FB4B"/>
      </colorScale>
    </cfRule>
  </conditionalFormatting>
  <conditionalFormatting sqref="F88">
    <cfRule type="colorScale" priority="12">
      <colorScale>
        <cfvo type="num" val="0"/>
        <cfvo type="num" val="0.6"/>
        <cfvo type="num" val="1"/>
        <color rgb="FFFF0000"/>
        <color rgb="FFFFFF00"/>
        <color rgb="FF92FB4B"/>
      </colorScale>
    </cfRule>
  </conditionalFormatting>
  <conditionalFormatting sqref="F89">
    <cfRule type="colorScale" priority="11">
      <colorScale>
        <cfvo type="num" val="0"/>
        <cfvo type="num" val="0.6"/>
        <cfvo type="num" val="1"/>
        <color rgb="FFFF0000"/>
        <color rgb="FFFFFF00"/>
        <color rgb="FF92FB4B"/>
      </colorScale>
    </cfRule>
  </conditionalFormatting>
  <conditionalFormatting sqref="F90">
    <cfRule type="colorScale" priority="10">
      <colorScale>
        <cfvo type="num" val="0"/>
        <cfvo type="num" val="0.6"/>
        <cfvo type="num" val="1"/>
        <color rgb="FFFF0000"/>
        <color rgb="FFFFFF00"/>
        <color rgb="FF92FB4B"/>
      </colorScale>
    </cfRule>
  </conditionalFormatting>
  <conditionalFormatting sqref="F91">
    <cfRule type="colorScale" priority="9">
      <colorScale>
        <cfvo type="num" val="0"/>
        <cfvo type="num" val="0.6"/>
        <cfvo type="num" val="1"/>
        <color rgb="FFFF0000"/>
        <color rgb="FFFFFF00"/>
        <color rgb="FF92FB4B"/>
      </colorScale>
    </cfRule>
  </conditionalFormatting>
  <conditionalFormatting sqref="F92">
    <cfRule type="colorScale" priority="8">
      <colorScale>
        <cfvo type="num" val="0"/>
        <cfvo type="num" val="0.6"/>
        <cfvo type="num" val="1"/>
        <color rgb="FFFF0000"/>
        <color rgb="FFFFFF00"/>
        <color rgb="FF92FB4B"/>
      </colorScale>
    </cfRule>
  </conditionalFormatting>
  <conditionalFormatting sqref="F95">
    <cfRule type="colorScale" priority="7">
      <colorScale>
        <cfvo type="num" val="0"/>
        <cfvo type="num" val="0.6"/>
        <cfvo type="num" val="1"/>
        <color rgb="FFFF0000"/>
        <color rgb="FFFFFF00"/>
        <color rgb="FF92FB4B"/>
      </colorScale>
    </cfRule>
  </conditionalFormatting>
  <conditionalFormatting sqref="F96">
    <cfRule type="colorScale" priority="6">
      <colorScale>
        <cfvo type="num" val="0"/>
        <cfvo type="num" val="0.6"/>
        <cfvo type="num" val="1"/>
        <color rgb="FFFF0000"/>
        <color rgb="FFFFFF00"/>
        <color rgb="FF92FB4B"/>
      </colorScale>
    </cfRule>
  </conditionalFormatting>
  <conditionalFormatting sqref="F97">
    <cfRule type="colorScale" priority="5">
      <colorScale>
        <cfvo type="num" val="0"/>
        <cfvo type="num" val="0.6"/>
        <cfvo type="num" val="1"/>
        <color rgb="FFFF0000"/>
        <color rgb="FFFFFF00"/>
        <color rgb="FF92FB4B"/>
      </colorScale>
    </cfRule>
  </conditionalFormatting>
  <conditionalFormatting sqref="F99">
    <cfRule type="colorScale" priority="4">
      <colorScale>
        <cfvo type="num" val="0"/>
        <cfvo type="num" val="0.6"/>
        <cfvo type="num" val="1"/>
        <color rgb="FFFF0000"/>
        <color rgb="FFFFFF00"/>
        <color rgb="FF92FB4B"/>
      </colorScale>
    </cfRule>
  </conditionalFormatting>
  <conditionalFormatting sqref="F100">
    <cfRule type="colorScale" priority="3">
      <colorScale>
        <cfvo type="num" val="0"/>
        <cfvo type="num" val="0.6"/>
        <cfvo type="num" val="1"/>
        <color rgb="FFFF0000"/>
        <color rgb="FFFFFF00"/>
        <color rgb="FF92FB4B"/>
      </colorScale>
    </cfRule>
  </conditionalFormatting>
  <conditionalFormatting sqref="F101">
    <cfRule type="colorScale" priority="2">
      <colorScale>
        <cfvo type="num" val="0"/>
        <cfvo type="num" val="0.6"/>
        <cfvo type="num" val="1"/>
        <color rgb="FFFF0000"/>
        <color rgb="FFFFFF00"/>
        <color rgb="FF92FB4B"/>
      </colorScale>
    </cfRule>
  </conditionalFormatting>
  <conditionalFormatting sqref="F102">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458E5-A711-45F7-A4DC-945515E65757}">
  <dimension ref="A1:AA168"/>
  <sheetViews>
    <sheetView topLeftCell="B1" zoomScale="50" zoomScaleNormal="50" workbookViewId="0">
      <selection activeCell="H9" sqref="H9:Q10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555"/>
      <c r="R1" s="3"/>
      <c r="S1" s="4"/>
      <c r="U1" s="556"/>
      <c r="V1" s="556"/>
      <c r="W1" s="556"/>
      <c r="X1" s="556"/>
      <c r="Y1" s="556"/>
      <c r="Z1" s="556"/>
      <c r="AA1" s="556"/>
    </row>
    <row r="2" spans="1:27" ht="30" x14ac:dyDescent="1.1000000000000001">
      <c r="B2" s="557"/>
      <c r="C2" s="558"/>
      <c r="D2" s="559" t="s">
        <v>286</v>
      </c>
      <c r="E2" s="558"/>
      <c r="F2" s="560"/>
      <c r="G2" s="560"/>
      <c r="H2" s="560"/>
      <c r="I2" s="560"/>
      <c r="J2" s="560"/>
      <c r="K2" s="560"/>
      <c r="L2" s="560"/>
      <c r="M2" s="560"/>
      <c r="N2" s="560"/>
      <c r="O2" s="560"/>
      <c r="P2" s="560"/>
      <c r="Q2" s="558"/>
      <c r="R2" s="560"/>
      <c r="S2" s="6"/>
    </row>
    <row r="3" spans="1:27" ht="14.65" thickBot="1" x14ac:dyDescent="0.5">
      <c r="B3" s="561"/>
      <c r="C3" s="562"/>
      <c r="D3" s="562"/>
      <c r="E3" s="562"/>
      <c r="F3" s="563"/>
      <c r="G3" s="563"/>
      <c r="H3" s="563"/>
      <c r="I3" s="563"/>
      <c r="J3" s="563"/>
      <c r="K3" s="563"/>
      <c r="L3" s="563"/>
      <c r="M3" s="563"/>
      <c r="N3" s="563"/>
      <c r="O3" s="563"/>
      <c r="P3" s="563"/>
      <c r="Q3" s="562"/>
      <c r="R3" s="563"/>
      <c r="S3" s="7"/>
    </row>
    <row r="4" spans="1:27" ht="26.45" customHeight="1" thickBot="1" x14ac:dyDescent="0.5">
      <c r="B4" s="561"/>
      <c r="C4" s="562"/>
      <c r="D4" s="564" t="s">
        <v>195</v>
      </c>
      <c r="E4" s="562"/>
      <c r="F4" s="8" t="s">
        <v>236</v>
      </c>
      <c r="G4" s="563"/>
      <c r="H4" s="563"/>
      <c r="I4" s="563"/>
      <c r="J4" s="563"/>
      <c r="K4" s="1434" t="s">
        <v>464</v>
      </c>
      <c r="L4" s="1435"/>
      <c r="M4" s="1436"/>
      <c r="N4" s="1092">
        <f>(N9+N46+N59+N69+N76+N79+N92)/7</f>
        <v>0.94308665009847703</v>
      </c>
      <c r="O4" s="1093">
        <f>(O9+O46+O59+O69+O76+O79+O92)</f>
        <v>60.354412747432136</v>
      </c>
      <c r="P4" s="1092">
        <f>O4/100</f>
        <v>0.6035441274743214</v>
      </c>
      <c r="Q4" s="562"/>
      <c r="R4" s="563"/>
      <c r="S4" s="7"/>
    </row>
    <row r="5" spans="1:27" ht="18.399999999999999" thickBot="1" x14ac:dyDescent="0.6">
      <c r="B5" s="1437"/>
      <c r="C5" s="1438"/>
      <c r="D5" s="1438"/>
      <c r="E5" s="1438"/>
      <c r="F5" s="1438"/>
      <c r="G5" s="1438"/>
      <c r="H5" s="1438"/>
      <c r="I5" s="1438"/>
      <c r="J5" s="1438"/>
      <c r="K5" s="1438"/>
      <c r="L5" s="66"/>
      <c r="M5" s="565">
        <f>100/28</f>
        <v>3.5714285714285716</v>
      </c>
      <c r="N5" s="9"/>
      <c r="O5" s="456"/>
      <c r="P5" s="456"/>
      <c r="Q5" s="566"/>
      <c r="R5" s="9"/>
      <c r="S5" s="10"/>
    </row>
    <row r="6" spans="1:27" ht="33.6" customHeight="1" thickBot="1" x14ac:dyDescent="0.5">
      <c r="B6" s="1439"/>
      <c r="C6" s="1440"/>
      <c r="D6" s="1440"/>
      <c r="E6" s="1440"/>
      <c r="F6" s="1441"/>
      <c r="G6" s="567"/>
      <c r="H6" s="567"/>
      <c r="I6" s="567"/>
      <c r="J6" s="567"/>
      <c r="K6" s="567"/>
      <c r="L6" s="567"/>
      <c r="M6" s="567"/>
      <c r="N6" s="568"/>
      <c r="O6" s="569"/>
      <c r="P6" s="569"/>
      <c r="Q6" s="568"/>
      <c r="R6" s="12"/>
      <c r="S6" s="13"/>
    </row>
    <row r="7" spans="1:27" ht="55.8" customHeight="1" thickBot="1" x14ac:dyDescent="0.5">
      <c r="B7" s="1442"/>
      <c r="C7" s="1443"/>
      <c r="D7" s="1443"/>
      <c r="E7" s="1443"/>
      <c r="F7" s="1444"/>
      <c r="G7" s="570"/>
      <c r="H7" s="571" t="s">
        <v>218</v>
      </c>
      <c r="I7" s="572" t="s">
        <v>219</v>
      </c>
      <c r="J7" s="573" t="s">
        <v>91</v>
      </c>
      <c r="K7" s="574" t="s">
        <v>107</v>
      </c>
      <c r="L7" s="574" t="s">
        <v>104</v>
      </c>
      <c r="M7" s="574" t="s">
        <v>105</v>
      </c>
      <c r="N7" s="572" t="s">
        <v>106</v>
      </c>
      <c r="O7" s="572" t="s">
        <v>465</v>
      </c>
      <c r="P7" s="575" t="s">
        <v>466</v>
      </c>
      <c r="Q7" s="576" t="s">
        <v>93</v>
      </c>
      <c r="R7" s="577" t="s">
        <v>110</v>
      </c>
      <c r="S7" s="578" t="s">
        <v>103</v>
      </c>
    </row>
    <row r="8" spans="1:27" ht="25.25" customHeight="1" thickBot="1" x14ac:dyDescent="0.5">
      <c r="B8" s="579" t="s">
        <v>2</v>
      </c>
      <c r="C8" s="579" t="s">
        <v>92</v>
      </c>
      <c r="D8" s="579" t="s">
        <v>3</v>
      </c>
      <c r="E8" s="579" t="s">
        <v>94</v>
      </c>
      <c r="F8" s="579" t="s">
        <v>102</v>
      </c>
      <c r="G8" s="579" t="s">
        <v>96</v>
      </c>
      <c r="H8" s="580"/>
      <c r="I8" s="581"/>
      <c r="J8" s="580"/>
      <c r="K8" s="582"/>
      <c r="L8" s="582"/>
      <c r="M8" s="579"/>
      <c r="N8" s="583"/>
      <c r="O8" s="584"/>
      <c r="P8" s="585"/>
      <c r="Q8" s="581"/>
      <c r="R8" s="583"/>
      <c r="S8" s="583"/>
      <c r="V8" s="586" t="s">
        <v>151</v>
      </c>
      <c r="W8" s="587"/>
      <c r="X8" s="587"/>
      <c r="Y8" s="587"/>
      <c r="Z8" s="588"/>
    </row>
    <row r="9" spans="1:27" s="144" customFormat="1" ht="25.25" customHeight="1" thickBot="1" x14ac:dyDescent="0.5">
      <c r="B9" s="1445" t="s">
        <v>0</v>
      </c>
      <c r="C9" s="1446"/>
      <c r="D9" s="1446"/>
      <c r="E9" s="1446"/>
      <c r="F9" s="1447"/>
      <c r="G9" s="589"/>
      <c r="H9" s="756"/>
      <c r="I9" s="757"/>
      <c r="J9" s="758"/>
      <c r="K9" s="758"/>
      <c r="L9" s="758"/>
      <c r="M9" s="759"/>
      <c r="N9" s="760">
        <f>(N10+N18+N23+N32+N37+N40+N43)/7</f>
        <v>0.70726447890718291</v>
      </c>
      <c r="O9" s="761">
        <f>(O10+O18+O23+O32+O37+O40+O43)</f>
        <v>25.819959074400639</v>
      </c>
      <c r="P9" s="762">
        <f>O9/42.857136</f>
        <v>0.60246580813054429</v>
      </c>
      <c r="Q9" s="758"/>
      <c r="R9" s="590"/>
      <c r="S9" s="590"/>
      <c r="U9" s="591"/>
      <c r="V9" s="592"/>
      <c r="W9" s="593"/>
      <c r="X9" s="593"/>
      <c r="Y9" s="593"/>
      <c r="Z9" s="594"/>
      <c r="AA9" s="591"/>
    </row>
    <row r="10" spans="1:27" s="96" customFormat="1" ht="25.25" customHeight="1" thickBot="1" x14ac:dyDescent="0.5">
      <c r="B10" s="1448" t="s">
        <v>1</v>
      </c>
      <c r="C10" s="1449"/>
      <c r="D10" s="1449"/>
      <c r="E10" s="1449"/>
      <c r="F10" s="1450"/>
      <c r="G10" s="595"/>
      <c r="H10" s="763"/>
      <c r="I10" s="764"/>
      <c r="J10" s="765"/>
      <c r="K10" s="765"/>
      <c r="L10" s="765"/>
      <c r="M10" s="766"/>
      <c r="N10" s="760">
        <f>(N11+N13+N15)/3</f>
        <v>0.95114348759685685</v>
      </c>
      <c r="O10" s="761">
        <f>(O11+O13+O15)</f>
        <v>7.2591408922013176</v>
      </c>
      <c r="P10" s="762">
        <f>O10/10.714284</f>
        <v>0.67751992500864433</v>
      </c>
      <c r="Q10" s="765"/>
      <c r="R10" s="596"/>
      <c r="S10" s="596"/>
      <c r="U10" s="597"/>
      <c r="V10" s="598"/>
      <c r="W10" s="599"/>
      <c r="X10" s="599"/>
      <c r="Y10" s="599"/>
      <c r="Z10" s="600"/>
      <c r="AA10" s="597"/>
    </row>
    <row r="11" spans="1:27" ht="27.6" customHeight="1" x14ac:dyDescent="0.45">
      <c r="A11" s="1451">
        <v>1</v>
      </c>
      <c r="B11" s="1462" t="s">
        <v>4</v>
      </c>
      <c r="C11" s="1464">
        <f>M5</f>
        <v>3.5714285714285716</v>
      </c>
      <c r="D11" s="601" t="s">
        <v>111</v>
      </c>
      <c r="E11" s="602">
        <f>$C$11/2</f>
        <v>1.7857142857142858</v>
      </c>
      <c r="F11" s="603" t="s">
        <v>5</v>
      </c>
      <c r="G11" s="604">
        <f>E11/1</f>
        <v>1.7857142857142858</v>
      </c>
      <c r="H11" s="767">
        <v>985</v>
      </c>
      <c r="I11" s="768">
        <v>558</v>
      </c>
      <c r="J11" s="769">
        <f>(H11-I11)</f>
        <v>427</v>
      </c>
      <c r="K11" s="770">
        <f>(0.3*I11)*6/10</f>
        <v>100.44000000000001</v>
      </c>
      <c r="L11" s="771">
        <f>I11+K11</f>
        <v>658.44</v>
      </c>
      <c r="M11" s="772">
        <f>IF(K11&lt;&gt;0,J11/K11,"0%")</f>
        <v>4.251294305057745</v>
      </c>
      <c r="N11" s="1456">
        <f>(((G11/C11)*M11)+((G12/C11)*M12))</f>
        <v>1.8208852477669675</v>
      </c>
      <c r="O11" s="1458">
        <f>IF((((G11/C11)*M11)+((G12/C11)*M12))&gt;=1,3.57148,IF((((G11/C11)*M11)+((G12/C11)*M12))&lt;=0,0, (((G11/C11)*M11)+((G12/C11)*M12))*3.571428))</f>
        <v>3.5714800000000002</v>
      </c>
      <c r="P11" s="1460">
        <f>O11/3.571428</f>
        <v>1.0000145600023296</v>
      </c>
      <c r="Q11" s="773" t="s">
        <v>97</v>
      </c>
      <c r="R11" s="169"/>
      <c r="S11" s="170" t="s">
        <v>293</v>
      </c>
      <c r="V11" s="605" t="s">
        <v>109</v>
      </c>
      <c r="W11" s="606" t="e">
        <f>#REF!</f>
        <v>#REF!</v>
      </c>
      <c r="X11" s="607"/>
      <c r="Y11" s="607"/>
      <c r="Z11" s="608"/>
    </row>
    <row r="12" spans="1:27" ht="27" customHeight="1" thickBot="1" x14ac:dyDescent="0.5">
      <c r="A12" s="1451"/>
      <c r="B12" s="1463"/>
      <c r="C12" s="1465"/>
      <c r="D12" s="609" t="s">
        <v>112</v>
      </c>
      <c r="E12" s="610">
        <f>$C$11/2</f>
        <v>1.7857142857142858</v>
      </c>
      <c r="F12" s="611" t="s">
        <v>281</v>
      </c>
      <c r="G12" s="612">
        <f>E12/1</f>
        <v>1.7857142857142858</v>
      </c>
      <c r="H12" s="774">
        <v>19.100000000000001</v>
      </c>
      <c r="I12" s="775">
        <v>17.5</v>
      </c>
      <c r="J12" s="776">
        <f>I12-H12</f>
        <v>-1.6000000000000014</v>
      </c>
      <c r="K12" s="777">
        <f>(0.25*I12)*(6/10)</f>
        <v>2.625</v>
      </c>
      <c r="L12" s="778">
        <f>I12-K12</f>
        <v>14.875</v>
      </c>
      <c r="M12" s="779">
        <f>IF(K12&lt;&gt;0,J12/K12,"0%")</f>
        <v>-0.60952380952381002</v>
      </c>
      <c r="N12" s="1457"/>
      <c r="O12" s="1459"/>
      <c r="P12" s="1461"/>
      <c r="Q12" s="780" t="s">
        <v>98</v>
      </c>
      <c r="R12" s="171"/>
      <c r="S12" s="172" t="s">
        <v>294</v>
      </c>
      <c r="V12" s="613">
        <v>0.02</v>
      </c>
      <c r="W12" s="614" t="e">
        <f>(W11-(W11*V12))</f>
        <v>#REF!</v>
      </c>
      <c r="X12" s="614" t="e">
        <f>W11-(V12*W11)</f>
        <v>#REF!</v>
      </c>
      <c r="Y12" s="607"/>
      <c r="Z12" s="608"/>
    </row>
    <row r="13" spans="1:27" ht="32.450000000000003" customHeight="1" x14ac:dyDescent="0.45">
      <c r="A13" s="1451">
        <v>2</v>
      </c>
      <c r="B13" s="1452" t="s">
        <v>6</v>
      </c>
      <c r="C13" s="1454">
        <f>M5</f>
        <v>3.5714285714285716</v>
      </c>
      <c r="D13" s="615" t="s">
        <v>273</v>
      </c>
      <c r="E13" s="616">
        <f>$C$13/2</f>
        <v>1.7857142857142858</v>
      </c>
      <c r="F13" s="617" t="s">
        <v>7</v>
      </c>
      <c r="G13" s="618">
        <f>E13/1</f>
        <v>1.7857142857142858</v>
      </c>
      <c r="H13" s="781">
        <v>24</v>
      </c>
      <c r="I13" s="782">
        <v>29</v>
      </c>
      <c r="J13" s="783">
        <f>IF(I13=H13,(5-H13),I13-H13)</f>
        <v>5</v>
      </c>
      <c r="K13" s="784">
        <f>IF(I13&lt;=5,0,((I13-5)*(6/10)))</f>
        <v>14.399999999999999</v>
      </c>
      <c r="L13" s="785">
        <f>I13-K13</f>
        <v>14.600000000000001</v>
      </c>
      <c r="M13" s="786">
        <f>IF(I13&lt;=5,(1+(5-H13)/5),(J13/K13))</f>
        <v>0.34722222222222227</v>
      </c>
      <c r="N13" s="1456">
        <f>(((G13/C13)*M13)+((G14/C13)*M14))</f>
        <v>0.44721177944862145</v>
      </c>
      <c r="O13" s="1458">
        <f>IF((((G13/C13)*M13)+((G14/C13)*M14))&gt;=1,3.57148,IF((((G13/C13)*M13)+((G14/C13)*M14))&lt;=0,0, (((G13/C13)*M13)+((G14/C13)*M14))*3.571428))</f>
        <v>1.5971846710526312</v>
      </c>
      <c r="P13" s="1460">
        <f>O13/3.571428</f>
        <v>0.44721177944862145</v>
      </c>
      <c r="Q13" s="787" t="s">
        <v>99</v>
      </c>
      <c r="R13" s="173"/>
      <c r="S13" s="174" t="s">
        <v>295</v>
      </c>
      <c r="V13" s="613">
        <v>0.02</v>
      </c>
      <c r="W13" s="614" t="e">
        <f>(#REF!-(#REF!*V13))</f>
        <v>#REF!</v>
      </c>
      <c r="X13" s="614" t="e">
        <f>(W11-(V12*W11))-((W11-(V12*W11))*0.02)-(((W11-(V12*W11))-((W11-(V12*W11))*0.02))*0.02)-(((W11-(V12*W11))-((W11-(V12*W11))*0.02)-(((W11-(V12*W11))-((W11-(V12*W11))*0.02))*0.02))*0.02)</f>
        <v>#REF!</v>
      </c>
      <c r="Y13" s="619" t="e">
        <f>(W11-W14)/W11</f>
        <v>#REF!</v>
      </c>
      <c r="Z13" s="608"/>
    </row>
    <row r="14" spans="1:27" ht="33" customHeight="1" thickBot="1" x14ac:dyDescent="0.5">
      <c r="A14" s="1451"/>
      <c r="B14" s="1453"/>
      <c r="C14" s="1455"/>
      <c r="D14" s="609" t="s">
        <v>274</v>
      </c>
      <c r="E14" s="620">
        <f>$C$13/2</f>
        <v>1.7857142857142858</v>
      </c>
      <c r="F14" s="621" t="s">
        <v>8</v>
      </c>
      <c r="G14" s="622">
        <f>E14/1</f>
        <v>1.7857142857142858</v>
      </c>
      <c r="H14" s="788">
        <v>71.099999999999994</v>
      </c>
      <c r="I14" s="789">
        <v>58</v>
      </c>
      <c r="J14" s="790">
        <f>H14-I14</f>
        <v>13.099999999999994</v>
      </c>
      <c r="K14" s="791">
        <f>(0.95*(100-I14))*6/10</f>
        <v>23.939999999999998</v>
      </c>
      <c r="L14" s="792">
        <f>K14+I14</f>
        <v>81.94</v>
      </c>
      <c r="M14" s="793">
        <f>IF(K14&lt;&gt;0,J14/K14,"1%")</f>
        <v>0.54720133667502069</v>
      </c>
      <c r="N14" s="1457"/>
      <c r="O14" s="1459"/>
      <c r="P14" s="1461"/>
      <c r="Q14" s="794" t="s">
        <v>100</v>
      </c>
      <c r="R14" s="175"/>
      <c r="S14" s="176" t="s">
        <v>296</v>
      </c>
      <c r="V14" s="623">
        <v>0.02</v>
      </c>
      <c r="W14" s="624" t="e">
        <f>(#REF!-(#REF!*V14))</f>
        <v>#REF!</v>
      </c>
      <c r="X14" s="62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625" t="e">
        <f>W11-X14</f>
        <v>#REF!</v>
      </c>
      <c r="Z14" s="626"/>
    </row>
    <row r="15" spans="1:27" ht="22.25" customHeight="1" x14ac:dyDescent="0.45">
      <c r="A15" s="1492">
        <v>3</v>
      </c>
      <c r="B15" s="1493" t="s">
        <v>9</v>
      </c>
      <c r="C15" s="1495">
        <f>M5</f>
        <v>3.5714285714285716</v>
      </c>
      <c r="D15" s="1493" t="s">
        <v>113</v>
      </c>
      <c r="E15" s="1495">
        <f>$C$15/1</f>
        <v>3.5714285714285716</v>
      </c>
      <c r="F15" s="627" t="s">
        <v>221</v>
      </c>
      <c r="G15" s="628">
        <f>$E$15/3</f>
        <v>1.1904761904761905</v>
      </c>
      <c r="H15" s="795">
        <v>58.6</v>
      </c>
      <c r="I15" s="796">
        <v>54</v>
      </c>
      <c r="J15" s="797">
        <f>H15-I15</f>
        <v>4.6000000000000014</v>
      </c>
      <c r="K15" s="798">
        <f>(0.5*I15)*6/10</f>
        <v>16.2</v>
      </c>
      <c r="L15" s="771">
        <f>I15+K15</f>
        <v>70.2</v>
      </c>
      <c r="M15" s="772">
        <f>IF(K15&lt;&gt;0,J15/K15,"0%")</f>
        <v>0.28395061728395071</v>
      </c>
      <c r="N15" s="1497">
        <f>(((G15/C15)*M15)+((G16/C15)*M16)+((G17/C15)*M17))</f>
        <v>0.58533343557498163</v>
      </c>
      <c r="O15" s="1484">
        <f>IF((((G15/C15)*M15)+((G16/C15)*M16)+((G17/C15)*M17))&gt;=1,3.571428,IF((((G15/C15)*M15)+((G16/C15)*M16)+((G17/C15)*M17))&lt;=0,0,(((G15/C15)*M15)+((G16/C15)*M16)+((G17/C15)*M17))*3.571428))</f>
        <v>2.0904762211486854</v>
      </c>
      <c r="P15" s="1460">
        <f>O15/3.571428</f>
        <v>0.58533343557498163</v>
      </c>
      <c r="Q15" s="799" t="s">
        <v>101</v>
      </c>
      <c r="R15" s="177"/>
      <c r="S15" s="178"/>
    </row>
    <row r="16" spans="1:27" x14ac:dyDescent="0.45">
      <c r="A16" s="1492"/>
      <c r="B16" s="1493"/>
      <c r="C16" s="1495"/>
      <c r="D16" s="1493"/>
      <c r="E16" s="1495"/>
      <c r="F16" s="629" t="s">
        <v>220</v>
      </c>
      <c r="G16" s="630">
        <f t="shared" ref="G16:G17" si="0">$E$15/3</f>
        <v>1.1904761904761905</v>
      </c>
      <c r="H16" s="1270">
        <v>25.6</v>
      </c>
      <c r="I16" s="1271">
        <v>23</v>
      </c>
      <c r="J16" s="802">
        <f>H16-I16</f>
        <v>2.6000000000000014</v>
      </c>
      <c r="K16" s="803">
        <f>(0.5*I16)*6/10</f>
        <v>6.9</v>
      </c>
      <c r="L16" s="804">
        <f t="shared" ref="L16:L17" si="1">I16+K16</f>
        <v>29.9</v>
      </c>
      <c r="M16" s="805">
        <f>IF(K16&lt;&gt;0,J16/K16,"0%")</f>
        <v>0.37681159420289873</v>
      </c>
      <c r="N16" s="1498"/>
      <c r="O16" s="1482"/>
      <c r="P16" s="1485"/>
      <c r="Q16" s="806" t="s">
        <v>95</v>
      </c>
      <c r="R16" s="179"/>
      <c r="S16" s="180"/>
    </row>
    <row r="17" spans="1:19" ht="25.25" customHeight="1" thickBot="1" x14ac:dyDescent="0.5">
      <c r="A17" s="1492"/>
      <c r="B17" s="1494"/>
      <c r="C17" s="1496"/>
      <c r="D17" s="1494"/>
      <c r="E17" s="1496"/>
      <c r="F17" s="631" t="s">
        <v>10</v>
      </c>
      <c r="G17" s="632">
        <f t="shared" si="0"/>
        <v>1.1904761904761905</v>
      </c>
      <c r="H17" s="1272">
        <v>18.600000000000001</v>
      </c>
      <c r="I17" s="1273">
        <v>14</v>
      </c>
      <c r="J17" s="809">
        <f>H17-I17</f>
        <v>4.6000000000000014</v>
      </c>
      <c r="K17" s="810">
        <f>(0.5*I17)*6/10</f>
        <v>4.2</v>
      </c>
      <c r="L17" s="778">
        <f t="shared" si="1"/>
        <v>18.2</v>
      </c>
      <c r="M17" s="779">
        <f>IF(K17&lt;&gt;0,J17/K17,"0%")</f>
        <v>1.0952380952380956</v>
      </c>
      <c r="N17" s="1499"/>
      <c r="O17" s="1483"/>
      <c r="P17" s="1485"/>
      <c r="Q17" s="811" t="s">
        <v>162</v>
      </c>
      <c r="R17" s="181"/>
      <c r="S17" s="176" t="s">
        <v>297</v>
      </c>
    </row>
    <row r="18" spans="1:19" ht="21.4" thickBot="1" x14ac:dyDescent="0.7">
      <c r="A18" s="14"/>
      <c r="B18" s="1486" t="s">
        <v>11</v>
      </c>
      <c r="C18" s="1487"/>
      <c r="D18" s="1487"/>
      <c r="E18" s="1487"/>
      <c r="F18" s="1488"/>
      <c r="G18" s="633"/>
      <c r="H18" s="812"/>
      <c r="I18" s="812"/>
      <c r="J18" s="813"/>
      <c r="K18" s="813"/>
      <c r="L18" s="813"/>
      <c r="M18" s="814"/>
      <c r="N18" s="760">
        <f>N19</f>
        <v>0.56615663368794755</v>
      </c>
      <c r="O18" s="761">
        <f>O19</f>
        <v>2.0219876539388792</v>
      </c>
      <c r="P18" s="762">
        <f>O18/3.571428</f>
        <v>0.56615663368794755</v>
      </c>
      <c r="Q18" s="813"/>
      <c r="R18" s="182"/>
      <c r="S18" s="183"/>
    </row>
    <row r="19" spans="1:19" ht="34.25" customHeight="1" x14ac:dyDescent="0.45">
      <c r="A19" s="1451">
        <v>4</v>
      </c>
      <c r="B19" s="1469" t="s">
        <v>12</v>
      </c>
      <c r="C19" s="1473">
        <f>M5</f>
        <v>3.5714285714285716</v>
      </c>
      <c r="D19" s="635" t="s">
        <v>114</v>
      </c>
      <c r="E19" s="604">
        <f>$C$19/4</f>
        <v>0.8928571428571429</v>
      </c>
      <c r="F19" s="636" t="s">
        <v>222</v>
      </c>
      <c r="G19" s="628">
        <f>E19/1</f>
        <v>0.8928571428571429</v>
      </c>
      <c r="H19" s="1197">
        <v>40.75</v>
      </c>
      <c r="I19" s="1198">
        <v>26.1</v>
      </c>
      <c r="J19" s="815">
        <f>H19-I19</f>
        <v>14.649999999999999</v>
      </c>
      <c r="K19" s="798">
        <f>(2*I19)*6/10</f>
        <v>31.320000000000004</v>
      </c>
      <c r="L19" s="816">
        <f t="shared" ref="L19:L22" si="2">K19+I19</f>
        <v>57.42</v>
      </c>
      <c r="M19" s="772">
        <f>IF(K19&lt;&gt;0,J19/K19,"0%")</f>
        <v>0.46775223499361418</v>
      </c>
      <c r="N19" s="1477">
        <f>(((G19/C19)*M19)+((G20/C19)*M20)+((G21/C19)*M21)+((G22/C19)*M22))</f>
        <v>0.56615663368794755</v>
      </c>
      <c r="O19" s="1481">
        <f>IF((((G19/C19)*M19)+((G20/C19)*M20)+((G21/C19)*M21)+((G22/C19)*M22))&gt;=1,3.571428,IF((((G19/C19)*M19)+((G20/C19)*M20)+((G21/C19)*M21)+((G22/C19)*M22))&lt;=0,0,((((G19/C19)*M19)+((G20/C19)*M20)+((G21/C19)*M21)+((G22/C19)*M22))*3.571428)))</f>
        <v>2.0219876539388792</v>
      </c>
      <c r="P19" s="1460">
        <f>O19/3.571428</f>
        <v>0.56615663368794755</v>
      </c>
      <c r="Q19" s="817" t="s">
        <v>163</v>
      </c>
      <c r="R19" s="184"/>
      <c r="S19" s="170" t="s">
        <v>298</v>
      </c>
    </row>
    <row r="20" spans="1:19" ht="39" customHeight="1" x14ac:dyDescent="0.45">
      <c r="A20" s="1451"/>
      <c r="B20" s="1470"/>
      <c r="C20" s="1474"/>
      <c r="D20" s="637" t="s">
        <v>152</v>
      </c>
      <c r="E20" s="638">
        <f>($C$19/4)</f>
        <v>0.8928571428571429</v>
      </c>
      <c r="F20" s="639" t="s">
        <v>265</v>
      </c>
      <c r="G20" s="630">
        <f>E20/1</f>
        <v>0.8928571428571429</v>
      </c>
      <c r="H20" s="1199">
        <v>95</v>
      </c>
      <c r="I20" s="1200">
        <v>85.7</v>
      </c>
      <c r="J20" s="820">
        <f t="shared" ref="J20:J24" si="3">H20-I20</f>
        <v>9.2999999999999972</v>
      </c>
      <c r="K20" s="803">
        <f>(100-I20)*(6/10)</f>
        <v>8.5799999999999983</v>
      </c>
      <c r="L20" s="821">
        <f t="shared" si="2"/>
        <v>94.28</v>
      </c>
      <c r="M20" s="805">
        <f>IF(K20&lt;&gt;0,J20/K20,"0%")</f>
        <v>1.0839160839160837</v>
      </c>
      <c r="N20" s="1478"/>
      <c r="O20" s="1482"/>
      <c r="P20" s="1485"/>
      <c r="Q20" s="822" t="s">
        <v>164</v>
      </c>
      <c r="R20" s="185"/>
      <c r="S20" s="186" t="s">
        <v>299</v>
      </c>
    </row>
    <row r="21" spans="1:19" ht="56.45" customHeight="1" x14ac:dyDescent="0.45">
      <c r="A21" s="1451"/>
      <c r="B21" s="1470"/>
      <c r="C21" s="1474"/>
      <c r="D21" s="637" t="s">
        <v>153</v>
      </c>
      <c r="E21" s="638">
        <f t="shared" ref="E21:E22" si="4">($C$19/4)</f>
        <v>0.8928571428571429</v>
      </c>
      <c r="F21" s="639" t="s">
        <v>155</v>
      </c>
      <c r="G21" s="630">
        <f>E21/1</f>
        <v>0.8928571428571429</v>
      </c>
      <c r="H21" s="1274">
        <v>91.4</v>
      </c>
      <c r="I21" s="1275">
        <v>83</v>
      </c>
      <c r="J21" s="820">
        <f t="shared" si="3"/>
        <v>8.4000000000000057</v>
      </c>
      <c r="K21" s="803">
        <f>(0.3*I21)*6/10</f>
        <v>14.939999999999998</v>
      </c>
      <c r="L21" s="821">
        <f t="shared" si="2"/>
        <v>97.94</v>
      </c>
      <c r="M21" s="805">
        <f>IF(K21&lt;&gt;0,J21/K21,"0%")</f>
        <v>0.56224899598393618</v>
      </c>
      <c r="N21" s="1478"/>
      <c r="O21" s="1482"/>
      <c r="P21" s="1485"/>
      <c r="Q21" s="822" t="s">
        <v>165</v>
      </c>
      <c r="R21" s="185"/>
      <c r="S21" s="186" t="s">
        <v>300</v>
      </c>
    </row>
    <row r="22" spans="1:19" ht="36.6" customHeight="1" thickBot="1" x14ac:dyDescent="0.5">
      <c r="A22" s="1451"/>
      <c r="B22" s="1489"/>
      <c r="C22" s="1490"/>
      <c r="D22" s="621" t="s">
        <v>154</v>
      </c>
      <c r="E22" s="640">
        <f t="shared" si="4"/>
        <v>0.8928571428571429</v>
      </c>
      <c r="F22" s="641" t="s">
        <v>156</v>
      </c>
      <c r="G22" s="642">
        <f>E22/1</f>
        <v>0.8928571428571429</v>
      </c>
      <c r="H22" s="1203">
        <v>31.6</v>
      </c>
      <c r="I22" s="1204">
        <v>24.8</v>
      </c>
      <c r="J22" s="827">
        <f t="shared" si="3"/>
        <v>6.8000000000000007</v>
      </c>
      <c r="K22" s="810">
        <f>(100-I22)*(6/10)</f>
        <v>45.12</v>
      </c>
      <c r="L22" s="828">
        <f t="shared" si="2"/>
        <v>69.92</v>
      </c>
      <c r="M22" s="779">
        <f>IF(K22&lt;&gt;0,J22/K22,"100%")</f>
        <v>0.15070921985815605</v>
      </c>
      <c r="N22" s="1491"/>
      <c r="O22" s="1483"/>
      <c r="P22" s="1461"/>
      <c r="Q22" s="829" t="s">
        <v>95</v>
      </c>
      <c r="R22" s="187"/>
      <c r="S22" s="186" t="s">
        <v>301</v>
      </c>
    </row>
    <row r="23" spans="1:19" ht="20.45" customHeight="1" thickBot="1" x14ac:dyDescent="0.5">
      <c r="B23" s="1466" t="s">
        <v>13</v>
      </c>
      <c r="C23" s="1467"/>
      <c r="D23" s="1467"/>
      <c r="E23" s="1467"/>
      <c r="F23" s="1468"/>
      <c r="G23" s="633"/>
      <c r="H23" s="812"/>
      <c r="I23" s="812"/>
      <c r="J23" s="830"/>
      <c r="K23" s="831"/>
      <c r="L23" s="831"/>
      <c r="M23" s="814"/>
      <c r="N23" s="760">
        <f>N24</f>
        <v>0.92871555892590041</v>
      </c>
      <c r="O23" s="761">
        <f>O24</f>
        <v>3.3168407511836109</v>
      </c>
      <c r="P23" s="762">
        <f>O23/3.571428</f>
        <v>0.92871555892590041</v>
      </c>
      <c r="Q23" s="813"/>
      <c r="R23" s="188"/>
      <c r="S23" s="188"/>
    </row>
    <row r="24" spans="1:19" ht="36" customHeight="1" x14ac:dyDescent="0.45">
      <c r="A24" s="1451">
        <v>5</v>
      </c>
      <c r="B24" s="1469" t="s">
        <v>14</v>
      </c>
      <c r="C24" s="1473">
        <f>M5</f>
        <v>3.5714285714285716</v>
      </c>
      <c r="D24" s="635" t="s">
        <v>115</v>
      </c>
      <c r="E24" s="604">
        <f>$C$24/4</f>
        <v>0.8928571428571429</v>
      </c>
      <c r="F24" s="635" t="s">
        <v>280</v>
      </c>
      <c r="G24" s="604">
        <f>E24/1</f>
        <v>0.8928571428571429</v>
      </c>
      <c r="H24" s="795">
        <v>24.9</v>
      </c>
      <c r="I24" s="1198">
        <v>18.7</v>
      </c>
      <c r="J24" s="833">
        <f t="shared" si="3"/>
        <v>6.1999999999999993</v>
      </c>
      <c r="K24" s="798">
        <f>(0.3*I24)*6/10</f>
        <v>3.3659999999999997</v>
      </c>
      <c r="L24" s="816">
        <f>K24+I24</f>
        <v>22.065999999999999</v>
      </c>
      <c r="M24" s="772">
        <f t="shared" ref="M24:M31" si="5">IF(K24&lt;&gt;0,J24/K24,"0%")</f>
        <v>1.8419489007724301</v>
      </c>
      <c r="N24" s="1477">
        <f>(((G24/C24)*M24)+((G25/C24)*M25)+ ((G26/C24)*M26)+((G27/C24)*M27)+((G28/C24)*M28)+((G29/C24)*M29)+((G30/C24)*M30)+((G31/C24)*M31))</f>
        <v>0.92871555892590041</v>
      </c>
      <c r="O24" s="1481">
        <f>IF((((G24/C24)*M24)+((G25/C24)*M25)+ ((G26/C24)*M26)+((G27/C24)*M27)+((G28/C24)*M28)+((G29/C24)*M29)+((G30/C24)*M30)+((G31/C24)*M31))&gt;=1,3.571428,IF((((G24/C24)*M24)+((G25/C24)*M25)+ ((G26/C24)*M26)+((G27/C24)*M27)+((G28/C24)*M28)+((G29/C24)*M29)+((G30/C24)*M30)+((G31/C24)*M31))&lt;=0,0,((((G24/C24)*M24)+((G25/C24)*M25)+ ((G26/C24)*M26)+((G27/C24)*M27)+((G28/C24)*M28)+((G29/C24)*M29)+((G30/C24)*M30)+((G31/C24)*M31))*3.571428)))</f>
        <v>3.3168407511836109</v>
      </c>
      <c r="P24" s="1460">
        <f>O24/3.571428</f>
        <v>0.92871555892590041</v>
      </c>
      <c r="Q24" s="834" t="s">
        <v>166</v>
      </c>
      <c r="R24" s="189"/>
      <c r="S24" s="170" t="s">
        <v>302</v>
      </c>
    </row>
    <row r="25" spans="1:19" ht="19.8" customHeight="1" x14ac:dyDescent="0.45">
      <c r="A25" s="1451"/>
      <c r="B25" s="1470"/>
      <c r="C25" s="1474"/>
      <c r="D25" s="1503" t="s">
        <v>158</v>
      </c>
      <c r="E25" s="1505">
        <v>0.9</v>
      </c>
      <c r="F25" s="637" t="s">
        <v>15</v>
      </c>
      <c r="G25" s="638">
        <f>$E$25/3</f>
        <v>0.3</v>
      </c>
      <c r="H25" s="1199">
        <v>412</v>
      </c>
      <c r="I25" s="1200">
        <v>676</v>
      </c>
      <c r="J25" s="837">
        <f t="shared" ref="J25:J30" si="6">I25-H25</f>
        <v>264</v>
      </c>
      <c r="K25" s="803">
        <f>(0.5*I25)*6/10</f>
        <v>202.8</v>
      </c>
      <c r="L25" s="821">
        <f t="shared" ref="L25:L30" si="7">I25-K25</f>
        <v>473.2</v>
      </c>
      <c r="M25" s="805">
        <f t="shared" si="5"/>
        <v>1.3017751479289941</v>
      </c>
      <c r="N25" s="1478"/>
      <c r="O25" s="1482"/>
      <c r="P25" s="1485"/>
      <c r="Q25" s="838" t="s">
        <v>167</v>
      </c>
      <c r="R25" s="190"/>
      <c r="S25" s="186" t="s">
        <v>303</v>
      </c>
    </row>
    <row r="26" spans="1:19" ht="19.8" customHeight="1" x14ac:dyDescent="0.45">
      <c r="A26" s="1451"/>
      <c r="B26" s="1470"/>
      <c r="C26" s="1474"/>
      <c r="D26" s="1504"/>
      <c r="E26" s="1475"/>
      <c r="F26" s="637" t="s">
        <v>16</v>
      </c>
      <c r="G26" s="638">
        <f t="shared" ref="G26:G27" si="8">$E$25/3</f>
        <v>0.3</v>
      </c>
      <c r="H26" s="1199">
        <v>29</v>
      </c>
      <c r="I26" s="1200">
        <v>37</v>
      </c>
      <c r="J26" s="837">
        <f t="shared" si="6"/>
        <v>8</v>
      </c>
      <c r="K26" s="803">
        <f>(0.8*I26)*6/10</f>
        <v>17.760000000000002</v>
      </c>
      <c r="L26" s="821">
        <f t="shared" si="7"/>
        <v>19.239999999999998</v>
      </c>
      <c r="M26" s="805">
        <f t="shared" si="5"/>
        <v>0.4504504504504504</v>
      </c>
      <c r="N26" s="1478"/>
      <c r="O26" s="1482"/>
      <c r="P26" s="1485"/>
      <c r="Q26" s="838" t="s">
        <v>168</v>
      </c>
      <c r="R26" s="191"/>
      <c r="S26" s="186" t="s">
        <v>304</v>
      </c>
    </row>
    <row r="27" spans="1:19" ht="19.8" customHeight="1" x14ac:dyDescent="0.45">
      <c r="A27" s="1451"/>
      <c r="B27" s="1470"/>
      <c r="C27" s="1474"/>
      <c r="D27" s="1504"/>
      <c r="E27" s="1475"/>
      <c r="F27" s="637" t="s">
        <v>17</v>
      </c>
      <c r="G27" s="638">
        <f t="shared" si="8"/>
        <v>0.3</v>
      </c>
      <c r="H27" s="1199">
        <v>58.5</v>
      </c>
      <c r="I27" s="1200">
        <v>88</v>
      </c>
      <c r="J27" s="837">
        <f t="shared" si="6"/>
        <v>29.5</v>
      </c>
      <c r="K27" s="803">
        <f>(0.5*I27)*(6/10)</f>
        <v>26.4</v>
      </c>
      <c r="L27" s="821">
        <f t="shared" si="7"/>
        <v>61.6</v>
      </c>
      <c r="M27" s="805">
        <f t="shared" si="5"/>
        <v>1.1174242424242424</v>
      </c>
      <c r="N27" s="1478"/>
      <c r="O27" s="1482"/>
      <c r="P27" s="1485"/>
      <c r="Q27" s="838" t="s">
        <v>169</v>
      </c>
      <c r="R27" s="191"/>
      <c r="S27" s="186" t="s">
        <v>305</v>
      </c>
    </row>
    <row r="28" spans="1:19" ht="30.6" customHeight="1" x14ac:dyDescent="0.45">
      <c r="A28" s="21"/>
      <c r="B28" s="1470"/>
      <c r="C28" s="1474"/>
      <c r="D28" s="1503" t="s">
        <v>116</v>
      </c>
      <c r="E28" s="1505">
        <f t="shared" ref="E28:E31" si="9">$C$24/4</f>
        <v>0.8928571428571429</v>
      </c>
      <c r="F28" s="637" t="s">
        <v>148</v>
      </c>
      <c r="G28" s="638">
        <f>$E$28/3</f>
        <v>0.29761904761904762</v>
      </c>
      <c r="H28" s="1199">
        <v>0.2</v>
      </c>
      <c r="I28" s="1200">
        <v>2</v>
      </c>
      <c r="J28" s="837">
        <f t="shared" si="6"/>
        <v>1.8</v>
      </c>
      <c r="K28" s="803">
        <f>(0.5*I28)*(6/10)</f>
        <v>0.6</v>
      </c>
      <c r="L28" s="821">
        <f t="shared" si="7"/>
        <v>1.4</v>
      </c>
      <c r="M28" s="805">
        <f t="shared" si="5"/>
        <v>3</v>
      </c>
      <c r="N28" s="1479"/>
      <c r="O28" s="1482"/>
      <c r="P28" s="1485"/>
      <c r="Q28" s="838" t="s">
        <v>170</v>
      </c>
      <c r="R28" s="190"/>
      <c r="S28" s="186" t="s">
        <v>306</v>
      </c>
    </row>
    <row r="29" spans="1:19" ht="20.45" customHeight="1" x14ac:dyDescent="0.45">
      <c r="A29" s="21"/>
      <c r="B29" s="1470"/>
      <c r="C29" s="1474"/>
      <c r="D29" s="1504"/>
      <c r="E29" s="1475"/>
      <c r="F29" s="637" t="s">
        <v>149</v>
      </c>
      <c r="G29" s="638">
        <f t="shared" ref="G29:G30" si="10">$E$28/3</f>
        <v>0.29761904761904762</v>
      </c>
      <c r="H29" s="1199">
        <v>164</v>
      </c>
      <c r="I29" s="1200">
        <v>63</v>
      </c>
      <c r="J29" s="837">
        <f t="shared" si="6"/>
        <v>-101</v>
      </c>
      <c r="K29" s="803">
        <f>(0.5*I29)*(6/10)</f>
        <v>18.899999999999999</v>
      </c>
      <c r="L29" s="821">
        <f t="shared" si="7"/>
        <v>44.1</v>
      </c>
      <c r="M29" s="805">
        <f t="shared" si="5"/>
        <v>-5.3439153439153442</v>
      </c>
      <c r="N29" s="1479"/>
      <c r="O29" s="1482"/>
      <c r="P29" s="1485"/>
      <c r="Q29" s="838" t="s">
        <v>171</v>
      </c>
      <c r="R29" s="190"/>
      <c r="S29" s="186" t="s">
        <v>307</v>
      </c>
    </row>
    <row r="30" spans="1:19" ht="20.45" customHeight="1" x14ac:dyDescent="0.45">
      <c r="A30" s="21"/>
      <c r="B30" s="1471"/>
      <c r="C30" s="1475"/>
      <c r="D30" s="1504"/>
      <c r="E30" s="1475"/>
      <c r="F30" s="637" t="s">
        <v>150</v>
      </c>
      <c r="G30" s="638">
        <f t="shared" si="10"/>
        <v>0.29761904761904762</v>
      </c>
      <c r="H30" s="1199">
        <v>0.01</v>
      </c>
      <c r="I30" s="1200">
        <v>0.3</v>
      </c>
      <c r="J30" s="837">
        <f t="shared" si="6"/>
        <v>0.28999999999999998</v>
      </c>
      <c r="K30" s="803">
        <f>(0.5*I30)*(6/10)</f>
        <v>0.09</v>
      </c>
      <c r="L30" s="821">
        <f t="shared" si="7"/>
        <v>0.21</v>
      </c>
      <c r="M30" s="805">
        <f t="shared" si="5"/>
        <v>3.2222222222222223</v>
      </c>
      <c r="N30" s="1479"/>
      <c r="O30" s="1482"/>
      <c r="P30" s="1485"/>
      <c r="Q30" s="838" t="s">
        <v>172</v>
      </c>
      <c r="R30" s="190"/>
      <c r="S30" s="186"/>
    </row>
    <row r="31" spans="1:19" ht="34.9" customHeight="1" thickBot="1" x14ac:dyDescent="0.5">
      <c r="A31" s="21"/>
      <c r="B31" s="1472"/>
      <c r="C31" s="1476"/>
      <c r="D31" s="643" t="s">
        <v>117</v>
      </c>
      <c r="E31" s="612">
        <f t="shared" si="9"/>
        <v>0.8928571428571429</v>
      </c>
      <c r="F31" s="644" t="s">
        <v>223</v>
      </c>
      <c r="G31" s="612">
        <f>E31/1</f>
        <v>0.8928571428571429</v>
      </c>
      <c r="H31" s="1239">
        <v>71</v>
      </c>
      <c r="I31" s="1204">
        <v>54</v>
      </c>
      <c r="J31" s="839">
        <f t="shared" ref="J31" si="11">H31-I31</f>
        <v>17</v>
      </c>
      <c r="K31" s="810">
        <f>(100-I31)*(6/10)</f>
        <v>27.599999999999998</v>
      </c>
      <c r="L31" s="828">
        <f>K31+I31</f>
        <v>81.599999999999994</v>
      </c>
      <c r="M31" s="793">
        <f t="shared" si="5"/>
        <v>0.61594202898550732</v>
      </c>
      <c r="N31" s="1480"/>
      <c r="O31" s="1483"/>
      <c r="P31" s="1461"/>
      <c r="Q31" s="840" t="s">
        <v>95</v>
      </c>
      <c r="R31" s="192"/>
      <c r="S31" s="172" t="s">
        <v>308</v>
      </c>
    </row>
    <row r="32" spans="1:19" ht="20.45" customHeight="1" thickBot="1" x14ac:dyDescent="0.5">
      <c r="B32" s="1506" t="s">
        <v>18</v>
      </c>
      <c r="C32" s="1507"/>
      <c r="D32" s="1507"/>
      <c r="E32" s="1507"/>
      <c r="F32" s="1508"/>
      <c r="G32" s="633"/>
      <c r="H32" s="841"/>
      <c r="I32" s="842"/>
      <c r="J32" s="843"/>
      <c r="K32" s="844"/>
      <c r="L32" s="845"/>
      <c r="M32" s="846"/>
      <c r="N32" s="760">
        <f>(N33+N34+N35+N36)/4</f>
        <v>0.71176885130373513</v>
      </c>
      <c r="O32" s="761">
        <f>(O33+O34+O35+O36)</f>
        <v>6.8181807272727273</v>
      </c>
      <c r="P32" s="762">
        <f>O32/14.285712</f>
        <v>0.47727272727272729</v>
      </c>
      <c r="Q32" s="813"/>
      <c r="R32" s="183"/>
      <c r="S32" s="183"/>
    </row>
    <row r="33" spans="1:19" ht="33.6" customHeight="1" thickBot="1" x14ac:dyDescent="0.5">
      <c r="A33" s="21">
        <v>6</v>
      </c>
      <c r="B33" s="645" t="s">
        <v>19</v>
      </c>
      <c r="C33" s="646">
        <f>$M$5</f>
        <v>3.5714285714285716</v>
      </c>
      <c r="D33" s="647" t="s">
        <v>287</v>
      </c>
      <c r="E33" s="648">
        <f>C33/1</f>
        <v>3.5714285714285716</v>
      </c>
      <c r="F33" s="645" t="s">
        <v>288</v>
      </c>
      <c r="G33" s="646">
        <f>E33/1</f>
        <v>3.5714285714285716</v>
      </c>
      <c r="H33" s="1276">
        <v>9</v>
      </c>
      <c r="I33" s="1277">
        <v>9.9</v>
      </c>
      <c r="J33" s="849">
        <f>IF(H33&lt;7,(H33-7),(H33-I33))</f>
        <v>-0.90000000000000036</v>
      </c>
      <c r="K33" s="850">
        <f>IF((7-H33&gt;=0),(7-H33),0)</f>
        <v>0</v>
      </c>
      <c r="L33" s="851">
        <f>IF((I33&lt;7),7,I33)</f>
        <v>9.9</v>
      </c>
      <c r="M33" s="852">
        <f>IF(K33&lt;&gt;0,J33/7,(1+((H33-I33)/I33)))</f>
        <v>0.90909090909090906</v>
      </c>
      <c r="N33" s="853">
        <f>((G33/C33)*M33)</f>
        <v>0.90909090909090906</v>
      </c>
      <c r="O33" s="854">
        <f>IF(((G33/C33)*M33)&gt;=1,3.571428,IF(((G33/C33)*M33)&lt;=0,0,((G33/C33)*M33)*3.571428))</f>
        <v>3.2467527272727272</v>
      </c>
      <c r="P33" s="762">
        <f>O33/3.571428</f>
        <v>0.90909090909090906</v>
      </c>
      <c r="Q33" s="855" t="s">
        <v>97</v>
      </c>
      <c r="R33" s="193"/>
      <c r="S33" s="649"/>
    </row>
    <row r="34" spans="1:19" ht="51" customHeight="1" thickBot="1" x14ac:dyDescent="0.5">
      <c r="A34" s="21">
        <v>7</v>
      </c>
      <c r="B34" s="645" t="s">
        <v>20</v>
      </c>
      <c r="C34" s="646">
        <f t="shared" ref="C34:C36" si="12">$M$5</f>
        <v>3.5714285714285716</v>
      </c>
      <c r="D34" s="645" t="s">
        <v>118</v>
      </c>
      <c r="E34" s="648">
        <f t="shared" ref="E34:E36" si="13">C34/1</f>
        <v>3.5714285714285716</v>
      </c>
      <c r="F34" s="645" t="s">
        <v>21</v>
      </c>
      <c r="G34" s="646">
        <f>E34/1</f>
        <v>3.5714285714285716</v>
      </c>
      <c r="H34" s="1209">
        <v>6.8</v>
      </c>
      <c r="I34" s="1278">
        <v>4.3</v>
      </c>
      <c r="J34" s="858">
        <f>H34-I34</f>
        <v>2.5</v>
      </c>
      <c r="K34" s="859">
        <f>(0.5*I34)*(6/10)</f>
        <v>1.2899999999999998</v>
      </c>
      <c r="L34" s="860">
        <f>K34+I34</f>
        <v>5.59</v>
      </c>
      <c r="M34" s="852">
        <f>IF(K34&lt;&gt;0,J34/K34,"0%")</f>
        <v>1.9379844961240313</v>
      </c>
      <c r="N34" s="853">
        <f>((G34/C34)*M34)</f>
        <v>1.9379844961240313</v>
      </c>
      <c r="O34" s="854">
        <f>IF(((G34/C34)*M34)&gt;=1,3.571428,IF(((G34/C34)*M34)&lt;=0,0,((G34/C34)*M34)*3.571428))</f>
        <v>3.571428</v>
      </c>
      <c r="P34" s="762">
        <f t="shared" ref="P34:P36" si="14">O34/3.571428</f>
        <v>1</v>
      </c>
      <c r="Q34" s="855" t="s">
        <v>173</v>
      </c>
      <c r="R34" s="194"/>
      <c r="S34" s="206"/>
    </row>
    <row r="35" spans="1:19" ht="40.799999999999997" customHeight="1" thickBot="1" x14ac:dyDescent="0.5">
      <c r="A35" s="21">
        <v>8</v>
      </c>
      <c r="B35" s="645" t="s">
        <v>22</v>
      </c>
      <c r="C35" s="646">
        <f t="shared" si="12"/>
        <v>3.5714285714285716</v>
      </c>
      <c r="D35" s="645" t="s">
        <v>119</v>
      </c>
      <c r="E35" s="648">
        <f t="shared" si="13"/>
        <v>3.5714285714285716</v>
      </c>
      <c r="F35" s="645" t="s">
        <v>23</v>
      </c>
      <c r="G35" s="646">
        <f>E35/1</f>
        <v>3.5714285714285716</v>
      </c>
      <c r="H35" s="994">
        <v>0.3</v>
      </c>
      <c r="I35" s="980">
        <v>0.3</v>
      </c>
      <c r="J35" s="861">
        <f>H35-I35</f>
        <v>0</v>
      </c>
      <c r="K35" s="862">
        <f>IF((I35&gt;=1),0,((1-I35)*0.6))</f>
        <v>0.42</v>
      </c>
      <c r="L35" s="851">
        <f>I35+K35</f>
        <v>0.72</v>
      </c>
      <c r="M35" s="852">
        <f>IF(K35&lt;&gt;0,J35/K35,"0%")</f>
        <v>0</v>
      </c>
      <c r="N35" s="853">
        <f>((G35/C35)*M35)</f>
        <v>0</v>
      </c>
      <c r="O35" s="854">
        <f>IF(((G35/C35)*M35)&gt;=1,3.571428,IF(((G35/C35)*M35)&lt;=0,0,((G35/C35)*M35)*3.571428))</f>
        <v>0</v>
      </c>
      <c r="P35" s="762">
        <f t="shared" si="14"/>
        <v>0</v>
      </c>
      <c r="Q35" s="855" t="s">
        <v>174</v>
      </c>
      <c r="R35" s="194"/>
      <c r="S35" s="208" t="s">
        <v>536</v>
      </c>
    </row>
    <row r="36" spans="1:19" ht="32.450000000000003" customHeight="1" thickBot="1" x14ac:dyDescent="0.5">
      <c r="A36" s="21">
        <v>9</v>
      </c>
      <c r="B36" s="645" t="s">
        <v>24</v>
      </c>
      <c r="C36" s="646">
        <f t="shared" si="12"/>
        <v>3.5714285714285716</v>
      </c>
      <c r="D36" s="645" t="s">
        <v>275</v>
      </c>
      <c r="E36" s="648">
        <f t="shared" si="13"/>
        <v>3.5714285714285716</v>
      </c>
      <c r="F36" s="650" t="s">
        <v>25</v>
      </c>
      <c r="G36" s="646">
        <f>E36/1</f>
        <v>3.5714285714285716</v>
      </c>
      <c r="H36" s="1157"/>
      <c r="I36" s="1279"/>
      <c r="J36" s="865">
        <f>H36-I36</f>
        <v>0</v>
      </c>
      <c r="K36" s="866">
        <f>(1*I36)*(6/10)</f>
        <v>0</v>
      </c>
      <c r="L36" s="867">
        <f>I36+K36</f>
        <v>0</v>
      </c>
      <c r="M36" s="852" t="str">
        <f>IF(K36&lt;&gt;0,J36/K36,"0%")</f>
        <v>0%</v>
      </c>
      <c r="N36" s="853">
        <f>((G36/C36)*M36)</f>
        <v>0</v>
      </c>
      <c r="O36" s="854">
        <f>IF(((G36/C36)*M36)&gt;=1,3.571428,IF(((G36/C36)*M36)&lt;=0,0,((G36/C36)*M36)*3.571428))</f>
        <v>0</v>
      </c>
      <c r="P36" s="762">
        <f t="shared" si="14"/>
        <v>0</v>
      </c>
      <c r="Q36" s="868" t="s">
        <v>175</v>
      </c>
      <c r="R36" s="208" t="s">
        <v>537</v>
      </c>
      <c r="S36" s="461" t="s">
        <v>467</v>
      </c>
    </row>
    <row r="37" spans="1:19" ht="30.6" customHeight="1" thickBot="1" x14ac:dyDescent="0.5">
      <c r="B37" s="1500" t="s">
        <v>26</v>
      </c>
      <c r="C37" s="1501"/>
      <c r="D37" s="1501"/>
      <c r="E37" s="1501"/>
      <c r="F37" s="1502"/>
      <c r="G37" s="651"/>
      <c r="H37" s="869"/>
      <c r="I37" s="869"/>
      <c r="J37" s="870"/>
      <c r="K37" s="871"/>
      <c r="L37" s="871"/>
      <c r="M37" s="872"/>
      <c r="N37" s="760">
        <f>N38</f>
        <v>9.2592592592592532E-2</v>
      </c>
      <c r="O37" s="761">
        <f>O38</f>
        <v>0.33068777777777758</v>
      </c>
      <c r="P37" s="762">
        <f>O37/3.571428</f>
        <v>9.2592592592592532E-2</v>
      </c>
      <c r="Q37" s="873"/>
      <c r="R37" s="182"/>
      <c r="S37" s="183"/>
    </row>
    <row r="38" spans="1:19" ht="25.8" customHeight="1" x14ac:dyDescent="0.45">
      <c r="A38" s="1451">
        <v>10</v>
      </c>
      <c r="B38" s="1469" t="s">
        <v>27</v>
      </c>
      <c r="C38" s="1473">
        <f>M5</f>
        <v>3.5714285714285716</v>
      </c>
      <c r="D38" s="627" t="s">
        <v>120</v>
      </c>
      <c r="E38" s="604">
        <f>$C$38/2</f>
        <v>1.7857142857142858</v>
      </c>
      <c r="F38" s="652" t="s">
        <v>224</v>
      </c>
      <c r="G38" s="604">
        <f>E38/1</f>
        <v>1.7857142857142858</v>
      </c>
      <c r="H38" s="874">
        <v>3</v>
      </c>
      <c r="I38" s="875">
        <v>2.7</v>
      </c>
      <c r="J38" s="876">
        <f>H38-I38</f>
        <v>0.29999999999999982</v>
      </c>
      <c r="K38" s="877">
        <f>(1*I38)*(6/10)</f>
        <v>1.62</v>
      </c>
      <c r="L38" s="878">
        <f>I38+K38</f>
        <v>4.32</v>
      </c>
      <c r="M38" s="772">
        <f>IF(K38&lt;&gt;0,J38/K38,"0%")</f>
        <v>0.18518518518518506</v>
      </c>
      <c r="N38" s="1497">
        <f>(((G38/C38)*M38)+((G39/C38)*M39))</f>
        <v>9.2592592592592532E-2</v>
      </c>
      <c r="O38" s="1458">
        <f>IF((((G38/C38)*M38)+((G39/C38)*M39))&gt;=1,3.57148,IF((((G38/C38)*M38)+((G39/C38)*M39))&lt;=0,0, (((G38/C38)*M38)+((G39/C38)*M39))*3.571428))</f>
        <v>0.33068777777777758</v>
      </c>
      <c r="P38" s="1460">
        <f>O38/3.571428</f>
        <v>9.2592592592592532E-2</v>
      </c>
      <c r="Q38" s="879" t="s">
        <v>176</v>
      </c>
      <c r="R38" s="195"/>
      <c r="S38" s="462" t="s">
        <v>468</v>
      </c>
    </row>
    <row r="39" spans="1:19" ht="35.25" thickBot="1" x14ac:dyDescent="0.5">
      <c r="A39" s="1451"/>
      <c r="B39" s="1470"/>
      <c r="C39" s="1474"/>
      <c r="D39" s="629" t="s">
        <v>157</v>
      </c>
      <c r="E39" s="612">
        <f>$C$38/2</f>
        <v>1.7857142857142858</v>
      </c>
      <c r="F39" s="653" t="s">
        <v>225</v>
      </c>
      <c r="G39" s="638">
        <f>E39/1</f>
        <v>1.7857142857142858</v>
      </c>
      <c r="H39" s="1139"/>
      <c r="I39" s="1280"/>
      <c r="J39" s="882">
        <f>H39-I39</f>
        <v>0</v>
      </c>
      <c r="K39" s="883">
        <f>IF(AND(I39&gt;=10,H39&gt;=I39),0,((10-H39)*(6/10)))</f>
        <v>6</v>
      </c>
      <c r="L39" s="884">
        <f>I39+K39</f>
        <v>6</v>
      </c>
      <c r="M39" s="779">
        <f>IF(K39&lt;&gt;0,J39/K39,"0%")</f>
        <v>0</v>
      </c>
      <c r="N39" s="1498"/>
      <c r="O39" s="1459"/>
      <c r="P39" s="1461"/>
      <c r="Q39" s="885" t="s">
        <v>95</v>
      </c>
      <c r="R39" s="191"/>
      <c r="S39" s="463" t="s">
        <v>469</v>
      </c>
    </row>
    <row r="40" spans="1:19" ht="20.45" customHeight="1" thickBot="1" x14ac:dyDescent="0.5">
      <c r="B40" s="1512" t="s">
        <v>28</v>
      </c>
      <c r="C40" s="1513"/>
      <c r="D40" s="1513"/>
      <c r="E40" s="1514"/>
      <c r="F40" s="1515"/>
      <c r="G40" s="651"/>
      <c r="H40" s="886"/>
      <c r="I40" s="886"/>
      <c r="J40" s="887"/>
      <c r="K40" s="888"/>
      <c r="L40" s="888"/>
      <c r="M40" s="889"/>
      <c r="N40" s="760">
        <f>N41</f>
        <v>0.83333333333333315</v>
      </c>
      <c r="O40" s="761">
        <f>O41</f>
        <v>2.9761899999999994</v>
      </c>
      <c r="P40" s="762">
        <f>O40/3.571428</f>
        <v>0.83333333333333315</v>
      </c>
      <c r="Q40" s="890"/>
      <c r="R40" s="196"/>
      <c r="S40" s="188"/>
    </row>
    <row r="41" spans="1:19" ht="58.15" x14ac:dyDescent="0.45">
      <c r="A41" s="1451">
        <v>11</v>
      </c>
      <c r="B41" s="1516" t="s">
        <v>29</v>
      </c>
      <c r="C41" s="1518">
        <f>M5</f>
        <v>3.5714285714285716</v>
      </c>
      <c r="D41" s="654" t="s">
        <v>121</v>
      </c>
      <c r="E41" s="655">
        <f>$C$41/2</f>
        <v>1.7857142857142858</v>
      </c>
      <c r="F41" s="617" t="s">
        <v>30</v>
      </c>
      <c r="G41" s="656">
        <f>E41/1</f>
        <v>1.7857142857142858</v>
      </c>
      <c r="H41" s="1267">
        <v>0.3</v>
      </c>
      <c r="I41" s="1281">
        <v>0.2</v>
      </c>
      <c r="J41" s="893">
        <f>H41-I41</f>
        <v>9.9999999999999978E-2</v>
      </c>
      <c r="K41" s="894">
        <f>(0.5*I41)*(6/10)</f>
        <v>0.06</v>
      </c>
      <c r="L41" s="895">
        <f>I41+K41</f>
        <v>0.26</v>
      </c>
      <c r="M41" s="772">
        <f>IF(K41&lt;&gt;0,J41/K41,"0%")</f>
        <v>1.6666666666666663</v>
      </c>
      <c r="N41" s="1520">
        <f>(((G41/C41)*M41)+(G42/C41)*M42)</f>
        <v>0.83333333333333315</v>
      </c>
      <c r="O41" s="1458">
        <f>IF((((G41/C41)*M41)+((G42/C41)*M42))&gt;=1,3.57148,IF((((G41/C41)*M41)+((G42/C41)*M42))&lt;=0,0, (((G41/C41)*M41)+((G42/C41)*M42))*3.571428))</f>
        <v>2.9761899999999994</v>
      </c>
      <c r="P41" s="1460">
        <f>O41/3.571428</f>
        <v>0.83333333333333315</v>
      </c>
      <c r="Q41" s="896" t="s">
        <v>177</v>
      </c>
      <c r="R41" s="189"/>
      <c r="S41" s="170" t="s">
        <v>309</v>
      </c>
    </row>
    <row r="42" spans="1:19" ht="35.25" thickBot="1" x14ac:dyDescent="0.5">
      <c r="A42" s="1451"/>
      <c r="B42" s="1517"/>
      <c r="C42" s="1519"/>
      <c r="D42" s="657" t="s">
        <v>122</v>
      </c>
      <c r="E42" s="640">
        <f>$C$41/2</f>
        <v>1.7857142857142858</v>
      </c>
      <c r="F42" s="621" t="s">
        <v>31</v>
      </c>
      <c r="G42" s="658">
        <f>E42/1</f>
        <v>1.7857142857142858</v>
      </c>
      <c r="H42" s="1218"/>
      <c r="I42" s="1282"/>
      <c r="J42" s="899">
        <f>H42-I42</f>
        <v>0</v>
      </c>
      <c r="K42" s="791">
        <f>(0.5*I42)*(6/10)</f>
        <v>0</v>
      </c>
      <c r="L42" s="900">
        <f>I42+K42</f>
        <v>0</v>
      </c>
      <c r="M42" s="779" t="str">
        <f>IF(K42&lt;&gt;0,J42/K42,"0%")</f>
        <v>0%</v>
      </c>
      <c r="N42" s="1520"/>
      <c r="O42" s="1459"/>
      <c r="P42" s="1461"/>
      <c r="Q42" s="896" t="s">
        <v>95</v>
      </c>
      <c r="R42" s="197"/>
      <c r="S42" s="460" t="s">
        <v>469</v>
      </c>
    </row>
    <row r="43" spans="1:19" ht="30.6" customHeight="1" thickBot="1" x14ac:dyDescent="0.5">
      <c r="B43" s="1486" t="s">
        <v>32</v>
      </c>
      <c r="C43" s="1487"/>
      <c r="D43" s="1487"/>
      <c r="E43" s="1487"/>
      <c r="F43" s="1488"/>
      <c r="G43" s="633"/>
      <c r="H43" s="901"/>
      <c r="I43" s="901"/>
      <c r="J43" s="902"/>
      <c r="K43" s="903"/>
      <c r="L43" s="903"/>
      <c r="M43" s="904"/>
      <c r="N43" s="760">
        <f>N44</f>
        <v>0.86714089490991497</v>
      </c>
      <c r="O43" s="761">
        <f>O44</f>
        <v>3.0969312720263278</v>
      </c>
      <c r="P43" s="762">
        <f>O43/3.571428</f>
        <v>0.86714089490991497</v>
      </c>
      <c r="Q43" s="905"/>
      <c r="R43" s="188"/>
      <c r="S43" s="188"/>
    </row>
    <row r="44" spans="1:19" ht="37.799999999999997" customHeight="1" x14ac:dyDescent="0.45">
      <c r="A44" s="1451">
        <v>12</v>
      </c>
      <c r="B44" s="1509" t="s">
        <v>33</v>
      </c>
      <c r="C44" s="1473">
        <f>M5</f>
        <v>3.5714285714285716</v>
      </c>
      <c r="D44" s="635" t="s">
        <v>123</v>
      </c>
      <c r="E44" s="660">
        <f>C44/2</f>
        <v>1.7857142857142858</v>
      </c>
      <c r="F44" s="635" t="s">
        <v>34</v>
      </c>
      <c r="G44" s="604">
        <f>$E$44/1</f>
        <v>1.7857142857142858</v>
      </c>
      <c r="H44" s="1283">
        <v>1.36</v>
      </c>
      <c r="I44" s="1284">
        <v>0.222</v>
      </c>
      <c r="J44" s="908">
        <f>IF(I44=H44,(H44-30),H44-I44)</f>
        <v>1.1380000000000001</v>
      </c>
      <c r="K44" s="798">
        <f>IF(I44&gt;=30,0,((30-I44)*(6/10)))</f>
        <v>17.866799999999998</v>
      </c>
      <c r="L44" s="909">
        <f>I44+K44</f>
        <v>18.088799999999999</v>
      </c>
      <c r="M44" s="772">
        <f>IF(I44&gt;=30,(1+(H44-30)/30),(J44/K44))</f>
        <v>6.3693554525712515E-2</v>
      </c>
      <c r="N44" s="1497">
        <f>(((G44/C44)*M44)+((G45/C44)*M45))</f>
        <v>0.86714089490991497</v>
      </c>
      <c r="O44" s="1458">
        <f>IF((((G44/C44)*M44)+((G45/C44)*M45))&gt;=1,3.57148,IF((((G44/C44)*M44)+((G45/C44)*M45))&lt;=0,0, (((G44/C44)*M44)+((G45/C44)*M45))*3.571428))</f>
        <v>3.0969312720263278</v>
      </c>
      <c r="P44" s="1460">
        <f>O44/3.571428</f>
        <v>0.86714089490991497</v>
      </c>
      <c r="Q44" s="799" t="s">
        <v>178</v>
      </c>
      <c r="R44" s="198"/>
      <c r="S44" s="178" t="s">
        <v>310</v>
      </c>
    </row>
    <row r="45" spans="1:19" ht="57.4" thickBot="1" x14ac:dyDescent="0.5">
      <c r="A45" s="1451"/>
      <c r="B45" s="1510"/>
      <c r="C45" s="1511"/>
      <c r="D45" s="643" t="s">
        <v>124</v>
      </c>
      <c r="E45" s="661">
        <f>(C44/2)</f>
        <v>1.7857142857142858</v>
      </c>
      <c r="F45" s="644" t="s">
        <v>35</v>
      </c>
      <c r="G45" s="612">
        <f>$E$45/1</f>
        <v>1.7857142857142858</v>
      </c>
      <c r="H45" s="1127">
        <v>28.4</v>
      </c>
      <c r="I45" s="1128">
        <v>16.398</v>
      </c>
      <c r="J45" s="912">
        <f>IF(I45=H45,(H45-17),H45-I45)</f>
        <v>12.001999999999999</v>
      </c>
      <c r="K45" s="913">
        <f>IF(I45&gt;=17,0,((17-I45)*(6/10)))</f>
        <v>0.36120000000000019</v>
      </c>
      <c r="L45" s="914">
        <f>I45+K45</f>
        <v>16.7592</v>
      </c>
      <c r="M45" s="786">
        <f>IF(I45&gt;=17,(1+(H45-17)/17),(H45/17))</f>
        <v>1.6705882352941175</v>
      </c>
      <c r="N45" s="1499"/>
      <c r="O45" s="1459"/>
      <c r="P45" s="1461"/>
      <c r="Q45" s="811" t="s">
        <v>179</v>
      </c>
      <c r="R45" s="199"/>
      <c r="S45" s="200" t="s">
        <v>389</v>
      </c>
    </row>
    <row r="46" spans="1:19" ht="30.6" customHeight="1" thickBot="1" x14ac:dyDescent="0.5">
      <c r="B46" s="1525" t="s">
        <v>36</v>
      </c>
      <c r="C46" s="1526"/>
      <c r="D46" s="1526"/>
      <c r="E46" s="1526"/>
      <c r="F46" s="1527"/>
      <c r="G46" s="662"/>
      <c r="H46" s="1285"/>
      <c r="I46" s="1286"/>
      <c r="J46" s="918"/>
      <c r="K46" s="919"/>
      <c r="L46" s="919"/>
      <c r="M46" s="920"/>
      <c r="N46" s="760">
        <f>(N47+N50+N52)/3</f>
        <v>1.0140457154599691</v>
      </c>
      <c r="O46" s="761">
        <f>(O47+O50+O52)</f>
        <v>7.1428560000000001</v>
      </c>
      <c r="P46" s="762">
        <f>O46/10.714284</f>
        <v>0.66666666666666674</v>
      </c>
      <c r="Q46" s="921"/>
      <c r="R46" s="201"/>
      <c r="S46" s="201" t="s">
        <v>311</v>
      </c>
    </row>
    <row r="47" spans="1:19" ht="20.45" customHeight="1" thickBot="1" x14ac:dyDescent="0.5">
      <c r="B47" s="1466" t="s">
        <v>37</v>
      </c>
      <c r="C47" s="1467"/>
      <c r="D47" s="1467"/>
      <c r="E47" s="1467"/>
      <c r="F47" s="1468"/>
      <c r="G47" s="663"/>
      <c r="H47" s="886"/>
      <c r="I47" s="886"/>
      <c r="J47" s="922"/>
      <c r="K47" s="923"/>
      <c r="L47" s="923"/>
      <c r="M47" s="904"/>
      <c r="N47" s="760">
        <f>N48</f>
        <v>-1.7693381180223223E-2</v>
      </c>
      <c r="O47" s="761">
        <f>O48</f>
        <v>0</v>
      </c>
      <c r="P47" s="762">
        <f>O47/3.571428</f>
        <v>0</v>
      </c>
      <c r="Q47" s="905"/>
      <c r="R47" s="188"/>
      <c r="S47" s="188"/>
    </row>
    <row r="48" spans="1:19" ht="37.799999999999997" customHeight="1" thickBot="1" x14ac:dyDescent="0.5">
      <c r="A48" s="1451">
        <v>13</v>
      </c>
      <c r="B48" s="1509" t="s">
        <v>38</v>
      </c>
      <c r="C48" s="1473">
        <f>M5</f>
        <v>3.5714285714285716</v>
      </c>
      <c r="D48" s="635" t="s">
        <v>125</v>
      </c>
      <c r="E48" s="604">
        <f>$C$48/2</f>
        <v>1.7857142857142858</v>
      </c>
      <c r="F48" s="664" t="s">
        <v>289</v>
      </c>
      <c r="G48" s="604">
        <f>E48/1</f>
        <v>1.7857142857142858</v>
      </c>
      <c r="H48" s="1120"/>
      <c r="I48" s="1287"/>
      <c r="J48" s="926">
        <f>H48-I48</f>
        <v>0</v>
      </c>
      <c r="K48" s="927">
        <f>(0.5*I48)* (6/10)</f>
        <v>0</v>
      </c>
      <c r="L48" s="928">
        <f>I48-K48</f>
        <v>0</v>
      </c>
      <c r="M48" s="786" t="str">
        <f>IF(K48&lt;&gt;0,J48/K48,"0%")</f>
        <v>0%</v>
      </c>
      <c r="N48" s="1528">
        <f>(((G48/C48)*M48)+((G49/C48)*M49))</f>
        <v>-1.7693381180223223E-2</v>
      </c>
      <c r="O48" s="1458">
        <f>IF((((G48/C48)*M48)+((G49/C48)*M49))&gt;=1,3.57148,IF((((G48/C48)*M48)+((G49/C48)*M49))&lt;=0,0, (((G48/C48)*M48)+((G49/C48)*M49))*3.571428))</f>
        <v>0</v>
      </c>
      <c r="P48" s="1460">
        <f>O48/3.571428</f>
        <v>0</v>
      </c>
      <c r="Q48" s="834" t="s">
        <v>95</v>
      </c>
      <c r="R48" s="195"/>
      <c r="S48" s="201" t="s">
        <v>538</v>
      </c>
    </row>
    <row r="49" spans="1:19" ht="46.9" customHeight="1" thickBot="1" x14ac:dyDescent="0.5">
      <c r="A49" s="1451"/>
      <c r="B49" s="1510"/>
      <c r="C49" s="1511"/>
      <c r="D49" s="643" t="s">
        <v>126</v>
      </c>
      <c r="E49" s="612">
        <f>$C$48/2</f>
        <v>1.7857142857142858</v>
      </c>
      <c r="F49" s="643" t="s">
        <v>290</v>
      </c>
      <c r="G49" s="612">
        <f>E49/1</f>
        <v>1.7857142857142858</v>
      </c>
      <c r="H49" s="1288">
        <v>16.010000000000002</v>
      </c>
      <c r="I49" s="1289">
        <v>16.72</v>
      </c>
      <c r="J49" s="839">
        <f>H49-I49</f>
        <v>-0.7099999999999973</v>
      </c>
      <c r="K49" s="931">
        <f>(2*I49)*(6/10)</f>
        <v>20.063999999999997</v>
      </c>
      <c r="L49" s="932">
        <f>I49+K49</f>
        <v>36.783999999999992</v>
      </c>
      <c r="M49" s="779">
        <f>IF(K49&lt;&gt;0,J49/K49,"0%")</f>
        <v>-3.5386762360446446E-2</v>
      </c>
      <c r="N49" s="1529"/>
      <c r="O49" s="1459"/>
      <c r="P49" s="1461"/>
      <c r="Q49" s="840" t="s">
        <v>95</v>
      </c>
      <c r="R49" s="197"/>
      <c r="S49" s="665" t="s">
        <v>539</v>
      </c>
    </row>
    <row r="50" spans="1:19" ht="15" customHeight="1" thickBot="1" x14ac:dyDescent="0.5">
      <c r="B50" s="1486" t="s">
        <v>39</v>
      </c>
      <c r="C50" s="1487"/>
      <c r="D50" s="1487"/>
      <c r="E50" s="1487"/>
      <c r="F50" s="1488"/>
      <c r="G50" s="666"/>
      <c r="H50" s="1290"/>
      <c r="I50" s="1290"/>
      <c r="J50" s="934"/>
      <c r="K50" s="934"/>
      <c r="L50" s="934"/>
      <c r="M50" s="935"/>
      <c r="N50" s="760">
        <f>N51</f>
        <v>1.6666666666666667</v>
      </c>
      <c r="O50" s="761">
        <f>O51</f>
        <v>3.571428</v>
      </c>
      <c r="P50" s="762">
        <f>O50/3.571428</f>
        <v>1</v>
      </c>
      <c r="Q50" s="936"/>
      <c r="R50" s="202"/>
      <c r="S50" s="202"/>
    </row>
    <row r="51" spans="1:19" ht="30.6" customHeight="1" thickBot="1" x14ac:dyDescent="0.5">
      <c r="A51" s="20">
        <v>14</v>
      </c>
      <c r="B51" s="667" t="s">
        <v>226</v>
      </c>
      <c r="C51" s="668">
        <f>M5</f>
        <v>3.5714285714285716</v>
      </c>
      <c r="D51" s="669" t="s">
        <v>272</v>
      </c>
      <c r="E51" s="670">
        <f>C51</f>
        <v>3.5714285714285716</v>
      </c>
      <c r="F51" s="671" t="s">
        <v>266</v>
      </c>
      <c r="G51" s="672">
        <f>E51/1</f>
        <v>3.5714285714285716</v>
      </c>
      <c r="H51" s="937">
        <v>100</v>
      </c>
      <c r="I51" s="938">
        <v>0</v>
      </c>
      <c r="J51" s="939">
        <f>H51-I51</f>
        <v>100</v>
      </c>
      <c r="K51" s="940">
        <f>(100-I51)*(6/10)</f>
        <v>60</v>
      </c>
      <c r="L51" s="941">
        <f>I51+K51</f>
        <v>60</v>
      </c>
      <c r="M51" s="793">
        <f>IF(K51&lt;&gt;0,J51/K51,"100%")</f>
        <v>1.6666666666666667</v>
      </c>
      <c r="N51" s="853">
        <f>((G51/C51)*M51)</f>
        <v>1.6666666666666667</v>
      </c>
      <c r="O51" s="854">
        <f>IF(((G51/C51)*M51)&gt;=1,3.571428,IF(((G51/C51)*M51)&lt;=0,0,((G51/C51)*M51)*3.571428))</f>
        <v>3.571428</v>
      </c>
      <c r="P51" s="762">
        <f>O51/3.571428</f>
        <v>1</v>
      </c>
      <c r="Q51" s="942" t="s">
        <v>95</v>
      </c>
      <c r="R51" s="203"/>
      <c r="S51" s="464" t="s">
        <v>470</v>
      </c>
    </row>
    <row r="52" spans="1:19" ht="20.45" customHeight="1" thickBot="1" x14ac:dyDescent="0.5">
      <c r="B52" s="1486" t="s">
        <v>40</v>
      </c>
      <c r="C52" s="1487"/>
      <c r="D52" s="1487"/>
      <c r="E52" s="1487"/>
      <c r="F52" s="1488"/>
      <c r="G52" s="663"/>
      <c r="H52" s="886"/>
      <c r="I52" s="886"/>
      <c r="J52" s="922"/>
      <c r="K52" s="923"/>
      <c r="L52" s="923"/>
      <c r="M52" s="832"/>
      <c r="N52" s="760">
        <f>N53</f>
        <v>1.3931638608934636</v>
      </c>
      <c r="O52" s="761">
        <f>O53</f>
        <v>3.571428</v>
      </c>
      <c r="P52" s="762">
        <f>O52/3.571428</f>
        <v>1</v>
      </c>
      <c r="Q52" s="943"/>
      <c r="R52" s="188"/>
      <c r="S52" s="188"/>
    </row>
    <row r="53" spans="1:19" ht="43.8" customHeight="1" x14ac:dyDescent="0.45">
      <c r="A53" s="1451">
        <v>15</v>
      </c>
      <c r="B53" s="1469" t="s">
        <v>108</v>
      </c>
      <c r="C53" s="1473">
        <f>M5</f>
        <v>3.5714285714285716</v>
      </c>
      <c r="D53" s="674" t="s">
        <v>127</v>
      </c>
      <c r="E53" s="675">
        <f>$C$53/5</f>
        <v>0.7142857142857143</v>
      </c>
      <c r="F53" s="676" t="s">
        <v>41</v>
      </c>
      <c r="G53" s="628">
        <f>E53/1</f>
        <v>0.7142857142857143</v>
      </c>
      <c r="H53" s="906">
        <v>100</v>
      </c>
      <c r="I53" s="907">
        <v>0</v>
      </c>
      <c r="J53" s="815">
        <f>H53-I53</f>
        <v>100</v>
      </c>
      <c r="K53" s="927">
        <f>(100-I53)*(6/10)</f>
        <v>60</v>
      </c>
      <c r="L53" s="878">
        <f t="shared" ref="L53:L58" si="15">I53+K53</f>
        <v>60</v>
      </c>
      <c r="M53" s="772">
        <f t="shared" ref="M53:M55" si="16">IF(K53&lt;&gt;0,J53/K53,"0%")</f>
        <v>1.6666666666666667</v>
      </c>
      <c r="N53" s="1522">
        <f>(((G53/C53)*M53)+((G54/C53)*M54)+((G55/C53)*M55)+((G56/C53)*M56)+((G57/C53)*M57)+((G58/C53)*M58))</f>
        <v>1.3931638608934636</v>
      </c>
      <c r="O53" s="1533">
        <f>IF((((G53/C53)*M53)+((G54/C53)*M54)+((G55/C53)*M55)+((G56/C53)*M56)+((G57/C53)*M57)+((G58/C53)*M58))&gt;=1,3.571428,IF((((G53/C53)*M53)+((G54/C53)*M54)+((G55/C53)*M55)+((G56/C53)*M56)+((G57/C53)*M57)+((G58/C53)*M58))&lt;=0,0,((((G53/C53)*M53)+((G54/C53)*M54)+((G55/C53)*M55)+((G56/C53)*M56)+((G57/C53)*M57)+((G58/C53)*M58))*3.571428)))</f>
        <v>3.571428</v>
      </c>
      <c r="P53" s="1460">
        <f>O53/3.571428</f>
        <v>1</v>
      </c>
      <c r="Q53" s="1291" t="s">
        <v>95</v>
      </c>
      <c r="R53" s="677"/>
      <c r="S53" s="678" t="s">
        <v>471</v>
      </c>
    </row>
    <row r="54" spans="1:19" ht="35.450000000000003" customHeight="1" x14ac:dyDescent="0.45">
      <c r="A54" s="1451"/>
      <c r="B54" s="1470"/>
      <c r="C54" s="1474"/>
      <c r="D54" s="679" t="s">
        <v>128</v>
      </c>
      <c r="E54" s="680">
        <f t="shared" ref="E54:E57" si="17">$C$53/5</f>
        <v>0.7142857142857143</v>
      </c>
      <c r="F54" s="681" t="s">
        <v>42</v>
      </c>
      <c r="G54" s="630">
        <f>E54/1</f>
        <v>0.7142857142857143</v>
      </c>
      <c r="H54" s="880">
        <v>100</v>
      </c>
      <c r="I54" s="1205">
        <v>0</v>
      </c>
      <c r="J54" s="820">
        <f>H54-I54</f>
        <v>100</v>
      </c>
      <c r="K54" s="883">
        <f>(100-I54)*(6/6)</f>
        <v>100</v>
      </c>
      <c r="L54" s="884">
        <f>I54+K54</f>
        <v>100</v>
      </c>
      <c r="M54" s="805">
        <f t="shared" si="16"/>
        <v>1</v>
      </c>
      <c r="N54" s="1523"/>
      <c r="O54" s="1482"/>
      <c r="P54" s="1485"/>
      <c r="Q54" s="1292" t="s">
        <v>95</v>
      </c>
      <c r="R54" s="682"/>
      <c r="S54" s="683" t="s">
        <v>472</v>
      </c>
    </row>
    <row r="55" spans="1:19" ht="34.25" customHeight="1" x14ac:dyDescent="0.45">
      <c r="A55" s="1451"/>
      <c r="B55" s="1470"/>
      <c r="C55" s="1474"/>
      <c r="D55" s="679" t="s">
        <v>129</v>
      </c>
      <c r="E55" s="680">
        <f t="shared" si="17"/>
        <v>0.7142857142857143</v>
      </c>
      <c r="F55" s="681" t="s">
        <v>43</v>
      </c>
      <c r="G55" s="630">
        <f>E55/1</f>
        <v>0.7142857142857143</v>
      </c>
      <c r="H55" s="880">
        <v>100</v>
      </c>
      <c r="I55" s="1205">
        <v>0</v>
      </c>
      <c r="J55" s="820">
        <f>H55-I55</f>
        <v>100</v>
      </c>
      <c r="K55" s="883">
        <f>(100-I55)*(6/10)</f>
        <v>60</v>
      </c>
      <c r="L55" s="884">
        <f t="shared" si="15"/>
        <v>60</v>
      </c>
      <c r="M55" s="805">
        <f t="shared" si="16"/>
        <v>1.6666666666666667</v>
      </c>
      <c r="N55" s="1523"/>
      <c r="O55" s="1482"/>
      <c r="P55" s="1485"/>
      <c r="Q55" s="1292" t="s">
        <v>95</v>
      </c>
      <c r="R55" s="684" t="s">
        <v>473</v>
      </c>
      <c r="S55" s="685" t="s">
        <v>540</v>
      </c>
    </row>
    <row r="56" spans="1:19" ht="37.25" customHeight="1" x14ac:dyDescent="0.45">
      <c r="A56" s="1451"/>
      <c r="B56" s="1470"/>
      <c r="C56" s="1474"/>
      <c r="D56" s="679" t="s">
        <v>130</v>
      </c>
      <c r="E56" s="680">
        <f t="shared" si="17"/>
        <v>0.7142857142857143</v>
      </c>
      <c r="F56" s="681" t="s">
        <v>44</v>
      </c>
      <c r="G56" s="630">
        <f>E56/1</f>
        <v>0.7142857142857143</v>
      </c>
      <c r="H56" s="1293">
        <v>4554.58</v>
      </c>
      <c r="I56" s="1293">
        <v>2400</v>
      </c>
      <c r="J56" s="820">
        <f>H56-I56</f>
        <v>2154.58</v>
      </c>
      <c r="K56" s="953">
        <f>(0.5*I56)*(6/7)</f>
        <v>1028.5714285714284</v>
      </c>
      <c r="L56" s="884">
        <f t="shared" si="15"/>
        <v>3428.5714285714284</v>
      </c>
      <c r="M56" s="805">
        <f>IF(K56&lt;&gt;0,J56/K56,"0%")</f>
        <v>2.0947305555555555</v>
      </c>
      <c r="N56" s="1523"/>
      <c r="O56" s="1482"/>
      <c r="P56" s="1485"/>
      <c r="Q56" s="1292" t="s">
        <v>101</v>
      </c>
      <c r="R56" s="180" t="s">
        <v>312</v>
      </c>
      <c r="S56" s="180" t="s">
        <v>541</v>
      </c>
    </row>
    <row r="57" spans="1:19" ht="22.8" customHeight="1" x14ac:dyDescent="0.45">
      <c r="A57" s="1451"/>
      <c r="B57" s="1470"/>
      <c r="C57" s="1474"/>
      <c r="D57" s="1535" t="s">
        <v>131</v>
      </c>
      <c r="E57" s="1537">
        <f t="shared" si="17"/>
        <v>0.7142857142857143</v>
      </c>
      <c r="F57" s="681" t="s">
        <v>45</v>
      </c>
      <c r="G57" s="630">
        <f>$E$57/2</f>
        <v>0.35714285714285715</v>
      </c>
      <c r="H57" s="1230">
        <v>40.409999999999997</v>
      </c>
      <c r="I57" s="1200">
        <v>28.3</v>
      </c>
      <c r="J57" s="820">
        <f t="shared" ref="J57:J58" si="18">H57-I57</f>
        <v>12.109999999999996</v>
      </c>
      <c r="K57" s="955">
        <f>(1*I57)*(6/10)</f>
        <v>16.98</v>
      </c>
      <c r="L57" s="884">
        <f t="shared" si="15"/>
        <v>45.28</v>
      </c>
      <c r="M57" s="805">
        <f>IF(K57&lt;&gt;0,J57/K57,"0%")</f>
        <v>0.71319199057714933</v>
      </c>
      <c r="N57" s="1523"/>
      <c r="O57" s="1482"/>
      <c r="P57" s="1485"/>
      <c r="Q57" s="1292" t="s">
        <v>180</v>
      </c>
      <c r="R57" s="682"/>
      <c r="S57" s="180" t="s">
        <v>313</v>
      </c>
    </row>
    <row r="58" spans="1:19" ht="15" customHeight="1" thickBot="1" x14ac:dyDescent="0.5">
      <c r="A58" s="1451"/>
      <c r="B58" s="1521"/>
      <c r="C58" s="1511"/>
      <c r="D58" s="1536"/>
      <c r="E58" s="1538"/>
      <c r="F58" s="611" t="s">
        <v>46</v>
      </c>
      <c r="G58" s="632">
        <f>$E$57/2</f>
        <v>0.35714285714285715</v>
      </c>
      <c r="H58" s="1203">
        <v>5.6</v>
      </c>
      <c r="I58" s="1204">
        <v>4.5999999999999996</v>
      </c>
      <c r="J58" s="827">
        <f t="shared" si="18"/>
        <v>1</v>
      </c>
      <c r="K58" s="931">
        <f>(1*I58)*(6/10)</f>
        <v>2.76</v>
      </c>
      <c r="L58" s="956">
        <f t="shared" si="15"/>
        <v>7.3599999999999994</v>
      </c>
      <c r="M58" s="779">
        <f>IF(K58&lt;&gt;0,J58/K58,"0%")</f>
        <v>0.3623188405797102</v>
      </c>
      <c r="N58" s="1524"/>
      <c r="O58" s="1483"/>
      <c r="P58" s="1461"/>
      <c r="Q58" s="1294" t="s">
        <v>95</v>
      </c>
      <c r="R58" s="199"/>
      <c r="S58" s="200" t="s">
        <v>314</v>
      </c>
    </row>
    <row r="59" spans="1:19" ht="23.45" customHeight="1" thickBot="1" x14ac:dyDescent="0.5">
      <c r="B59" s="1525" t="s">
        <v>47</v>
      </c>
      <c r="C59" s="1526"/>
      <c r="D59" s="1526"/>
      <c r="E59" s="1526"/>
      <c r="F59" s="1527"/>
      <c r="G59" s="686"/>
      <c r="H59" s="1295"/>
      <c r="I59" s="1295"/>
      <c r="J59" s="959"/>
      <c r="K59" s="959"/>
      <c r="L59" s="959"/>
      <c r="M59" s="920"/>
      <c r="N59" s="760">
        <f>(N60+N67)/2</f>
        <v>0.44047619047619052</v>
      </c>
      <c r="O59" s="761">
        <f>(O60+O67)</f>
        <v>3.1462580000000004</v>
      </c>
      <c r="P59" s="762">
        <f>O59/7.142856</f>
        <v>0.44047619047619052</v>
      </c>
      <c r="Q59" s="960"/>
      <c r="R59" s="204"/>
      <c r="S59" s="205"/>
    </row>
    <row r="60" spans="1:19" ht="22.25" customHeight="1" thickBot="1" x14ac:dyDescent="0.5">
      <c r="B60" s="1486" t="s">
        <v>48</v>
      </c>
      <c r="C60" s="1487"/>
      <c r="D60" s="1487"/>
      <c r="E60" s="1487"/>
      <c r="F60" s="1488"/>
      <c r="G60" s="633"/>
      <c r="H60" s="961"/>
      <c r="I60" s="961"/>
      <c r="J60" s="830"/>
      <c r="K60" s="831"/>
      <c r="L60" s="831"/>
      <c r="M60" s="904"/>
      <c r="N60" s="760">
        <f>N61</f>
        <v>0.88095238095238104</v>
      </c>
      <c r="O60" s="761">
        <f>O61</f>
        <v>3.1462580000000004</v>
      </c>
      <c r="P60" s="762">
        <f>O60/3.571428</f>
        <v>0.88095238095238104</v>
      </c>
      <c r="Q60" s="813"/>
      <c r="R60" s="188"/>
      <c r="S60" s="188"/>
    </row>
    <row r="61" spans="1:19" ht="39" customHeight="1" x14ac:dyDescent="0.45">
      <c r="A61" s="1451">
        <v>16</v>
      </c>
      <c r="B61" s="1469" t="s">
        <v>49</v>
      </c>
      <c r="C61" s="1473">
        <f>M5</f>
        <v>3.5714285714285716</v>
      </c>
      <c r="D61" s="635" t="s">
        <v>133</v>
      </c>
      <c r="E61" s="604">
        <f>$C$61/4</f>
        <v>0.8928571428571429</v>
      </c>
      <c r="F61" s="635" t="s">
        <v>50</v>
      </c>
      <c r="G61" s="628">
        <f>E61/1</f>
        <v>0.8928571428571429</v>
      </c>
      <c r="H61" s="1111">
        <v>100</v>
      </c>
      <c r="I61" s="1143">
        <v>100</v>
      </c>
      <c r="J61" s="908">
        <f>IF(I61=H61,(H61-70),H61-I61)</f>
        <v>30</v>
      </c>
      <c r="K61" s="798">
        <f>IF(I61&gt;=70,0,((70-I61)*(6/10)))</f>
        <v>0</v>
      </c>
      <c r="L61" s="964">
        <f t="shared" ref="L61:L66" si="19">I61+K61</f>
        <v>100</v>
      </c>
      <c r="M61" s="772">
        <f>IF(I61&gt;=70,(1+(H61-70)/70),(J61/K61))</f>
        <v>1.4285714285714286</v>
      </c>
      <c r="N61" s="1530">
        <f>(((G61/C61)*M61)+((G62/C61)*M62)+((G63/C61)*M63)+((G64/C61)*M64)+((G65/C61)*M65)+((G66/C61)*M66))</f>
        <v>0.88095238095238104</v>
      </c>
      <c r="O61" s="1533">
        <f>IF((((G61/C61)*M61)+((G62/C61)*M62)+((G63/C61)*M63)+((G64/C61)*M64)+((G65/C61)*M65)+((G66/C61)*M66))&gt;=1,3.571428,IF((((G61/C61)*M61)+((G62/C61)*M62)+((G63/C61)*M63)+((G64/C61)*M64)+((G65/C61)*M65)+((G66/C61)*M66))&lt;=0,0,((((G61/C61)*M61)+((G62/C61)*M62)+((G63/C61)*M63)+((G64/C61)*M64)+((G65/C61)*M65)+((G66/C61)*M66))*3.571428)))</f>
        <v>3.1462580000000004</v>
      </c>
      <c r="P61" s="1460">
        <f>O61/3.571428</f>
        <v>0.88095238095238104</v>
      </c>
      <c r="Q61" s="879" t="s">
        <v>181</v>
      </c>
      <c r="R61" s="195"/>
      <c r="S61" s="462" t="s">
        <v>469</v>
      </c>
    </row>
    <row r="62" spans="1:19" ht="58.25" customHeight="1" thickBot="1" x14ac:dyDescent="0.5">
      <c r="A62" s="1451"/>
      <c r="B62" s="1470"/>
      <c r="C62" s="1474"/>
      <c r="D62" s="637" t="s">
        <v>134</v>
      </c>
      <c r="E62" s="638">
        <f t="shared" ref="E62:E63" si="20">$C$61/4</f>
        <v>0.8928571428571429</v>
      </c>
      <c r="F62" s="679" t="s">
        <v>276</v>
      </c>
      <c r="G62" s="630">
        <f>$E$62/1</f>
        <v>0.8928571428571429</v>
      </c>
      <c r="H62" s="1199">
        <v>50.2</v>
      </c>
      <c r="I62" s="1140"/>
      <c r="J62" s="965">
        <f>IF(I62=H62,(H62-70),H62-I62)</f>
        <v>50.2</v>
      </c>
      <c r="K62" s="803">
        <f t="shared" ref="K62:K63" si="21">IF(I62&gt;=70,0,((70-I62)*(6/10)))</f>
        <v>42</v>
      </c>
      <c r="L62" s="966">
        <f t="shared" si="19"/>
        <v>42</v>
      </c>
      <c r="M62" s="805" t="str">
        <f>IF(I62=0,"0%",J62/K62)</f>
        <v>0%</v>
      </c>
      <c r="N62" s="1531"/>
      <c r="O62" s="1482"/>
      <c r="P62" s="1485"/>
      <c r="Q62" s="885" t="s">
        <v>182</v>
      </c>
      <c r="R62" s="191"/>
      <c r="S62" s="463" t="s">
        <v>474</v>
      </c>
    </row>
    <row r="63" spans="1:19" ht="26.45" customHeight="1" thickBot="1" x14ac:dyDescent="0.5">
      <c r="A63" s="1451"/>
      <c r="B63" s="1470"/>
      <c r="C63" s="1474"/>
      <c r="D63" s="637" t="s">
        <v>135</v>
      </c>
      <c r="E63" s="638">
        <f t="shared" si="20"/>
        <v>0.8928571428571429</v>
      </c>
      <c r="F63" s="637" t="s">
        <v>51</v>
      </c>
      <c r="G63" s="630">
        <f>E63/1</f>
        <v>0.8928571428571429</v>
      </c>
      <c r="H63" s="1144">
        <v>100</v>
      </c>
      <c r="I63" s="1145">
        <v>100</v>
      </c>
      <c r="J63" s="965">
        <f>IF(I63=H63,(H63-70),H63-I63)</f>
        <v>30</v>
      </c>
      <c r="K63" s="803">
        <f t="shared" si="21"/>
        <v>0</v>
      </c>
      <c r="L63" s="966">
        <f t="shared" si="19"/>
        <v>100</v>
      </c>
      <c r="M63" s="786">
        <f t="shared" ref="M63" si="22">IF(I63&gt;=70,(1+(H63-70)/70),(J63/K63))</f>
        <v>1.4285714285714286</v>
      </c>
      <c r="N63" s="1531"/>
      <c r="O63" s="1482"/>
      <c r="P63" s="1485"/>
      <c r="Q63" s="885" t="s">
        <v>95</v>
      </c>
      <c r="R63" s="191"/>
      <c r="S63" s="461" t="s">
        <v>469</v>
      </c>
    </row>
    <row r="64" spans="1:19" ht="15" customHeight="1" thickBot="1" x14ac:dyDescent="0.5">
      <c r="A64" s="1451"/>
      <c r="B64" s="1470"/>
      <c r="C64" s="1474"/>
      <c r="D64" s="1503" t="s">
        <v>136</v>
      </c>
      <c r="E64" s="1505">
        <f>$C$61/4</f>
        <v>0.8928571428571429</v>
      </c>
      <c r="F64" s="687" t="s">
        <v>52</v>
      </c>
      <c r="G64" s="688">
        <f>$E$64/3</f>
        <v>0.29761904761904762</v>
      </c>
      <c r="H64" s="800">
        <v>100</v>
      </c>
      <c r="I64" s="801">
        <v>100</v>
      </c>
      <c r="J64" s="969">
        <f t="shared" ref="J64:J66" si="23">H64-I64</f>
        <v>0</v>
      </c>
      <c r="K64" s="970">
        <f>(100-I64)*(6/10)</f>
        <v>0</v>
      </c>
      <c r="L64" s="966">
        <f t="shared" si="19"/>
        <v>100</v>
      </c>
      <c r="M64" s="805" t="str">
        <f t="shared" ref="M64:M66" si="24">IF(K64&lt;&gt;0,J64/K64,"100%")</f>
        <v>100%</v>
      </c>
      <c r="N64" s="1531"/>
      <c r="O64" s="1482"/>
      <c r="P64" s="1485"/>
      <c r="Q64" s="885" t="s">
        <v>95</v>
      </c>
      <c r="R64" s="190"/>
      <c r="S64" s="459" t="s">
        <v>394</v>
      </c>
    </row>
    <row r="65" spans="1:19" ht="23.65" thickBot="1" x14ac:dyDescent="0.5">
      <c r="A65" s="1451"/>
      <c r="B65" s="1470"/>
      <c r="C65" s="1474"/>
      <c r="D65" s="1503"/>
      <c r="E65" s="1505"/>
      <c r="F65" s="687" t="s">
        <v>53</v>
      </c>
      <c r="G65" s="688">
        <f t="shared" ref="G65:G66" si="25">$E$64/3</f>
        <v>0.29761904761904762</v>
      </c>
      <c r="H65" s="800">
        <v>100</v>
      </c>
      <c r="I65" s="801">
        <v>100</v>
      </c>
      <c r="J65" s="969">
        <f t="shared" si="23"/>
        <v>0</v>
      </c>
      <c r="K65" s="970">
        <f>(100-I65)*(6/10)</f>
        <v>0</v>
      </c>
      <c r="L65" s="966">
        <f t="shared" si="19"/>
        <v>100</v>
      </c>
      <c r="M65" s="805" t="str">
        <f t="shared" si="24"/>
        <v>100%</v>
      </c>
      <c r="N65" s="1531"/>
      <c r="O65" s="1482"/>
      <c r="P65" s="1485"/>
      <c r="Q65" s="885" t="s">
        <v>95</v>
      </c>
      <c r="R65" s="191"/>
      <c r="S65" s="459" t="s">
        <v>394</v>
      </c>
    </row>
    <row r="66" spans="1:19" ht="27.6" customHeight="1" thickBot="1" x14ac:dyDescent="0.5">
      <c r="A66" s="1451"/>
      <c r="B66" s="1521"/>
      <c r="C66" s="1511"/>
      <c r="D66" s="1510"/>
      <c r="E66" s="1534"/>
      <c r="F66" s="689" t="s">
        <v>54</v>
      </c>
      <c r="G66" s="690">
        <f t="shared" si="25"/>
        <v>0.29761904761904762</v>
      </c>
      <c r="H66" s="1141"/>
      <c r="I66" s="1142"/>
      <c r="J66" s="973">
        <f t="shared" si="23"/>
        <v>0</v>
      </c>
      <c r="K66" s="974">
        <f>(100-I66)*(6/10)</f>
        <v>60</v>
      </c>
      <c r="L66" s="975">
        <f t="shared" si="19"/>
        <v>60</v>
      </c>
      <c r="M66" s="779">
        <f t="shared" si="24"/>
        <v>0</v>
      </c>
      <c r="N66" s="1532"/>
      <c r="O66" s="1483"/>
      <c r="P66" s="1461"/>
      <c r="Q66" s="976" t="s">
        <v>95</v>
      </c>
      <c r="R66" s="197"/>
      <c r="S66" s="460" t="s">
        <v>475</v>
      </c>
    </row>
    <row r="67" spans="1:19" ht="27" customHeight="1" thickBot="1" x14ac:dyDescent="0.5">
      <c r="B67" s="1466" t="s">
        <v>55</v>
      </c>
      <c r="C67" s="1467"/>
      <c r="D67" s="1467"/>
      <c r="E67" s="1467"/>
      <c r="F67" s="1468"/>
      <c r="G67" s="659"/>
      <c r="H67" s="977"/>
      <c r="I67" s="977"/>
      <c r="J67" s="902"/>
      <c r="K67" s="903"/>
      <c r="L67" s="903"/>
      <c r="M67" s="904"/>
      <c r="N67" s="760">
        <f>N68</f>
        <v>0</v>
      </c>
      <c r="O67" s="761">
        <f>O68</f>
        <v>0</v>
      </c>
      <c r="P67" s="762">
        <f>O67/3.571428</f>
        <v>0</v>
      </c>
      <c r="Q67" s="978"/>
      <c r="R67" s="207"/>
      <c r="S67" s="202"/>
    </row>
    <row r="68" spans="1:19" ht="58.5" thickBot="1" x14ac:dyDescent="0.5">
      <c r="A68" s="21">
        <v>17</v>
      </c>
      <c r="B68" s="691" t="s">
        <v>56</v>
      </c>
      <c r="C68" s="692">
        <f>M5</f>
        <v>3.5714285714285716</v>
      </c>
      <c r="D68" s="691" t="s">
        <v>137</v>
      </c>
      <c r="E68" s="692">
        <f>C68</f>
        <v>3.5714285714285716</v>
      </c>
      <c r="F68" s="691" t="s">
        <v>57</v>
      </c>
      <c r="G68" s="693">
        <f>E68/1</f>
        <v>3.5714285714285716</v>
      </c>
      <c r="H68" s="1235"/>
      <c r="I68" s="1279"/>
      <c r="J68" s="981">
        <f>IF(I68=H68,(H68-70),I68-H68)</f>
        <v>-70</v>
      </c>
      <c r="K68" s="866">
        <f t="shared" ref="K68" si="26">IF(I68&gt;=70,0,((70-I68)*(6/10)))</f>
        <v>42</v>
      </c>
      <c r="L68" s="982">
        <f>I68-K68</f>
        <v>-42</v>
      </c>
      <c r="M68" s="805" t="str">
        <f>IF(K68&lt;&gt;0,"0%",J68/K68)</f>
        <v>0%</v>
      </c>
      <c r="N68" s="983">
        <f>((G68/C68)*M68)</f>
        <v>0</v>
      </c>
      <c r="O68" s="854">
        <f>IF(((G68/C68)*M68)&gt;=1,3.571428,IF(((G68/C68)*M68)&lt;=0,0,((G68/C68)*M68)*3.571428))</f>
        <v>0</v>
      </c>
      <c r="P68" s="762">
        <f>O68/3.571428</f>
        <v>0</v>
      </c>
      <c r="Q68" s="984" t="s">
        <v>132</v>
      </c>
      <c r="R68" s="206"/>
      <c r="S68" s="461" t="s">
        <v>476</v>
      </c>
    </row>
    <row r="69" spans="1:19" ht="22.25" customHeight="1" thickBot="1" x14ac:dyDescent="0.5">
      <c r="B69" s="1362" t="s">
        <v>58</v>
      </c>
      <c r="C69" s="1363"/>
      <c r="D69" s="1363"/>
      <c r="E69" s="1363"/>
      <c r="F69" s="1364"/>
      <c r="G69" s="150"/>
      <c r="H69" s="1296"/>
      <c r="I69" s="1297"/>
      <c r="J69" s="987"/>
      <c r="K69" s="988"/>
      <c r="L69" s="988"/>
      <c r="M69" s="989"/>
      <c r="N69" s="760">
        <f>(N70+N72+N74)/3</f>
        <v>0.33333333333333331</v>
      </c>
      <c r="O69" s="761">
        <f>(O70+O72+O74)</f>
        <v>3.571428</v>
      </c>
      <c r="P69" s="762">
        <f>O69/10.714284</f>
        <v>0.33333333333333337</v>
      </c>
      <c r="Q69" s="990"/>
      <c r="R69" s="209"/>
      <c r="S69" s="210"/>
    </row>
    <row r="70" spans="1:19" ht="20.45" customHeight="1" thickBot="1" x14ac:dyDescent="0.5">
      <c r="B70" s="1486" t="s">
        <v>59</v>
      </c>
      <c r="C70" s="1487"/>
      <c r="D70" s="1487"/>
      <c r="E70" s="1487"/>
      <c r="F70" s="1488"/>
      <c r="G70" s="633"/>
      <c r="H70" s="991"/>
      <c r="I70" s="992"/>
      <c r="J70" s="813"/>
      <c r="K70" s="813"/>
      <c r="L70" s="813"/>
      <c r="M70" s="993"/>
      <c r="N70" s="760">
        <f>N71</f>
        <v>0</v>
      </c>
      <c r="O70" s="761">
        <f>O71</f>
        <v>0</v>
      </c>
      <c r="P70" s="762">
        <f t="shared" ref="P70:P78" si="27">O70/3.571428</f>
        <v>0</v>
      </c>
      <c r="Q70" s="943"/>
      <c r="R70" s="202"/>
      <c r="S70" s="202"/>
    </row>
    <row r="71" spans="1:19" ht="52.25" customHeight="1" thickBot="1" x14ac:dyDescent="0.5">
      <c r="A71" s="21">
        <v>18</v>
      </c>
      <c r="B71" s="695" t="s">
        <v>60</v>
      </c>
      <c r="C71" s="696">
        <f>M5</f>
        <v>3.5714285714285716</v>
      </c>
      <c r="D71" s="697" t="s">
        <v>138</v>
      </c>
      <c r="E71" s="698">
        <f>C71</f>
        <v>3.5714285714285716</v>
      </c>
      <c r="F71" s="699" t="s">
        <v>61</v>
      </c>
      <c r="G71" s="700">
        <f>E71/1</f>
        <v>3.5714285714285716</v>
      </c>
      <c r="H71" s="994">
        <v>0.5</v>
      </c>
      <c r="I71" s="980">
        <v>0.5</v>
      </c>
      <c r="J71" s="995">
        <f>I71-H71</f>
        <v>0</v>
      </c>
      <c r="K71" s="862">
        <f>(0.5*I71)*0.6</f>
        <v>0.15</v>
      </c>
      <c r="L71" s="982">
        <f>I71-K71</f>
        <v>0.35</v>
      </c>
      <c r="M71" s="805">
        <f t="shared" ref="M71" si="28">IF(K71&lt;&gt;0,J71/K71,"100%")</f>
        <v>0</v>
      </c>
      <c r="N71" s="983">
        <f>((G71/C71)*M71)</f>
        <v>0</v>
      </c>
      <c r="O71" s="854">
        <f>IF(((G71/C71)*M71)&gt;=1,3.571428,IF(((G71/C71)*M71)&lt;=0,0,((G71/C71)*M71)*3.571428))</f>
        <v>0</v>
      </c>
      <c r="P71" s="762">
        <f t="shared" si="27"/>
        <v>0</v>
      </c>
      <c r="Q71" s="996" t="s">
        <v>183</v>
      </c>
      <c r="R71" s="206"/>
      <c r="S71" s="208" t="s">
        <v>477</v>
      </c>
    </row>
    <row r="72" spans="1:19" ht="20.45" customHeight="1" thickBot="1" x14ac:dyDescent="0.5">
      <c r="B72" s="1512" t="s">
        <v>277</v>
      </c>
      <c r="C72" s="1513"/>
      <c r="D72" s="1513"/>
      <c r="E72" s="1513"/>
      <c r="F72" s="1515"/>
      <c r="G72" s="651"/>
      <c r="H72" s="997"/>
      <c r="I72" s="886"/>
      <c r="J72" s="870"/>
      <c r="K72" s="871"/>
      <c r="L72" s="871"/>
      <c r="M72" s="872"/>
      <c r="N72" s="760">
        <f>N73</f>
        <v>0</v>
      </c>
      <c r="O72" s="761">
        <f>O73</f>
        <v>0</v>
      </c>
      <c r="P72" s="762">
        <f t="shared" si="27"/>
        <v>0</v>
      </c>
      <c r="Q72" s="998"/>
      <c r="R72" s="202"/>
      <c r="S72" s="202"/>
    </row>
    <row r="73" spans="1:19" ht="45" customHeight="1" thickBot="1" x14ac:dyDescent="0.5">
      <c r="A73" s="21">
        <v>19</v>
      </c>
      <c r="B73" s="701" t="s">
        <v>62</v>
      </c>
      <c r="C73" s="702">
        <f>M5</f>
        <v>3.5714285714285716</v>
      </c>
      <c r="D73" s="703" t="s">
        <v>139</v>
      </c>
      <c r="E73" s="702">
        <f>C73</f>
        <v>3.5714285714285716</v>
      </c>
      <c r="F73" s="704" t="s">
        <v>63</v>
      </c>
      <c r="G73" s="705">
        <f>E73/1</f>
        <v>3.5714285714285716</v>
      </c>
      <c r="H73" s="1298">
        <v>0</v>
      </c>
      <c r="I73" s="1154"/>
      <c r="J73" s="1000">
        <f>I73-H73</f>
        <v>0</v>
      </c>
      <c r="K73" s="1001">
        <f>IF(H73&gt;0,(H73),I73)</f>
        <v>0</v>
      </c>
      <c r="L73" s="1002">
        <f>I73-K73</f>
        <v>0</v>
      </c>
      <c r="M73" s="805">
        <f>IF(I73=0, 0%,J73/K73)</f>
        <v>0</v>
      </c>
      <c r="N73" s="983">
        <f>((G73/C73)*M73)</f>
        <v>0</v>
      </c>
      <c r="O73" s="854">
        <f>IF(((G73/C73)*M73)&gt;=1,3.571428,IF(((G73/C73)*M73)&lt;=0,0,((G73/C73)*M73)*3.571428))</f>
        <v>0</v>
      </c>
      <c r="P73" s="762">
        <f t="shared" si="27"/>
        <v>0</v>
      </c>
      <c r="Q73" s="1003" t="s">
        <v>95</v>
      </c>
      <c r="R73" s="206"/>
      <c r="S73" s="208" t="s">
        <v>478</v>
      </c>
    </row>
    <row r="74" spans="1:19" ht="30.6" customHeight="1" thickBot="1" x14ac:dyDescent="0.5">
      <c r="B74" s="1486" t="s">
        <v>64</v>
      </c>
      <c r="C74" s="1487"/>
      <c r="D74" s="1487"/>
      <c r="E74" s="1487"/>
      <c r="F74" s="1488"/>
      <c r="G74" s="634"/>
      <c r="H74" s="991"/>
      <c r="I74" s="992"/>
      <c r="J74" s="813"/>
      <c r="K74" s="813"/>
      <c r="L74" s="813"/>
      <c r="M74" s="904"/>
      <c r="N74" s="760">
        <f>N75</f>
        <v>1</v>
      </c>
      <c r="O74" s="761">
        <f>O75</f>
        <v>3.571428</v>
      </c>
      <c r="P74" s="762">
        <f t="shared" si="27"/>
        <v>1</v>
      </c>
      <c r="Q74" s="943"/>
      <c r="R74" s="202"/>
      <c r="S74" s="202"/>
    </row>
    <row r="75" spans="1:19" ht="29.45" customHeight="1" thickBot="1" x14ac:dyDescent="0.5">
      <c r="A75" s="21">
        <v>20</v>
      </c>
      <c r="B75" s="701" t="s">
        <v>65</v>
      </c>
      <c r="C75" s="648">
        <f>M5</f>
        <v>3.5714285714285716</v>
      </c>
      <c r="D75" s="697" t="s">
        <v>140</v>
      </c>
      <c r="E75" s="706">
        <f>C75</f>
        <v>3.5714285714285716</v>
      </c>
      <c r="F75" s="703" t="s">
        <v>66</v>
      </c>
      <c r="G75" s="700">
        <f>E75/1</f>
        <v>3.5714285714285716</v>
      </c>
      <c r="H75" s="1004">
        <v>1</v>
      </c>
      <c r="I75" s="1005">
        <v>1</v>
      </c>
      <c r="J75" s="939">
        <f>H75-I75</f>
        <v>0</v>
      </c>
      <c r="K75" s="940">
        <f>IF(AND(H75=0,I75=1)," 1",(H75-I75))</f>
        <v>0</v>
      </c>
      <c r="L75" s="1006">
        <f>I75+K75</f>
        <v>1</v>
      </c>
      <c r="M75" s="1007">
        <f>(IF(I75=1,1,(J75/K75)))</f>
        <v>1</v>
      </c>
      <c r="N75" s="983">
        <f>((G75/C75)*M75)</f>
        <v>1</v>
      </c>
      <c r="O75" s="854">
        <f>IF(((G75/C75)*M75)&gt;=1,3.571428,IF(((G75/C75)*M75)&lt;=0,0,((G75/C75)*M75)*3.571428))</f>
        <v>3.571428</v>
      </c>
      <c r="P75" s="762">
        <f t="shared" si="27"/>
        <v>1</v>
      </c>
      <c r="Q75" s="1008" t="s">
        <v>95</v>
      </c>
      <c r="R75" s="211"/>
      <c r="S75" s="206" t="s">
        <v>315</v>
      </c>
    </row>
    <row r="76" spans="1:19" ht="20.45" customHeight="1" thickBot="1" x14ac:dyDescent="0.5">
      <c r="B76" s="1544" t="s">
        <v>67</v>
      </c>
      <c r="C76" s="1545"/>
      <c r="D76" s="1545"/>
      <c r="E76" s="1545"/>
      <c r="F76" s="1546"/>
      <c r="G76" s="707"/>
      <c r="H76" s="1296"/>
      <c r="I76" s="1299"/>
      <c r="J76" s="1011"/>
      <c r="K76" s="1012"/>
      <c r="L76" s="1012"/>
      <c r="M76" s="1013"/>
      <c r="N76" s="760">
        <f t="shared" ref="N76:O77" si="29">N77</f>
        <v>1.6666666666666665</v>
      </c>
      <c r="O76" s="761">
        <f t="shared" si="29"/>
        <v>3.571428</v>
      </c>
      <c r="P76" s="762">
        <f t="shared" si="27"/>
        <v>1</v>
      </c>
      <c r="Q76" s="1014"/>
      <c r="R76" s="212"/>
      <c r="S76" s="212"/>
    </row>
    <row r="77" spans="1:19" ht="20.45" customHeight="1" thickBot="1" x14ac:dyDescent="0.5">
      <c r="B77" s="1486" t="s">
        <v>68</v>
      </c>
      <c r="C77" s="1487"/>
      <c r="D77" s="1487"/>
      <c r="E77" s="1487"/>
      <c r="F77" s="1488"/>
      <c r="G77" s="633"/>
      <c r="H77" s="991"/>
      <c r="I77" s="992"/>
      <c r="J77" s="830"/>
      <c r="K77" s="831"/>
      <c r="L77" s="831"/>
      <c r="M77" s="814"/>
      <c r="N77" s="760">
        <f t="shared" si="29"/>
        <v>1.6666666666666665</v>
      </c>
      <c r="O77" s="761">
        <f t="shared" si="29"/>
        <v>3.571428</v>
      </c>
      <c r="P77" s="762">
        <f t="shared" si="27"/>
        <v>1</v>
      </c>
      <c r="Q77" s="943"/>
      <c r="R77" s="202"/>
      <c r="S77" s="202"/>
    </row>
    <row r="78" spans="1:19" ht="81.75" thickBot="1" x14ac:dyDescent="0.5">
      <c r="A78" s="21">
        <v>21</v>
      </c>
      <c r="B78" s="701" t="s">
        <v>69</v>
      </c>
      <c r="C78" s="706">
        <f>M5</f>
        <v>3.5714285714285716</v>
      </c>
      <c r="D78" s="708" t="s">
        <v>141</v>
      </c>
      <c r="E78" s="706">
        <f>C78</f>
        <v>3.5714285714285716</v>
      </c>
      <c r="F78" s="708" t="s">
        <v>70</v>
      </c>
      <c r="G78" s="692">
        <f>E78/1</f>
        <v>3.5714285714285716</v>
      </c>
      <c r="H78" s="994">
        <v>100</v>
      </c>
      <c r="I78" s="980">
        <v>100</v>
      </c>
      <c r="J78" s="981">
        <f>IF(I78=H78,(H78-60),H78-I78)</f>
        <v>40</v>
      </c>
      <c r="K78" s="866">
        <f>IF(I78&gt;=60,0,((60-I78)*(6/10)))</f>
        <v>0</v>
      </c>
      <c r="L78" s="982">
        <f t="shared" ref="L78" si="30">K78+I78</f>
        <v>100</v>
      </c>
      <c r="M78" s="852">
        <f>IF(I78&gt;=60,(1+(H78-60)/60),(H78/L78))</f>
        <v>1.6666666666666665</v>
      </c>
      <c r="N78" s="983">
        <f>((G78/C78)*M78)</f>
        <v>1.6666666666666665</v>
      </c>
      <c r="O78" s="854">
        <f>IF(((G78/C78)*M78)&gt;=1,3.571428,IF(((G78/C78)*M78)&lt;=0,0,((G78/C78)*M78)*3.571428))</f>
        <v>3.571428</v>
      </c>
      <c r="P78" s="762">
        <f t="shared" si="27"/>
        <v>1</v>
      </c>
      <c r="Q78" s="1015" t="s">
        <v>95</v>
      </c>
      <c r="R78" s="206"/>
      <c r="S78" s="208" t="s">
        <v>479</v>
      </c>
    </row>
    <row r="79" spans="1:19" ht="21.6" customHeight="1" thickBot="1" x14ac:dyDescent="0.5">
      <c r="B79" s="1539" t="s">
        <v>71</v>
      </c>
      <c r="C79" s="1540"/>
      <c r="D79" s="1540"/>
      <c r="E79" s="1540"/>
      <c r="F79" s="1541"/>
      <c r="G79" s="707"/>
      <c r="H79" s="1296"/>
      <c r="I79" s="1299"/>
      <c r="J79" s="1016"/>
      <c r="K79" s="1017"/>
      <c r="L79" s="1017"/>
      <c r="M79" s="1013"/>
      <c r="N79" s="760">
        <f>(N80+N86)/2</f>
        <v>0.83475022256119458</v>
      </c>
      <c r="O79" s="761">
        <f>(O80+O86)</f>
        <v>7.5501424780701756</v>
      </c>
      <c r="P79" s="762">
        <f>O79/10.714284</f>
        <v>0.70468007736869553</v>
      </c>
      <c r="Q79" s="1014"/>
      <c r="R79" s="212"/>
      <c r="S79" s="212"/>
    </row>
    <row r="80" spans="1:19" ht="20.45" customHeight="1" thickBot="1" x14ac:dyDescent="0.5">
      <c r="B80" s="1466" t="s">
        <v>72</v>
      </c>
      <c r="C80" s="1467"/>
      <c r="D80" s="1467"/>
      <c r="E80" s="1467"/>
      <c r="F80" s="1468"/>
      <c r="G80" s="673"/>
      <c r="H80" s="1018"/>
      <c r="I80" s="1019"/>
      <c r="J80" s="813"/>
      <c r="K80" s="813"/>
      <c r="L80" s="813"/>
      <c r="M80" s="832"/>
      <c r="N80" s="760">
        <f>(N81+N83)/2</f>
        <v>1.5554747730186325</v>
      </c>
      <c r="O80" s="761">
        <f>(O81+O83)</f>
        <v>7.1429080000000003</v>
      </c>
      <c r="P80" s="762">
        <f>O80/7.142856</f>
        <v>1.0000072800011648</v>
      </c>
      <c r="Q80" s="1020"/>
      <c r="R80" s="188"/>
      <c r="S80" s="188"/>
    </row>
    <row r="81" spans="1:19" ht="46.5" x14ac:dyDescent="0.45">
      <c r="A81" s="21"/>
      <c r="B81" s="1542" t="s">
        <v>73</v>
      </c>
      <c r="C81" s="1473">
        <f>M5</f>
        <v>3.5714285714285716</v>
      </c>
      <c r="D81" s="635" t="s">
        <v>267</v>
      </c>
      <c r="E81" s="604">
        <f>$C$81/2</f>
        <v>1.7857142857142858</v>
      </c>
      <c r="F81" s="674" t="s">
        <v>278</v>
      </c>
      <c r="G81" s="628">
        <f>E81/1</f>
        <v>1.7857142857142858</v>
      </c>
      <c r="H81" s="1197">
        <v>85</v>
      </c>
      <c r="I81" s="1198">
        <v>50</v>
      </c>
      <c r="J81" s="908">
        <f>IF(I81=H81,(H81-50),H81-I81)</f>
        <v>35</v>
      </c>
      <c r="K81" s="798">
        <f>IF(I81&gt;=50,0,((50-I81)*(6/10)))</f>
        <v>0</v>
      </c>
      <c r="L81" s="1021">
        <f>I81+K81</f>
        <v>50</v>
      </c>
      <c r="M81" s="772">
        <f>IF(I81&gt;=50,(1+(H81-50)/50),(J81/K81))</f>
        <v>1.7</v>
      </c>
      <c r="N81" s="1530">
        <f>(((G81/C81)*M81)+((G82/C81)*M82))</f>
        <v>1.6833333333333331</v>
      </c>
      <c r="O81" s="1458">
        <f>IF((((G81/C81)*M81)+((G82/C81)*M82))&gt;=1,3.57148,IF((((G81/C81)*M81)+((G82/C81)*M82))&lt;=0,0, (((G81/C81)*M81)+((G82/C81)*M82))*3.571428))</f>
        <v>3.5714800000000002</v>
      </c>
      <c r="P81" s="1460">
        <f>O81/3.571428</f>
        <v>1.0000145600023296</v>
      </c>
      <c r="Q81" s="1022" t="s">
        <v>279</v>
      </c>
      <c r="R81" s="213"/>
      <c r="S81" s="170" t="s">
        <v>316</v>
      </c>
    </row>
    <row r="82" spans="1:19" ht="39.6" customHeight="1" thickBot="1" x14ac:dyDescent="0.5">
      <c r="A82" s="21"/>
      <c r="B82" s="1543"/>
      <c r="C82" s="1355"/>
      <c r="D82" s="643" t="s">
        <v>268</v>
      </c>
      <c r="E82" s="612">
        <f>$C$81/2</f>
        <v>1.7857142857142858</v>
      </c>
      <c r="F82" s="644" t="s">
        <v>74</v>
      </c>
      <c r="G82" s="632">
        <f>E82/1</f>
        <v>1.7857142857142858</v>
      </c>
      <c r="H82" s="1239">
        <v>50</v>
      </c>
      <c r="I82" s="1204">
        <v>38.700000000000003</v>
      </c>
      <c r="J82" s="1025">
        <f>IF(I82=H82,(H82-30),H82-I82)</f>
        <v>11.299999999999997</v>
      </c>
      <c r="K82" s="810">
        <f>IF(I82&gt;=30,0,((30-I82)*(6/10)))</f>
        <v>0</v>
      </c>
      <c r="L82" s="1026">
        <f t="shared" ref="L82" si="31">K82+I82</f>
        <v>38.700000000000003</v>
      </c>
      <c r="M82" s="779">
        <f>IF(I82&gt;=30,(1+(H82-30)/30),(H82/L82))</f>
        <v>1.6666666666666665</v>
      </c>
      <c r="N82" s="1532"/>
      <c r="O82" s="1459"/>
      <c r="P82" s="1461"/>
      <c r="Q82" s="1027" t="s">
        <v>282</v>
      </c>
      <c r="R82" s="214"/>
      <c r="S82" s="172" t="s">
        <v>317</v>
      </c>
    </row>
    <row r="83" spans="1:19" ht="60" customHeight="1" thickBot="1" x14ac:dyDescent="0.5">
      <c r="A83" s="21"/>
      <c r="B83" s="1555" t="s">
        <v>142</v>
      </c>
      <c r="C83" s="1557">
        <f>M5</f>
        <v>3.5714285714285716</v>
      </c>
      <c r="D83" s="709" t="s">
        <v>145</v>
      </c>
      <c r="E83" s="604">
        <f>$C$81/3</f>
        <v>1.1904761904761905</v>
      </c>
      <c r="F83" s="635" t="s">
        <v>143</v>
      </c>
      <c r="G83" s="604">
        <f>E83/1</f>
        <v>1.1904761904761905</v>
      </c>
      <c r="H83" s="1197">
        <v>36.5</v>
      </c>
      <c r="I83" s="1198">
        <v>68.400000000000006</v>
      </c>
      <c r="J83" s="1030">
        <f>I83-H83</f>
        <v>31.900000000000006</v>
      </c>
      <c r="K83" s="894">
        <f>(0.2*I83)*(6/10)</f>
        <v>8.2080000000000002</v>
      </c>
      <c r="L83" s="1031">
        <f>I83-K83</f>
        <v>60.192000000000007</v>
      </c>
      <c r="M83" s="772">
        <f>IF(K83&lt;&gt;0,J83/K83,"0%")</f>
        <v>3.8864522417154004</v>
      </c>
      <c r="N83" s="1560">
        <f>(((G83/C83)*M83)+((G84/C83)*M84)+((G85/C83)*M85))</f>
        <v>1.427616212703932</v>
      </c>
      <c r="O83" s="1484">
        <f>IF((((G83/C83)*M83)+((G84/C83)*M84)+((G85/C83)*M85))&gt;=1,3.571428,IF((((G83/C83)*M83)+((G84/C83)*M84)+((G85/C83)*M85))&lt;=0,0,(((G83/C83)*M83)+((G84/C83)*M84)+((G85/C83)*M85))*3.571428))</f>
        <v>3.571428</v>
      </c>
      <c r="P83" s="1460">
        <f>O83/3.571428</f>
        <v>1</v>
      </c>
      <c r="Q83" s="1032" t="s">
        <v>184</v>
      </c>
      <c r="R83" s="215"/>
      <c r="S83" s="216" t="s">
        <v>318</v>
      </c>
    </row>
    <row r="84" spans="1:19" ht="45" customHeight="1" x14ac:dyDescent="0.45">
      <c r="A84" s="21"/>
      <c r="B84" s="1555"/>
      <c r="C84" s="1558"/>
      <c r="D84" s="710" t="s">
        <v>146</v>
      </c>
      <c r="E84" s="638">
        <f t="shared" ref="E84:E85" si="32">$C$81/3</f>
        <v>1.1904761904761905</v>
      </c>
      <c r="F84" s="679" t="s">
        <v>283</v>
      </c>
      <c r="G84" s="638">
        <f>E84/1</f>
        <v>1.1904761904761905</v>
      </c>
      <c r="H84" s="1300">
        <v>65.2</v>
      </c>
      <c r="I84" s="1301">
        <v>74</v>
      </c>
      <c r="J84" s="1033">
        <f>I84-H84</f>
        <v>8.7999999999999972</v>
      </c>
      <c r="K84" s="894">
        <f>(0.5*I84)*(6/10)</f>
        <v>22.2</v>
      </c>
      <c r="L84" s="1034">
        <f>I84-K84</f>
        <v>51.8</v>
      </c>
      <c r="M84" s="793">
        <f>IF(H84&lt;=0,100%, IF(K84&lt;&gt;0,J84/K84,"0%"))</f>
        <v>0.39639639639639629</v>
      </c>
      <c r="N84" s="1561"/>
      <c r="O84" s="1482"/>
      <c r="P84" s="1485"/>
      <c r="Q84" s="1035" t="s">
        <v>185</v>
      </c>
      <c r="R84" s="217"/>
      <c r="S84" s="216" t="s">
        <v>319</v>
      </c>
    </row>
    <row r="85" spans="1:19" ht="38.450000000000003" customHeight="1" thickBot="1" x14ac:dyDescent="0.5">
      <c r="A85" s="21"/>
      <c r="B85" s="1556"/>
      <c r="C85" s="1559"/>
      <c r="D85" s="711" t="s">
        <v>147</v>
      </c>
      <c r="E85" s="612">
        <f t="shared" si="32"/>
        <v>1.1904761904761905</v>
      </c>
      <c r="F85" s="644" t="s">
        <v>144</v>
      </c>
      <c r="G85" s="612">
        <f>E85/1</f>
        <v>1.1904761904761905</v>
      </c>
      <c r="H85" s="1239">
        <v>22</v>
      </c>
      <c r="I85" s="1128"/>
      <c r="J85" s="1036">
        <f>H85-I85</f>
        <v>22</v>
      </c>
      <c r="K85" s="1037">
        <f>(100-I85)*(6/10)</f>
        <v>60</v>
      </c>
      <c r="L85" s="1038">
        <f>I85+K85</f>
        <v>60</v>
      </c>
      <c r="M85" s="805" t="str">
        <f>IF(K85&lt;&gt;0,"0%",J85/K85)</f>
        <v>0%</v>
      </c>
      <c r="N85" s="1562"/>
      <c r="O85" s="1483"/>
      <c r="P85" s="1461"/>
      <c r="Q85" s="1039" t="s">
        <v>284</v>
      </c>
      <c r="R85" s="218"/>
      <c r="S85" s="460" t="s">
        <v>480</v>
      </c>
    </row>
    <row r="86" spans="1:19" ht="20.45" customHeight="1" thickBot="1" x14ac:dyDescent="0.5">
      <c r="B86" s="1547" t="s">
        <v>75</v>
      </c>
      <c r="C86" s="1548"/>
      <c r="D86" s="1548"/>
      <c r="E86" s="1548"/>
      <c r="F86" s="1549"/>
      <c r="G86" s="694"/>
      <c r="H86" s="1040"/>
      <c r="I86" s="1041"/>
      <c r="J86" s="1042"/>
      <c r="K86" s="1043"/>
      <c r="L86" s="1043"/>
      <c r="M86" s="832"/>
      <c r="N86" s="760">
        <f>N87</f>
        <v>0.11402567210375666</v>
      </c>
      <c r="O86" s="761">
        <f>O87</f>
        <v>0.40723447807017549</v>
      </c>
      <c r="P86" s="762">
        <f>O86/3.571428</f>
        <v>0.11402567210375668</v>
      </c>
      <c r="Q86" s="903"/>
      <c r="R86" s="202"/>
      <c r="S86" s="202"/>
    </row>
    <row r="87" spans="1:19" ht="27.6" customHeight="1" x14ac:dyDescent="0.45">
      <c r="A87" s="1492">
        <v>24</v>
      </c>
      <c r="B87" s="1550" t="s">
        <v>76</v>
      </c>
      <c r="C87" s="1552">
        <f>M5</f>
        <v>3.5714285714285716</v>
      </c>
      <c r="D87" s="654" t="s">
        <v>159</v>
      </c>
      <c r="E87" s="655">
        <f>($C$87/3)</f>
        <v>1.1904761904761905</v>
      </c>
      <c r="F87" s="712" t="s">
        <v>285</v>
      </c>
      <c r="G87" s="713">
        <f>E87/1</f>
        <v>1.1904761904761905</v>
      </c>
      <c r="H87" s="891">
        <v>25.3</v>
      </c>
      <c r="I87" s="1254">
        <v>22.8</v>
      </c>
      <c r="J87" s="1046">
        <f>I87-H87</f>
        <v>-2.5</v>
      </c>
      <c r="K87" s="1047">
        <f>(0.25*I87)*(6/10)</f>
        <v>3.42</v>
      </c>
      <c r="L87" s="1048">
        <f>I87-K87</f>
        <v>19.380000000000003</v>
      </c>
      <c r="M87" s="772">
        <f>IF(K87&lt;&gt;0,J87/K87,"0%")</f>
        <v>-0.73099415204678364</v>
      </c>
      <c r="N87" s="1498">
        <f>(((G87/C87)*M87)+((G88/C87)*M88)+((G89/C87)*M89)+((G90/C87)*M90)+((G91/C87)*M91))</f>
        <v>0.11402567210375666</v>
      </c>
      <c r="O87" s="1484">
        <f>IF((((G87/C87)*M87)+((G88/C87)*M88)+((G89/C87)*M89)+((G90/C87)*M90)+((G91/C87)*M91))&gt;=1,3.571428,IF((((G87/C87)*M87)+((G88/C87)*M88)+((G89/C87)*M89)+((G90/C87)*M90)+((G91/C87)*M91))&lt;=0,0,((((G87/C87)*M87)+((G88/C87)*M88)+((G89/C87)*M89)+((G90/C87)*M90)+((G91/C87)*M91))*3.571428)))</f>
        <v>0.40723447807017549</v>
      </c>
      <c r="P87" s="1460">
        <f>O87/3.571428</f>
        <v>0.11402567210375668</v>
      </c>
      <c r="Q87" s="1049" t="s">
        <v>186</v>
      </c>
      <c r="R87" s="219"/>
      <c r="S87" s="220" t="s">
        <v>320</v>
      </c>
    </row>
    <row r="88" spans="1:19" ht="25.8" customHeight="1" x14ac:dyDescent="0.45">
      <c r="A88" s="1492"/>
      <c r="B88" s="1550"/>
      <c r="C88" s="1553"/>
      <c r="D88" s="1563" t="s">
        <v>160</v>
      </c>
      <c r="E88" s="1564">
        <f>C87/3</f>
        <v>1.1904761904761905</v>
      </c>
      <c r="F88" s="639" t="s">
        <v>77</v>
      </c>
      <c r="G88" s="714">
        <f>$E$88/3</f>
        <v>0.3968253968253968</v>
      </c>
      <c r="H88" s="818">
        <v>27.4</v>
      </c>
      <c r="I88" s="819">
        <v>42.7</v>
      </c>
      <c r="J88" s="1050">
        <f>I88-H88</f>
        <v>15.300000000000004</v>
      </c>
      <c r="K88" s="1051">
        <f>I88*(6/10)</f>
        <v>25.62</v>
      </c>
      <c r="L88" s="1052">
        <f>I88-K88</f>
        <v>17.080000000000002</v>
      </c>
      <c r="M88" s="805">
        <f>IF(K88&lt;&gt;0,J88/K88,"0%")</f>
        <v>0.5971896955503514</v>
      </c>
      <c r="N88" s="1479"/>
      <c r="O88" s="1482"/>
      <c r="P88" s="1485"/>
      <c r="Q88" s="1053" t="s">
        <v>187</v>
      </c>
      <c r="R88" s="221"/>
      <c r="S88" s="186" t="s">
        <v>321</v>
      </c>
    </row>
    <row r="89" spans="1:19" ht="59.65" customHeight="1" x14ac:dyDescent="0.45">
      <c r="A89" s="1492"/>
      <c r="B89" s="1550"/>
      <c r="C89" s="1553"/>
      <c r="D89" s="1563"/>
      <c r="E89" s="1564"/>
      <c r="F89" s="639" t="s">
        <v>78</v>
      </c>
      <c r="G89" s="714">
        <f>$E$88/3</f>
        <v>0.3968253968253968</v>
      </c>
      <c r="H89" s="818">
        <v>5.7</v>
      </c>
      <c r="I89" s="819">
        <v>8</v>
      </c>
      <c r="J89" s="1050">
        <f>I89-H89</f>
        <v>2.2999999999999998</v>
      </c>
      <c r="K89" s="1051">
        <f>I89*(6/10)</f>
        <v>4.8</v>
      </c>
      <c r="L89" s="1052">
        <f>I89-K89</f>
        <v>3.2</v>
      </c>
      <c r="M89" s="805">
        <f>IF(K89&lt;&gt;0,J89/K89,"0%")</f>
        <v>0.47916666666666663</v>
      </c>
      <c r="N89" s="1479"/>
      <c r="O89" s="1482"/>
      <c r="P89" s="1485"/>
      <c r="Q89" s="1053" t="s">
        <v>188</v>
      </c>
      <c r="R89" s="221"/>
      <c r="S89" s="186" t="s">
        <v>322</v>
      </c>
    </row>
    <row r="90" spans="1:19" ht="26.45" customHeight="1" x14ac:dyDescent="0.45">
      <c r="A90" s="1492"/>
      <c r="B90" s="1550"/>
      <c r="C90" s="1553"/>
      <c r="D90" s="1563"/>
      <c r="E90" s="1564"/>
      <c r="F90" s="639" t="s">
        <v>79</v>
      </c>
      <c r="G90" s="714">
        <f>$E$88/3</f>
        <v>0.3968253968253968</v>
      </c>
      <c r="H90" s="1245"/>
      <c r="I90" s="1246"/>
      <c r="J90" s="1050">
        <f>I90-H90</f>
        <v>0</v>
      </c>
      <c r="K90" s="1054">
        <f>(I90)*(6/10)</f>
        <v>0</v>
      </c>
      <c r="L90" s="1055">
        <f>I90-K90</f>
        <v>0</v>
      </c>
      <c r="M90" s="805" t="str">
        <f>IF(K90=0,"0%",J90/K90)</f>
        <v>0%</v>
      </c>
      <c r="N90" s="1479"/>
      <c r="O90" s="1482"/>
      <c r="P90" s="1485"/>
      <c r="Q90" s="1056" t="s">
        <v>189</v>
      </c>
      <c r="R90" s="221"/>
      <c r="S90" s="186" t="s">
        <v>323</v>
      </c>
    </row>
    <row r="91" spans="1:19" ht="40.799999999999997" customHeight="1" thickBot="1" x14ac:dyDescent="0.5">
      <c r="A91" s="1492"/>
      <c r="B91" s="1551"/>
      <c r="C91" s="1554"/>
      <c r="D91" s="631" t="s">
        <v>161</v>
      </c>
      <c r="E91" s="612">
        <f>$C$87/3</f>
        <v>1.1904761904761905</v>
      </c>
      <c r="F91" s="715" t="s">
        <v>80</v>
      </c>
      <c r="G91" s="716">
        <f>E91/1</f>
        <v>1.1904761904761905</v>
      </c>
      <c r="H91" s="825">
        <v>50</v>
      </c>
      <c r="I91" s="826">
        <v>25</v>
      </c>
      <c r="J91" s="1057">
        <f>H91-I91</f>
        <v>25</v>
      </c>
      <c r="K91" s="1037">
        <f>(100-I91)*(6/10)</f>
        <v>45</v>
      </c>
      <c r="L91" s="1058">
        <f>I91+K91</f>
        <v>70</v>
      </c>
      <c r="M91" s="779">
        <f>IF(I91&gt;=60,(1+(H91-60)/60),(H91/L91))</f>
        <v>0.7142857142857143</v>
      </c>
      <c r="N91" s="1480"/>
      <c r="O91" s="1483"/>
      <c r="P91" s="1461"/>
      <c r="Q91" s="1059" t="s">
        <v>95</v>
      </c>
      <c r="R91" s="222"/>
      <c r="S91" s="717" t="s">
        <v>542</v>
      </c>
    </row>
    <row r="92" spans="1:19" ht="14.65" thickBot="1" x14ac:dyDescent="0.5">
      <c r="B92" s="1322" t="s">
        <v>81</v>
      </c>
      <c r="C92" s="1323"/>
      <c r="D92" s="1323"/>
      <c r="E92" s="1323"/>
      <c r="F92" s="1324"/>
      <c r="G92" s="11"/>
      <c r="H92" s="1296"/>
      <c r="I92" s="1299"/>
      <c r="J92" s="1011"/>
      <c r="K92" s="1012"/>
      <c r="L92" s="1012"/>
      <c r="M92" s="1060"/>
      <c r="N92" s="760">
        <f>(N93+N97)/2</f>
        <v>1.6050699432848017</v>
      </c>
      <c r="O92" s="761">
        <f>(O93+O97)</f>
        <v>9.5523411949613184</v>
      </c>
      <c r="P92" s="762">
        <f>O92/14.285712</f>
        <v>0.66866399063353077</v>
      </c>
      <c r="Q92" s="921"/>
      <c r="R92" s="201"/>
      <c r="S92" s="212"/>
    </row>
    <row r="93" spans="1:19" ht="20.45" customHeight="1" thickBot="1" x14ac:dyDescent="0.5">
      <c r="B93" s="1466" t="s">
        <v>82</v>
      </c>
      <c r="C93" s="1467"/>
      <c r="D93" s="1467"/>
      <c r="E93" s="1467"/>
      <c r="F93" s="1468"/>
      <c r="G93" s="633"/>
      <c r="H93" s="991"/>
      <c r="I93" s="992"/>
      <c r="J93" s="831"/>
      <c r="K93" s="831"/>
      <c r="L93" s="831"/>
      <c r="M93" s="832"/>
      <c r="N93" s="760">
        <f>N94</f>
        <v>0.67464140253179372</v>
      </c>
      <c r="O93" s="761">
        <f>O94</f>
        <v>2.409433194961319</v>
      </c>
      <c r="P93" s="762">
        <f>O93/3.571428</f>
        <v>0.67464140253179372</v>
      </c>
      <c r="Q93" s="905"/>
      <c r="R93" s="188"/>
      <c r="S93" s="202"/>
    </row>
    <row r="94" spans="1:19" ht="34.799999999999997" customHeight="1" x14ac:dyDescent="0.45">
      <c r="A94" s="1451">
        <v>25</v>
      </c>
      <c r="B94" s="1469" t="s">
        <v>83</v>
      </c>
      <c r="C94" s="1565">
        <f>M5</f>
        <v>3.5714285714285716</v>
      </c>
      <c r="D94" s="1509" t="s">
        <v>214</v>
      </c>
      <c r="E94" s="660">
        <f>$C$94/3</f>
        <v>1.1904761904761905</v>
      </c>
      <c r="F94" s="635" t="s">
        <v>269</v>
      </c>
      <c r="G94" s="718">
        <f>E94/1</f>
        <v>1.1904761904761905</v>
      </c>
      <c r="H94" s="962">
        <v>100</v>
      </c>
      <c r="I94" s="1302">
        <v>100</v>
      </c>
      <c r="J94" s="1062">
        <f>H94-I94</f>
        <v>0</v>
      </c>
      <c r="K94" s="1063">
        <f>(100-I94)*(6/10)</f>
        <v>0</v>
      </c>
      <c r="L94" s="1064">
        <f>I94+K94</f>
        <v>100</v>
      </c>
      <c r="M94" s="772" t="str">
        <f>IF(K94&lt;&gt;0,J94/K94,"100%")</f>
        <v>100%</v>
      </c>
      <c r="N94" s="1530">
        <f>(((G94/C94)*M94)+((G95/C94)*M95)+((G96/C94)*M96))</f>
        <v>0.67464140253179372</v>
      </c>
      <c r="O94" s="1484">
        <f>IF((((G94/C94)*M94)+((G95/C94)*M95)+((G96/C94)*M96))&gt;=1,3.571428,IF((((G94/C94)*M94)+((G95/C94)*M95)+((G96/C94)*M96))&lt;=0,0,(((G94/C94)*M94)+((G95/C94)*M95)+((G96/C94)*M96))*3.571428))</f>
        <v>2.409433194961319</v>
      </c>
      <c r="P94" s="1460">
        <f>O94/3.571428</f>
        <v>0.67464140253179372</v>
      </c>
      <c r="Q94" s="1065" t="s">
        <v>190</v>
      </c>
      <c r="R94" s="170"/>
      <c r="S94" s="462" t="s">
        <v>543</v>
      </c>
    </row>
    <row r="95" spans="1:19" ht="39.6" customHeight="1" x14ac:dyDescent="0.45">
      <c r="A95" s="1451"/>
      <c r="B95" s="1470"/>
      <c r="C95" s="1566"/>
      <c r="D95" s="1503"/>
      <c r="E95" s="719">
        <f t="shared" ref="E95:E96" si="33">$C$94/3</f>
        <v>1.1904761904761905</v>
      </c>
      <c r="F95" s="679" t="s">
        <v>270</v>
      </c>
      <c r="G95" s="714">
        <f>E95/1</f>
        <v>1.1904761904761905</v>
      </c>
      <c r="H95" s="1303">
        <v>0.142135390420075</v>
      </c>
      <c r="I95" s="1304">
        <v>0.12964181244320599</v>
      </c>
      <c r="J95" s="1050">
        <f>IF(AND(I95&gt;1,(H95-I95=0)),(H95-1),(H95-I95))</f>
        <v>1.2493577976869008E-2</v>
      </c>
      <c r="K95" s="883">
        <f>IF(AND(I95&gt;=1,H95&gt;=1),"0",((1-I95)*(6/10)))</f>
        <v>0.52221491253407637</v>
      </c>
      <c r="L95" s="1067">
        <f t="shared" ref="L95:L96" si="34">I95+K95</f>
        <v>0.65185672497728242</v>
      </c>
      <c r="M95" s="805">
        <f>IF(I95&gt;=1,(1+(H95-1)/1),(J95/K95))</f>
        <v>2.3924207595381063E-2</v>
      </c>
      <c r="N95" s="1531"/>
      <c r="O95" s="1482"/>
      <c r="P95" s="1485"/>
      <c r="Q95" s="1068" t="s">
        <v>191</v>
      </c>
      <c r="R95" s="186"/>
      <c r="S95" s="186" t="s">
        <v>324</v>
      </c>
    </row>
    <row r="96" spans="1:19" ht="41.45" customHeight="1" thickBot="1" x14ac:dyDescent="0.5">
      <c r="A96" s="1451"/>
      <c r="B96" s="1521"/>
      <c r="C96" s="1567"/>
      <c r="D96" s="1510"/>
      <c r="E96" s="661">
        <f t="shared" si="33"/>
        <v>1.1904761904761905</v>
      </c>
      <c r="F96" s="643" t="s">
        <v>84</v>
      </c>
      <c r="G96" s="716">
        <f>E96/1</f>
        <v>1.1904761904761905</v>
      </c>
      <c r="H96" s="1239">
        <v>100</v>
      </c>
      <c r="I96" s="1305">
        <v>100</v>
      </c>
      <c r="J96" s="1057">
        <f>H96-I96</f>
        <v>0</v>
      </c>
      <c r="K96" s="1037">
        <f>(100-I96)*(6/10)</f>
        <v>0</v>
      </c>
      <c r="L96" s="1058">
        <f t="shared" si="34"/>
        <v>100</v>
      </c>
      <c r="M96" s="779" t="str">
        <f>IF(K96&lt;&gt;0,J96/K96,"100%")</f>
        <v>100%</v>
      </c>
      <c r="N96" s="1532"/>
      <c r="O96" s="1483"/>
      <c r="P96" s="1461"/>
      <c r="Q96" s="1070" t="s">
        <v>95</v>
      </c>
      <c r="R96" s="172"/>
      <c r="S96" s="172"/>
    </row>
    <row r="97" spans="1:19" ht="18" customHeight="1" thickBot="1" x14ac:dyDescent="0.5">
      <c r="B97" s="1568" t="s">
        <v>85</v>
      </c>
      <c r="C97" s="1569"/>
      <c r="D97" s="1569"/>
      <c r="E97" s="1569"/>
      <c r="F97" s="1570"/>
      <c r="G97" s="720"/>
      <c r="H97" s="1306"/>
      <c r="I97" s="1307"/>
      <c r="J97" s="1071"/>
      <c r="K97" s="1073"/>
      <c r="L97" s="1073"/>
      <c r="M97" s="1074"/>
      <c r="N97" s="1075">
        <f>(N98+N99+N100)/3</f>
        <v>2.5354984840378099</v>
      </c>
      <c r="O97" s="1076">
        <f>(O98+O99+O100)</f>
        <v>7.1429080000000003</v>
      </c>
      <c r="P97" s="762">
        <f>O97/10.714284</f>
        <v>0.66667152000077656</v>
      </c>
      <c r="Q97" s="1072"/>
      <c r="R97" s="223"/>
      <c r="S97" s="223"/>
    </row>
    <row r="98" spans="1:19" ht="29.45" customHeight="1" thickBot="1" x14ac:dyDescent="0.5">
      <c r="A98" s="21">
        <v>26</v>
      </c>
      <c r="B98" s="645" t="s">
        <v>86</v>
      </c>
      <c r="C98" s="646">
        <f>$M$5</f>
        <v>3.5714285714285716</v>
      </c>
      <c r="D98" s="645" t="s">
        <v>215</v>
      </c>
      <c r="E98" s="646">
        <f>C98/1</f>
        <v>3.5714285714285716</v>
      </c>
      <c r="F98" s="695" t="s">
        <v>291</v>
      </c>
      <c r="G98" s="646">
        <f>E98/1</f>
        <v>3.5714285714285716</v>
      </c>
      <c r="H98" s="1265">
        <v>53</v>
      </c>
      <c r="I98" s="1238">
        <v>11</v>
      </c>
      <c r="J98" s="1079">
        <f>IF(I98=H98,(H98-10),H98-I98)</f>
        <v>42</v>
      </c>
      <c r="K98" s="866">
        <f>IF(I98&gt;=10,0,((10-I98)*(6/10)))</f>
        <v>0</v>
      </c>
      <c r="L98" s="982">
        <f>I98+K98</f>
        <v>11</v>
      </c>
      <c r="M98" s="915">
        <f>IF(I98&gt;=10,(1+(H98-10)/10),(J98/K98))</f>
        <v>5.3</v>
      </c>
      <c r="N98" s="983">
        <f>((G98/C98)*M98)</f>
        <v>5.3</v>
      </c>
      <c r="O98" s="854">
        <f>IF(((G98/C98)*M98)&gt;=1,3.571428,IF(((G98/C98)*M98)&lt;=0,0,((G98/C98)*M98)*3.571428))</f>
        <v>3.571428</v>
      </c>
      <c r="P98" s="762">
        <f>O98/3.571428</f>
        <v>1</v>
      </c>
      <c r="Q98" s="1080" t="s">
        <v>95</v>
      </c>
      <c r="R98" s="224"/>
      <c r="S98" s="465" t="s">
        <v>469</v>
      </c>
    </row>
    <row r="99" spans="1:19" ht="35.25" thickBot="1" x14ac:dyDescent="0.5">
      <c r="A99" s="21">
        <v>27</v>
      </c>
      <c r="B99" s="645" t="s">
        <v>87</v>
      </c>
      <c r="C99" s="646">
        <f>$M$5</f>
        <v>3.5714285714285716</v>
      </c>
      <c r="D99" s="645" t="s">
        <v>216</v>
      </c>
      <c r="E99" s="646">
        <f>C99/1</f>
        <v>3.5714285714285716</v>
      </c>
      <c r="F99" s="695" t="s">
        <v>271</v>
      </c>
      <c r="G99" s="646">
        <f>E99/1</f>
        <v>3.5714285714285716</v>
      </c>
      <c r="H99" s="1237">
        <v>10.7</v>
      </c>
      <c r="I99" s="1238">
        <v>12.7</v>
      </c>
      <c r="J99" s="1079">
        <f>IF(I99=H99,(H99-75),H99-I99)</f>
        <v>-2</v>
      </c>
      <c r="K99" s="866">
        <f>IF(I99&gt;=75,0,((75-I99)*(6/10)))</f>
        <v>37.379999999999995</v>
      </c>
      <c r="L99" s="1006">
        <f>I99+K99</f>
        <v>50.08</v>
      </c>
      <c r="M99" s="1081">
        <f>IF(I99&gt;=75,(1+(H99-75)/75),(J99/K99))</f>
        <v>-5.3504547886570365E-2</v>
      </c>
      <c r="N99" s="983">
        <f>((G99/C99)*M99)</f>
        <v>-5.3504547886570365E-2</v>
      </c>
      <c r="O99" s="854">
        <f>IF(((G99/C99)*M99)&gt;=1,3.571428,IF(((G99/C99)*M99)&lt;=0,0,((G99/C99)*M99)*3.571428))</f>
        <v>0</v>
      </c>
      <c r="P99" s="762">
        <f>O99/3.571428</f>
        <v>0</v>
      </c>
      <c r="Q99" s="1080" t="s">
        <v>192</v>
      </c>
      <c r="R99" s="225"/>
      <c r="S99" s="212"/>
    </row>
    <row r="100" spans="1:19" ht="43.15" thickBot="1" x14ac:dyDescent="0.5">
      <c r="A100" s="1451">
        <v>28</v>
      </c>
      <c r="B100" s="1571" t="s">
        <v>88</v>
      </c>
      <c r="C100" s="1573">
        <f>M5</f>
        <v>3.5714285714285716</v>
      </c>
      <c r="D100" s="1571" t="s">
        <v>217</v>
      </c>
      <c r="E100" s="1573">
        <f>C100/1</f>
        <v>3.5714285714285716</v>
      </c>
      <c r="F100" s="674" t="s">
        <v>89</v>
      </c>
      <c r="G100" s="604">
        <f>$E$100/2</f>
        <v>1.7857142857142858</v>
      </c>
      <c r="H100" s="1197">
        <v>10</v>
      </c>
      <c r="I100" s="1198">
        <v>8</v>
      </c>
      <c r="J100" s="1082">
        <f>IF(I100=H100,(25-H100),I100-H100)</f>
        <v>-2</v>
      </c>
      <c r="K100" s="927">
        <f>IF(I100&lt;=25,0,((0.25*I100)*(6/10)))</f>
        <v>0</v>
      </c>
      <c r="L100" s="1083">
        <f>I100-K100</f>
        <v>8</v>
      </c>
      <c r="M100" s="772">
        <f>IF(I100&lt;=25,(1+(25-H100)/25),(J100/K100))</f>
        <v>1.6</v>
      </c>
      <c r="N100" s="1576">
        <f>((G100/$C$100)*M100)+((G101/$C$100)*M101)</f>
        <v>2.3600000000000003</v>
      </c>
      <c r="O100" s="1458">
        <f>IF((((G100/C100)*M100)+((G101/C100)*M101))&gt;=1,3.57148,IF((((G100/C100)*M100)+((G101/C100)*M101))&lt;=0,0, (((G100/C100)*M100)+((G101/C100)*M101))*3.571428))</f>
        <v>3.5714800000000002</v>
      </c>
      <c r="P100" s="1460">
        <f>O100/3.571428</f>
        <v>1.0000145600023296</v>
      </c>
      <c r="Q100" s="1084" t="s">
        <v>193</v>
      </c>
      <c r="R100" s="226"/>
      <c r="S100" s="178" t="s">
        <v>325</v>
      </c>
    </row>
    <row r="101" spans="1:19" ht="38.450000000000003" customHeight="1" thickBot="1" x14ac:dyDescent="0.5">
      <c r="A101" s="1451"/>
      <c r="B101" s="1572"/>
      <c r="C101" s="1574"/>
      <c r="D101" s="1572"/>
      <c r="E101" s="1575"/>
      <c r="F101" s="643" t="s">
        <v>90</v>
      </c>
      <c r="G101" s="612">
        <f>$E$100/2</f>
        <v>1.7857142857142858</v>
      </c>
      <c r="H101" s="1127">
        <v>78</v>
      </c>
      <c r="I101" s="1128">
        <v>78</v>
      </c>
      <c r="J101" s="1085">
        <f>IF(I101=H101,(H101-25),H101-I101)</f>
        <v>53</v>
      </c>
      <c r="K101" s="810">
        <f>IF(I101&gt;=25,0,((25-I101)*(6/10)))</f>
        <v>0</v>
      </c>
      <c r="L101" s="1086">
        <f t="shared" ref="L101" si="35">K101+I101</f>
        <v>78</v>
      </c>
      <c r="M101" s="779">
        <f>IF(I101&gt;=25,(1+(H101-25)/25),(J101/K101))</f>
        <v>3.12</v>
      </c>
      <c r="N101" s="1577"/>
      <c r="O101" s="1459"/>
      <c r="P101" s="1461"/>
      <c r="Q101" s="1087" t="s">
        <v>95</v>
      </c>
      <c r="R101" s="227"/>
      <c r="S101" s="465" t="s">
        <v>544</v>
      </c>
    </row>
    <row r="102" spans="1:19" ht="34.25" customHeight="1" thickBot="1" x14ac:dyDescent="0.5">
      <c r="B102" s="721" t="s">
        <v>194</v>
      </c>
      <c r="C102" s="722">
        <f>C11+C13+C15+C19+C24+C33+C34+C35+C36+C38+C41+C44+C48+C51+C53+C61+C68+C71+C73+C75+C78+C81+C83+C87+C94+C98+C99+C100</f>
        <v>99.999999999999972</v>
      </c>
      <c r="D102" s="723"/>
      <c r="E102" s="722">
        <f>E11+E12+E13+E14+E15+E19+E20+E21+E22+E24+E25+E28+E31+E33+E34+E35+E36+E38+E39+E41+E42+E44+E45+E48+E49++E51+E53+E54+E55+E56+E57+E61+E62+E63+E64+E68+E71+E73+E75+E78+E81++E82+E83+E84+E85+E87+E88+E91+E94+E95+E96+E98+E99+E100</f>
        <v>100.00714285714285</v>
      </c>
      <c r="F102" s="724"/>
      <c r="G102" s="722">
        <f>G11+G12+G13+G14+G15+G16+G17+G19+G20+G21+G22+G24+G25+G26+G27+G28+G29+G30+G31+G33+G34+G35+G36+G38+G39+G41+G42+G44+G45+G48+G49+G51+G53+G54+G55+G56+G57+G58+G61+G62+G63+G64+G65+G66+G68+G71+G73+G75+G78+G81+G82+G83+G84+G85+G87+G88+G89+G90+G91+G94+G95+G96+G98+G99+G100+G101</f>
        <v>100.00714285714285</v>
      </c>
      <c r="H102" s="1178"/>
      <c r="I102" s="1179"/>
      <c r="J102" s="1178"/>
      <c r="K102" s="1180"/>
      <c r="L102" s="1181"/>
      <c r="M102" s="1182"/>
      <c r="N102" s="1183"/>
      <c r="O102" s="1184"/>
      <c r="P102" s="1184"/>
      <c r="Q102" s="1185"/>
      <c r="R102" s="24"/>
      <c r="S102" s="25"/>
    </row>
    <row r="104" spans="1:19" ht="15.75" x14ac:dyDescent="0.5">
      <c r="B104" s="26"/>
    </row>
    <row r="107" spans="1:19" ht="15.75" x14ac:dyDescent="0.5">
      <c r="B107" s="26"/>
    </row>
    <row r="108" spans="1:19" x14ac:dyDescent="0.45">
      <c r="B108" s="27"/>
    </row>
    <row r="109" spans="1:19" x14ac:dyDescent="0.45">
      <c r="B109" s="27"/>
    </row>
    <row r="111" spans="1:19" x14ac:dyDescent="0.45">
      <c r="E111"/>
      <c r="F111" s="725" t="s">
        <v>196</v>
      </c>
    </row>
    <row r="112" spans="1:19" x14ac:dyDescent="0.45">
      <c r="E112" s="726">
        <v>1</v>
      </c>
      <c r="F112" s="726" t="s">
        <v>197</v>
      </c>
    </row>
    <row r="113" spans="5:6" x14ac:dyDescent="0.45">
      <c r="E113" s="726">
        <v>2</v>
      </c>
      <c r="F113" s="726" t="s">
        <v>227</v>
      </c>
    </row>
    <row r="114" spans="5:6" x14ac:dyDescent="0.45">
      <c r="E114" s="726">
        <v>3</v>
      </c>
      <c r="F114" s="726" t="s">
        <v>228</v>
      </c>
    </row>
    <row r="115" spans="5:6" x14ac:dyDescent="0.45">
      <c r="E115" s="726">
        <v>4</v>
      </c>
      <c r="F115" s="726" t="s">
        <v>229</v>
      </c>
    </row>
    <row r="116" spans="5:6" x14ac:dyDescent="0.45">
      <c r="E116" s="726">
        <v>5</v>
      </c>
      <c r="F116" s="726" t="s">
        <v>198</v>
      </c>
    </row>
    <row r="117" spans="5:6" x14ac:dyDescent="0.45">
      <c r="E117" s="726">
        <v>6</v>
      </c>
      <c r="F117" s="726" t="s">
        <v>230</v>
      </c>
    </row>
    <row r="118" spans="5:6" x14ac:dyDescent="0.45">
      <c r="E118" s="726">
        <v>7</v>
      </c>
      <c r="F118" s="726" t="s">
        <v>231</v>
      </c>
    </row>
    <row r="119" spans="5:6" x14ac:dyDescent="0.45">
      <c r="E119" s="726">
        <v>8</v>
      </c>
      <c r="F119" s="726" t="s">
        <v>199</v>
      </c>
    </row>
    <row r="120" spans="5:6" x14ac:dyDescent="0.45">
      <c r="E120" s="726">
        <v>9</v>
      </c>
      <c r="F120" s="726" t="s">
        <v>200</v>
      </c>
    </row>
    <row r="121" spans="5:6" x14ac:dyDescent="0.45">
      <c r="E121" s="726">
        <v>10</v>
      </c>
      <c r="F121" s="726" t="s">
        <v>201</v>
      </c>
    </row>
    <row r="122" spans="5:6" x14ac:dyDescent="0.45">
      <c r="E122" s="726">
        <v>11</v>
      </c>
      <c r="F122" s="726" t="s">
        <v>232</v>
      </c>
    </row>
    <row r="123" spans="5:6" x14ac:dyDescent="0.45">
      <c r="E123" s="726">
        <v>12</v>
      </c>
      <c r="F123" s="726" t="s">
        <v>202</v>
      </c>
    </row>
    <row r="124" spans="5:6" x14ac:dyDescent="0.45">
      <c r="E124" s="726">
        <f t="shared" ref="E124:E145" si="36">E123+1</f>
        <v>13</v>
      </c>
      <c r="F124" s="726" t="s">
        <v>203</v>
      </c>
    </row>
    <row r="125" spans="5:6" x14ac:dyDescent="0.45">
      <c r="E125" s="726">
        <v>14</v>
      </c>
      <c r="F125" s="726" t="s">
        <v>233</v>
      </c>
    </row>
    <row r="126" spans="5:6" x14ac:dyDescent="0.45">
      <c r="E126" s="726">
        <v>15</v>
      </c>
      <c r="F126" s="726" t="s">
        <v>234</v>
      </c>
    </row>
    <row r="127" spans="5:6" x14ac:dyDescent="0.45">
      <c r="E127" s="726">
        <v>16</v>
      </c>
      <c r="F127" s="726" t="s">
        <v>213</v>
      </c>
    </row>
    <row r="128" spans="5:6" x14ac:dyDescent="0.45">
      <c r="E128" s="726">
        <v>17</v>
      </c>
      <c r="F128" s="726" t="s">
        <v>235</v>
      </c>
    </row>
    <row r="129" spans="5:6" x14ac:dyDescent="0.45">
      <c r="E129" s="726">
        <v>18</v>
      </c>
      <c r="F129" s="726" t="s">
        <v>263</v>
      </c>
    </row>
    <row r="130" spans="5:6" x14ac:dyDescent="0.45">
      <c r="E130" s="726">
        <v>19</v>
      </c>
      <c r="F130" s="726" t="s">
        <v>204</v>
      </c>
    </row>
    <row r="131" spans="5:6" x14ac:dyDescent="0.45">
      <c r="E131" s="726">
        <v>20</v>
      </c>
      <c r="F131" s="726" t="s">
        <v>236</v>
      </c>
    </row>
    <row r="132" spans="5:6" x14ac:dyDescent="0.45">
      <c r="E132" s="726">
        <v>21</v>
      </c>
      <c r="F132" s="726" t="s">
        <v>237</v>
      </c>
    </row>
    <row r="133" spans="5:6" x14ac:dyDescent="0.45">
      <c r="E133" s="726">
        <v>22</v>
      </c>
      <c r="F133" s="726" t="s">
        <v>238</v>
      </c>
    </row>
    <row r="134" spans="5:6" x14ac:dyDescent="0.45">
      <c r="E134" s="726">
        <v>23</v>
      </c>
      <c r="F134" s="726" t="s">
        <v>205</v>
      </c>
    </row>
    <row r="135" spans="5:6" x14ac:dyDescent="0.45">
      <c r="E135" s="726">
        <v>24</v>
      </c>
      <c r="F135" s="726" t="s">
        <v>239</v>
      </c>
    </row>
    <row r="136" spans="5:6" x14ac:dyDescent="0.45">
      <c r="E136" s="726">
        <v>25</v>
      </c>
      <c r="F136" s="726" t="s">
        <v>240</v>
      </c>
    </row>
    <row r="137" spans="5:6" x14ac:dyDescent="0.45">
      <c r="E137" s="726">
        <v>26</v>
      </c>
      <c r="F137" s="726" t="s">
        <v>241</v>
      </c>
    </row>
    <row r="138" spans="5:6" x14ac:dyDescent="0.45">
      <c r="E138" s="726">
        <v>27</v>
      </c>
      <c r="F138" s="726" t="s">
        <v>206</v>
      </c>
    </row>
    <row r="139" spans="5:6" x14ac:dyDescent="0.45">
      <c r="E139" s="726">
        <v>28</v>
      </c>
      <c r="F139" s="726" t="s">
        <v>242</v>
      </c>
    </row>
    <row r="140" spans="5:6" x14ac:dyDescent="0.45">
      <c r="E140" s="726">
        <v>29</v>
      </c>
      <c r="F140" s="726" t="s">
        <v>243</v>
      </c>
    </row>
    <row r="141" spans="5:6" x14ac:dyDescent="0.45">
      <c r="E141" s="726">
        <v>30</v>
      </c>
      <c r="F141" s="726" t="s">
        <v>244</v>
      </c>
    </row>
    <row r="142" spans="5:6" x14ac:dyDescent="0.45">
      <c r="E142" s="726">
        <v>31</v>
      </c>
      <c r="F142" s="726" t="s">
        <v>245</v>
      </c>
    </row>
    <row r="143" spans="5:6" x14ac:dyDescent="0.45">
      <c r="E143" s="726">
        <v>32</v>
      </c>
      <c r="F143" s="726" t="s">
        <v>246</v>
      </c>
    </row>
    <row r="144" spans="5:6" x14ac:dyDescent="0.45">
      <c r="E144" s="726">
        <v>33</v>
      </c>
      <c r="F144" s="726" t="s">
        <v>207</v>
      </c>
    </row>
    <row r="145" spans="5:6" x14ac:dyDescent="0.45">
      <c r="E145" s="726">
        <f t="shared" si="36"/>
        <v>34</v>
      </c>
      <c r="F145" s="726" t="s">
        <v>208</v>
      </c>
    </row>
    <row r="146" spans="5:6" x14ac:dyDescent="0.45">
      <c r="E146" s="726">
        <v>35</v>
      </c>
      <c r="F146" s="726" t="s">
        <v>247</v>
      </c>
    </row>
    <row r="147" spans="5:6" x14ac:dyDescent="0.45">
      <c r="E147" s="726">
        <v>36</v>
      </c>
      <c r="F147" s="726" t="s">
        <v>248</v>
      </c>
    </row>
    <row r="148" spans="5:6" x14ac:dyDescent="0.45">
      <c r="E148" s="726">
        <v>36</v>
      </c>
      <c r="F148" s="726" t="s">
        <v>249</v>
      </c>
    </row>
    <row r="149" spans="5:6" x14ac:dyDescent="0.45">
      <c r="E149" s="726">
        <v>38</v>
      </c>
      <c r="F149" s="726" t="s">
        <v>250</v>
      </c>
    </row>
    <row r="150" spans="5:6" x14ac:dyDescent="0.45">
      <c r="E150" s="726">
        <v>39</v>
      </c>
      <c r="F150" s="726" t="s">
        <v>251</v>
      </c>
    </row>
    <row r="151" spans="5:6" x14ac:dyDescent="0.45">
      <c r="E151" s="726">
        <v>40</v>
      </c>
      <c r="F151" s="726" t="s">
        <v>209</v>
      </c>
    </row>
    <row r="152" spans="5:6" x14ac:dyDescent="0.45">
      <c r="E152" s="726">
        <v>41</v>
      </c>
      <c r="F152" s="726" t="s">
        <v>264</v>
      </c>
    </row>
    <row r="153" spans="5:6" x14ac:dyDescent="0.45">
      <c r="E153" s="726">
        <v>42</v>
      </c>
      <c r="F153" s="726" t="s">
        <v>252</v>
      </c>
    </row>
    <row r="154" spans="5:6" x14ac:dyDescent="0.45">
      <c r="E154" s="726">
        <v>43</v>
      </c>
      <c r="F154" s="726" t="s">
        <v>253</v>
      </c>
    </row>
    <row r="155" spans="5:6" x14ac:dyDescent="0.45">
      <c r="E155" s="726">
        <v>44</v>
      </c>
      <c r="F155" s="726" t="s">
        <v>254</v>
      </c>
    </row>
    <row r="156" spans="5:6" x14ac:dyDescent="0.45">
      <c r="E156" s="726">
        <v>45</v>
      </c>
      <c r="F156" s="726" t="s">
        <v>210</v>
      </c>
    </row>
    <row r="157" spans="5:6" x14ac:dyDescent="0.45">
      <c r="E157" s="726">
        <v>46</v>
      </c>
      <c r="F157" s="726" t="s">
        <v>255</v>
      </c>
    </row>
    <row r="158" spans="5:6" x14ac:dyDescent="0.45">
      <c r="E158" s="726">
        <v>47</v>
      </c>
      <c r="F158" s="726" t="s">
        <v>211</v>
      </c>
    </row>
    <row r="159" spans="5:6" x14ac:dyDescent="0.45">
      <c r="E159" s="726">
        <v>48</v>
      </c>
      <c r="F159" s="726" t="s">
        <v>256</v>
      </c>
    </row>
    <row r="160" spans="5:6" x14ac:dyDescent="0.45">
      <c r="E160" s="726">
        <v>49</v>
      </c>
      <c r="F160" s="726" t="s">
        <v>257</v>
      </c>
    </row>
    <row r="161" spans="5:6" x14ac:dyDescent="0.45">
      <c r="E161" s="726">
        <v>50</v>
      </c>
      <c r="F161" s="726" t="s">
        <v>260</v>
      </c>
    </row>
    <row r="162" spans="5:6" x14ac:dyDescent="0.45">
      <c r="E162" s="726">
        <v>51</v>
      </c>
      <c r="F162" s="726" t="s">
        <v>258</v>
      </c>
    </row>
    <row r="163" spans="5:6" x14ac:dyDescent="0.45">
      <c r="E163" s="726">
        <v>52</v>
      </c>
      <c r="F163" s="726" t="s">
        <v>212</v>
      </c>
    </row>
    <row r="164" spans="5:6" x14ac:dyDescent="0.45">
      <c r="E164" s="726">
        <v>53</v>
      </c>
      <c r="F164" s="726" t="s">
        <v>259</v>
      </c>
    </row>
    <row r="165" spans="5:6" x14ac:dyDescent="0.45">
      <c r="E165" s="726">
        <v>54</v>
      </c>
      <c r="F165" s="726" t="s">
        <v>261</v>
      </c>
    </row>
    <row r="166" spans="5:6" x14ac:dyDescent="0.45">
      <c r="E166" s="726">
        <v>55</v>
      </c>
      <c r="F166" s="726" t="s">
        <v>262</v>
      </c>
    </row>
    <row r="167" spans="5:6" x14ac:dyDescent="0.45">
      <c r="E167"/>
      <c r="F167"/>
    </row>
    <row r="168" spans="5:6" x14ac:dyDescent="0.45">
      <c r="E168"/>
      <c r="F168"/>
    </row>
  </sheetData>
  <sheetProtection algorithmName="SHA-512" hashValue="xUs2TghtEbpK4ErlLQcuziGFJD+Yg7l/32Ffb7usM085/Wyb4+NJ8bHgzy1hucZrn2EmOsopDi+1wvurw/5Hvw==" saltValue="BQvegMYxLkPCFVBwRgKv5A=="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9D6E6339-5A9C-48A8-A3DD-3B8BEC560BF0}">
      <formula1>$F$112:$F$166</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9BA82-896B-49C8-922F-BC922CD52EFF}">
  <dimension ref="A1:AA168"/>
  <sheetViews>
    <sheetView topLeftCell="B1" zoomScale="60" zoomScaleNormal="60" workbookViewId="0">
      <selection activeCell="O4" sqref="O4"/>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4" width="15.33203125" style="5" customWidth="1"/>
    <col min="15" max="16" width="15.3320312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555"/>
      <c r="P1" s="555"/>
      <c r="Q1" s="555"/>
      <c r="R1" s="3"/>
      <c r="S1" s="4"/>
      <c r="U1" s="556"/>
      <c r="V1" s="556"/>
      <c r="W1" s="556"/>
      <c r="X1" s="556"/>
      <c r="Y1" s="556"/>
      <c r="Z1" s="556"/>
      <c r="AA1" s="556"/>
    </row>
    <row r="2" spans="1:27" ht="30" x14ac:dyDescent="1.1000000000000001">
      <c r="B2" s="557"/>
      <c r="C2" s="558"/>
      <c r="D2" s="559" t="s">
        <v>286</v>
      </c>
      <c r="E2" s="558"/>
      <c r="F2" s="560"/>
      <c r="G2" s="560"/>
      <c r="H2" s="560"/>
      <c r="I2" s="560"/>
      <c r="J2" s="560"/>
      <c r="K2" s="560"/>
      <c r="L2" s="560"/>
      <c r="M2" s="560"/>
      <c r="N2" s="560"/>
      <c r="O2" s="558"/>
      <c r="P2" s="558"/>
      <c r="Q2" s="558"/>
      <c r="R2" s="560"/>
      <c r="S2" s="6"/>
    </row>
    <row r="3" spans="1:27" ht="14.65" thickBot="1" x14ac:dyDescent="0.5">
      <c r="B3" s="561"/>
      <c r="C3" s="562"/>
      <c r="D3" s="562"/>
      <c r="E3" s="562"/>
      <c r="F3" s="563"/>
      <c r="G3" s="563"/>
      <c r="H3" s="563"/>
      <c r="I3" s="563"/>
      <c r="J3" s="563"/>
      <c r="K3" s="563"/>
      <c r="L3" s="563"/>
      <c r="M3" s="563"/>
      <c r="N3" s="563"/>
      <c r="O3" s="562"/>
      <c r="P3" s="562"/>
      <c r="Q3" s="562"/>
      <c r="R3" s="563"/>
      <c r="S3" s="7"/>
    </row>
    <row r="4" spans="1:27" ht="26.45" customHeight="1" thickBot="1" x14ac:dyDescent="0.5">
      <c r="B4" s="561"/>
      <c r="C4" s="562"/>
      <c r="D4" s="564" t="s">
        <v>195</v>
      </c>
      <c r="E4" s="562"/>
      <c r="F4" s="8" t="s">
        <v>209</v>
      </c>
      <c r="G4" s="563"/>
      <c r="H4" s="563"/>
      <c r="I4" s="563"/>
      <c r="J4" s="563"/>
      <c r="K4" s="1434" t="s">
        <v>517</v>
      </c>
      <c r="L4" s="1435"/>
      <c r="M4" s="1436"/>
      <c r="N4" s="1092">
        <f>(N9+N46+N59+N69+N76+N79+N92)/7</f>
        <v>1.0933874521265674</v>
      </c>
      <c r="O4" s="1093">
        <f>(O9+O46+O59+O69+O76+O79+O92)</f>
        <v>72.653124664187814</v>
      </c>
      <c r="P4" s="1092">
        <f>O4/100</f>
        <v>0.72653124664187818</v>
      </c>
      <c r="Q4" s="562"/>
      <c r="R4" s="563"/>
      <c r="S4" s="7"/>
    </row>
    <row r="5" spans="1:27" ht="18.399999999999999" thickBot="1" x14ac:dyDescent="0.6">
      <c r="B5" s="1437"/>
      <c r="C5" s="1438"/>
      <c r="D5" s="1438"/>
      <c r="E5" s="1438"/>
      <c r="F5" s="1438"/>
      <c r="G5" s="1438"/>
      <c r="H5" s="1438"/>
      <c r="I5" s="1438"/>
      <c r="J5" s="1438"/>
      <c r="K5" s="1438"/>
      <c r="L5" s="66"/>
      <c r="M5" s="565">
        <f>100/28</f>
        <v>3.5714285714285716</v>
      </c>
      <c r="N5" s="9"/>
      <c r="O5" s="727"/>
      <c r="P5" s="727"/>
      <c r="Q5" s="566"/>
      <c r="R5" s="9"/>
      <c r="S5" s="10"/>
    </row>
    <row r="6" spans="1:27" ht="33.6" customHeight="1" thickBot="1" x14ac:dyDescent="0.5">
      <c r="B6" s="1439"/>
      <c r="C6" s="1440"/>
      <c r="D6" s="1440"/>
      <c r="E6" s="1440"/>
      <c r="F6" s="1441"/>
      <c r="G6" s="567"/>
      <c r="H6" s="567"/>
      <c r="I6" s="567"/>
      <c r="J6" s="567"/>
      <c r="K6" s="567"/>
      <c r="L6" s="567"/>
      <c r="M6" s="567"/>
      <c r="N6" s="568"/>
      <c r="O6" s="569"/>
      <c r="P6" s="569"/>
      <c r="Q6" s="568"/>
      <c r="R6" s="12"/>
      <c r="S6" s="13"/>
    </row>
    <row r="7" spans="1:27" ht="55.8" customHeight="1" thickBot="1" x14ac:dyDescent="0.5">
      <c r="B7" s="1442"/>
      <c r="C7" s="1443"/>
      <c r="D7" s="1443"/>
      <c r="E7" s="1443"/>
      <c r="F7" s="1444"/>
      <c r="G7" s="570"/>
      <c r="H7" s="571" t="s">
        <v>218</v>
      </c>
      <c r="I7" s="572" t="s">
        <v>219</v>
      </c>
      <c r="J7" s="573" t="s">
        <v>91</v>
      </c>
      <c r="K7" s="574" t="s">
        <v>107</v>
      </c>
      <c r="L7" s="574" t="s">
        <v>104</v>
      </c>
      <c r="M7" s="574" t="s">
        <v>105</v>
      </c>
      <c r="N7" s="572" t="s">
        <v>106</v>
      </c>
      <c r="O7" s="572" t="s">
        <v>465</v>
      </c>
      <c r="P7" s="575" t="s">
        <v>466</v>
      </c>
      <c r="Q7" s="576" t="s">
        <v>93</v>
      </c>
      <c r="R7" s="577" t="s">
        <v>110</v>
      </c>
      <c r="S7" s="578" t="s">
        <v>103</v>
      </c>
    </row>
    <row r="8" spans="1:27" ht="25.25" customHeight="1" thickBot="1" x14ac:dyDescent="0.5">
      <c r="B8" s="579" t="s">
        <v>2</v>
      </c>
      <c r="C8" s="579" t="s">
        <v>92</v>
      </c>
      <c r="D8" s="579" t="s">
        <v>3</v>
      </c>
      <c r="E8" s="579" t="s">
        <v>94</v>
      </c>
      <c r="F8" s="579" t="s">
        <v>102</v>
      </c>
      <c r="G8" s="579" t="s">
        <v>96</v>
      </c>
      <c r="H8" s="580"/>
      <c r="I8" s="581"/>
      <c r="J8" s="580"/>
      <c r="K8" s="582"/>
      <c r="L8" s="582"/>
      <c r="M8" s="579"/>
      <c r="N8" s="583"/>
      <c r="O8" s="584"/>
      <c r="P8" s="585"/>
      <c r="Q8" s="581"/>
      <c r="R8" s="583"/>
      <c r="S8" s="583"/>
      <c r="V8" s="586" t="s">
        <v>151</v>
      </c>
      <c r="W8" s="587"/>
      <c r="X8" s="587"/>
      <c r="Y8" s="587"/>
      <c r="Z8" s="588"/>
    </row>
    <row r="9" spans="1:27" s="144" customFormat="1" ht="25.25" customHeight="1" thickBot="1" x14ac:dyDescent="0.5">
      <c r="B9" s="1445" t="s">
        <v>0</v>
      </c>
      <c r="C9" s="1446"/>
      <c r="D9" s="1446"/>
      <c r="E9" s="1446"/>
      <c r="F9" s="1447"/>
      <c r="G9" s="589"/>
      <c r="H9" s="756"/>
      <c r="I9" s="757"/>
      <c r="J9" s="758"/>
      <c r="K9" s="758"/>
      <c r="L9" s="758"/>
      <c r="M9" s="759"/>
      <c r="N9" s="760">
        <f>(N10+N18+N23+N32+N37+N40+N43)/7</f>
        <v>0.78414299875320015</v>
      </c>
      <c r="O9" s="761">
        <f>(O10+O18+O23+O32+O37+O40+O43)</f>
        <v>23.308545426679629</v>
      </c>
      <c r="P9" s="762">
        <f>O9/42.857136</f>
        <v>0.54386614697444158</v>
      </c>
      <c r="Q9" s="758"/>
      <c r="R9" s="590"/>
      <c r="S9" s="590"/>
      <c r="U9" s="591"/>
      <c r="V9" s="592"/>
      <c r="W9" s="593"/>
      <c r="X9" s="593"/>
      <c r="Y9" s="593"/>
      <c r="Z9" s="594"/>
      <c r="AA9" s="591"/>
    </row>
    <row r="10" spans="1:27" s="96" customFormat="1" ht="25.25" customHeight="1" thickBot="1" x14ac:dyDescent="0.5">
      <c r="B10" s="1448" t="s">
        <v>1</v>
      </c>
      <c r="C10" s="1449"/>
      <c r="D10" s="1449"/>
      <c r="E10" s="1449"/>
      <c r="F10" s="1450"/>
      <c r="G10" s="595"/>
      <c r="H10" s="763"/>
      <c r="I10" s="764"/>
      <c r="J10" s="765"/>
      <c r="K10" s="765"/>
      <c r="L10" s="765"/>
      <c r="M10" s="766"/>
      <c r="N10" s="760">
        <f>(N11+N13+N15)/3</f>
        <v>1.7909346546307272</v>
      </c>
      <c r="O10" s="761">
        <f>(O11+O13+O15)</f>
        <v>8.6553494296225786</v>
      </c>
      <c r="P10" s="762">
        <f>O10/10.714284</f>
        <v>0.80783274268467953</v>
      </c>
      <c r="Q10" s="765"/>
      <c r="R10" s="596"/>
      <c r="S10" s="596"/>
      <c r="U10" s="597"/>
      <c r="V10" s="598"/>
      <c r="W10" s="599"/>
      <c r="X10" s="599"/>
      <c r="Y10" s="599"/>
      <c r="Z10" s="600"/>
      <c r="AA10" s="597"/>
    </row>
    <row r="11" spans="1:27" ht="27.6" customHeight="1" thickBot="1" x14ac:dyDescent="0.5">
      <c r="A11" s="1451">
        <v>1</v>
      </c>
      <c r="B11" s="1462" t="s">
        <v>4</v>
      </c>
      <c r="C11" s="1464">
        <f>M5</f>
        <v>3.5714285714285716</v>
      </c>
      <c r="D11" s="601" t="s">
        <v>111</v>
      </c>
      <c r="E11" s="602">
        <f>$C$11/2</f>
        <v>1.7857142857142858</v>
      </c>
      <c r="F11" s="603" t="s">
        <v>5</v>
      </c>
      <c r="G11" s="604">
        <f>E11/1</f>
        <v>1.7857142857142858</v>
      </c>
      <c r="H11" s="767">
        <v>662.5</v>
      </c>
      <c r="I11" s="768">
        <v>452.4</v>
      </c>
      <c r="J11" s="769">
        <f>(H11-I11)</f>
        <v>210.10000000000002</v>
      </c>
      <c r="K11" s="770">
        <f>(0.3*I11)*6/10</f>
        <v>81.431999999999988</v>
      </c>
      <c r="L11" s="771">
        <f>I11+K11</f>
        <v>533.83199999999999</v>
      </c>
      <c r="M11" s="772">
        <f>IF(K11&lt;&gt;0,J11/K11,"0%")</f>
        <v>2.5800668042047361</v>
      </c>
      <c r="N11" s="1456">
        <f>(((G11/C11)*M11)+((G12/C11)*M12))</f>
        <v>1.9460617708966945</v>
      </c>
      <c r="O11" s="1458">
        <f>IF((((G11/C11)*M11)+((G12/C11)*M12))&gt;=1,3.57148,IF((((G11/C11)*M11)+((G12/C11)*M12))&lt;=0,0, (((G11/C11)*M11)+((G12/C11)*M12))*3.571428))</f>
        <v>3.5714800000000002</v>
      </c>
      <c r="P11" s="1460">
        <f>O11/3.571428</f>
        <v>1.0000145600023296</v>
      </c>
      <c r="Q11" s="773" t="s">
        <v>97</v>
      </c>
      <c r="R11" s="228" t="s">
        <v>327</v>
      </c>
      <c r="S11" s="728" t="s">
        <v>328</v>
      </c>
      <c r="V11" s="605" t="s">
        <v>109</v>
      </c>
      <c r="W11" s="606" t="e">
        <f>#REF!</f>
        <v>#REF!</v>
      </c>
      <c r="X11" s="607"/>
      <c r="Y11" s="607"/>
      <c r="Z11" s="608"/>
    </row>
    <row r="12" spans="1:27" ht="27" customHeight="1" thickBot="1" x14ac:dyDescent="0.5">
      <c r="A12" s="1451"/>
      <c r="B12" s="1463"/>
      <c r="C12" s="1465"/>
      <c r="D12" s="609" t="s">
        <v>112</v>
      </c>
      <c r="E12" s="610">
        <f>$C$11/2</f>
        <v>1.7857142857142858</v>
      </c>
      <c r="F12" s="611" t="s">
        <v>281</v>
      </c>
      <c r="G12" s="612">
        <f>E12/1</f>
        <v>1.7857142857142858</v>
      </c>
      <c r="H12" s="774">
        <v>15.1</v>
      </c>
      <c r="I12" s="775">
        <v>18.8</v>
      </c>
      <c r="J12" s="776">
        <f>I12-H12</f>
        <v>3.7000000000000011</v>
      </c>
      <c r="K12" s="777">
        <f>(0.25*I12)*(6/10)</f>
        <v>2.82</v>
      </c>
      <c r="L12" s="778">
        <f>I12-K12</f>
        <v>15.98</v>
      </c>
      <c r="M12" s="779">
        <f>IF(K12&lt;&gt;0,J12/K12,"0%")</f>
        <v>1.3120567375886529</v>
      </c>
      <c r="N12" s="1457"/>
      <c r="O12" s="1459"/>
      <c r="P12" s="1461"/>
      <c r="Q12" s="780" t="s">
        <v>98</v>
      </c>
      <c r="R12" s="429" t="s">
        <v>329</v>
      </c>
      <c r="S12" s="728" t="s">
        <v>330</v>
      </c>
      <c r="V12" s="613">
        <v>0.02</v>
      </c>
      <c r="W12" s="614" t="e">
        <f>(W11-(W11*V12))</f>
        <v>#REF!</v>
      </c>
      <c r="X12" s="614" t="e">
        <f>W11-(V12*W11)</f>
        <v>#REF!</v>
      </c>
      <c r="Y12" s="607"/>
      <c r="Z12" s="608"/>
    </row>
    <row r="13" spans="1:27" ht="32.450000000000003" customHeight="1" x14ac:dyDescent="0.45">
      <c r="A13" s="1451">
        <v>2</v>
      </c>
      <c r="B13" s="1452" t="s">
        <v>6</v>
      </c>
      <c r="C13" s="1454">
        <f>M5</f>
        <v>3.5714285714285716</v>
      </c>
      <c r="D13" s="615" t="s">
        <v>273</v>
      </c>
      <c r="E13" s="616">
        <f>$C$13/2</f>
        <v>1.7857142857142858</v>
      </c>
      <c r="F13" s="617" t="s">
        <v>7</v>
      </c>
      <c r="G13" s="618">
        <f>E13/1</f>
        <v>1.7857142857142858</v>
      </c>
      <c r="H13" s="1257">
        <v>9.3000000000000007</v>
      </c>
      <c r="I13" s="1258">
        <v>11.4</v>
      </c>
      <c r="J13" s="783">
        <f>IF(I13=H13,(5-H13),I13-H13)</f>
        <v>2.0999999999999996</v>
      </c>
      <c r="K13" s="784">
        <f>IF(I13&lt;=5,0,((I13-5)*(6/10)))</f>
        <v>3.84</v>
      </c>
      <c r="L13" s="785">
        <f>I13-K13</f>
        <v>7.5600000000000005</v>
      </c>
      <c r="M13" s="786">
        <f>IF(I13&lt;=5,(1+(5-H13)/5),(J13/K13))</f>
        <v>0.54687499999999989</v>
      </c>
      <c r="N13" s="1456">
        <f>(((G13/C13)*M13)+((G14/C13)*M14))</f>
        <v>0.42348366805170862</v>
      </c>
      <c r="O13" s="1458">
        <f>IF((((G13/C13)*M13)+((G14/C13)*M14))&gt;=1,3.57148,IF((((G13/C13)*M13)+((G14/C13)*M14))&lt;=0,0, (((G13/C13)*M13)+((G14/C13)*M14))*3.571428))</f>
        <v>1.5124414296225777</v>
      </c>
      <c r="P13" s="1460">
        <f>O13/3.571428</f>
        <v>0.42348366805170862</v>
      </c>
      <c r="Q13" s="787" t="s">
        <v>99</v>
      </c>
      <c r="R13" s="156" t="s">
        <v>331</v>
      </c>
      <c r="S13" s="430"/>
      <c r="V13" s="613">
        <v>0.02</v>
      </c>
      <c r="W13" s="614" t="e">
        <f>(#REF!-(#REF!*V13))</f>
        <v>#REF!</v>
      </c>
      <c r="X13" s="614" t="e">
        <f>(W11-(V12*W11))-((W11-(V12*W11))*0.02)-(((W11-(V12*W11))-((W11-(V12*W11))*0.02))*0.02)-(((W11-(V12*W11))-((W11-(V12*W11))*0.02)-(((W11-(V12*W11))-((W11-(V12*W11))*0.02))*0.02))*0.02)</f>
        <v>#REF!</v>
      </c>
      <c r="Y13" s="619" t="e">
        <f>(W11-W14)/W11</f>
        <v>#REF!</v>
      </c>
      <c r="Z13" s="608"/>
    </row>
    <row r="14" spans="1:27" ht="33" customHeight="1" thickBot="1" x14ac:dyDescent="0.5">
      <c r="A14" s="1451"/>
      <c r="B14" s="1453"/>
      <c r="C14" s="1455"/>
      <c r="D14" s="609" t="s">
        <v>274</v>
      </c>
      <c r="E14" s="620">
        <f>$C$13/2</f>
        <v>1.7857142857142858</v>
      </c>
      <c r="F14" s="621" t="s">
        <v>8</v>
      </c>
      <c r="G14" s="622">
        <f>E14/1</f>
        <v>1.7857142857142858</v>
      </c>
      <c r="H14" s="1257">
        <v>87.4</v>
      </c>
      <c r="I14" s="1161">
        <v>84.8</v>
      </c>
      <c r="J14" s="790">
        <f>H14-I14</f>
        <v>2.6000000000000085</v>
      </c>
      <c r="K14" s="791">
        <f>(0.95*(100-I14))*6/10</f>
        <v>8.6640000000000015</v>
      </c>
      <c r="L14" s="792">
        <f>K14+I14</f>
        <v>93.463999999999999</v>
      </c>
      <c r="M14" s="793">
        <f>IF(K14&lt;&gt;0,J14/K14,"1%")</f>
        <v>0.30009233610341735</v>
      </c>
      <c r="N14" s="1457"/>
      <c r="O14" s="1459"/>
      <c r="P14" s="1461"/>
      <c r="Q14" s="794" t="s">
        <v>100</v>
      </c>
      <c r="R14" s="431" t="s">
        <v>332</v>
      </c>
      <c r="S14" s="353"/>
      <c r="V14" s="623">
        <v>0.02</v>
      </c>
      <c r="W14" s="624" t="e">
        <f>(#REF!-(#REF!*V14))</f>
        <v>#REF!</v>
      </c>
      <c r="X14" s="62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625" t="e">
        <f>W11-X14</f>
        <v>#REF!</v>
      </c>
      <c r="Z14" s="626"/>
    </row>
    <row r="15" spans="1:27" ht="22.25" customHeight="1" thickBot="1" x14ac:dyDescent="0.5">
      <c r="A15" s="1492">
        <v>3</v>
      </c>
      <c r="B15" s="1493" t="s">
        <v>9</v>
      </c>
      <c r="C15" s="1495">
        <f>M5</f>
        <v>3.5714285714285716</v>
      </c>
      <c r="D15" s="1493" t="s">
        <v>113</v>
      </c>
      <c r="E15" s="1495">
        <f>$C$15/1</f>
        <v>3.5714285714285716</v>
      </c>
      <c r="F15" s="627" t="s">
        <v>221</v>
      </c>
      <c r="G15" s="628">
        <f>$E$15/3</f>
        <v>1.1904761904761905</v>
      </c>
      <c r="H15" s="795">
        <v>51</v>
      </c>
      <c r="I15" s="796">
        <v>26.9</v>
      </c>
      <c r="J15" s="797">
        <f>H15-I15</f>
        <v>24.1</v>
      </c>
      <c r="K15" s="798">
        <f>(0.5*I15)*6/10</f>
        <v>8.0699999999999985</v>
      </c>
      <c r="L15" s="771">
        <f>I15+K15</f>
        <v>34.97</v>
      </c>
      <c r="M15" s="772">
        <f>IF(K15&lt;&gt;0,J15/K15,"0%")</f>
        <v>2.9863692688971506</v>
      </c>
      <c r="N15" s="1497">
        <f>(((G15/C15)*M15)+((G16/C15)*M16)+((G17/C15)*M17))</f>
        <v>3.0032585249437789</v>
      </c>
      <c r="O15" s="1484">
        <f>IF((((G15/C15)*M15)+((G16/C15)*M16)+((G17/C15)*M17))&gt;=1,3.571428,IF((((G15/C15)*M15)+((G16/C15)*M16)+((G17/C15)*M17))&lt;=0,0,(((G15/C15)*M15)+((G16/C15)*M16)+((G17/C15)*M17))*3.571428))</f>
        <v>3.571428</v>
      </c>
      <c r="P15" s="1460">
        <f>O15/3.571428</f>
        <v>1</v>
      </c>
      <c r="Q15" s="799" t="s">
        <v>101</v>
      </c>
      <c r="R15" s="432"/>
      <c r="S15" s="382"/>
    </row>
    <row r="16" spans="1:27" x14ac:dyDescent="0.45">
      <c r="A16" s="1492"/>
      <c r="B16" s="1493"/>
      <c r="C16" s="1495"/>
      <c r="D16" s="1493"/>
      <c r="E16" s="1495"/>
      <c r="F16" s="629" t="s">
        <v>220</v>
      </c>
      <c r="G16" s="630">
        <f t="shared" ref="G16:G17" si="0">$E$15/3</f>
        <v>1.1904761904761905</v>
      </c>
      <c r="H16" s="795">
        <v>51</v>
      </c>
      <c r="I16" s="796">
        <v>26.9</v>
      </c>
      <c r="J16" s="802">
        <f>H16-I16</f>
        <v>24.1</v>
      </c>
      <c r="K16" s="803">
        <f>(0.5*I16)*6/10</f>
        <v>8.0699999999999985</v>
      </c>
      <c r="L16" s="804">
        <f t="shared" ref="L16:L17" si="1">I16+K16</f>
        <v>34.97</v>
      </c>
      <c r="M16" s="805">
        <f>IF(K16&lt;&gt;0,J16/K16,"0%")</f>
        <v>2.9863692688971506</v>
      </c>
      <c r="N16" s="1498"/>
      <c r="O16" s="1482"/>
      <c r="P16" s="1485"/>
      <c r="Q16" s="806" t="s">
        <v>95</v>
      </c>
      <c r="R16" s="457" t="s">
        <v>333</v>
      </c>
      <c r="S16" s="354"/>
    </row>
    <row r="17" spans="1:19" ht="25.25" customHeight="1" thickBot="1" x14ac:dyDescent="0.5">
      <c r="A17" s="1492"/>
      <c r="B17" s="1494"/>
      <c r="C17" s="1496"/>
      <c r="D17" s="1494"/>
      <c r="E17" s="1496"/>
      <c r="F17" s="631" t="s">
        <v>10</v>
      </c>
      <c r="G17" s="632">
        <f t="shared" si="0"/>
        <v>1.1904761904761905</v>
      </c>
      <c r="H17" s="807">
        <v>17.2</v>
      </c>
      <c r="I17" s="808">
        <v>9</v>
      </c>
      <c r="J17" s="809">
        <f>H17-I17</f>
        <v>8.1999999999999993</v>
      </c>
      <c r="K17" s="810">
        <f>(0.5*I17)*6/10</f>
        <v>2.7</v>
      </c>
      <c r="L17" s="778">
        <f t="shared" si="1"/>
        <v>11.7</v>
      </c>
      <c r="M17" s="779">
        <f>IF(K17&lt;&gt;0,J17/K17,"0%")</f>
        <v>3.0370370370370368</v>
      </c>
      <c r="N17" s="1499"/>
      <c r="O17" s="1483"/>
      <c r="P17" s="1485"/>
      <c r="Q17" s="811" t="s">
        <v>162</v>
      </c>
      <c r="R17" s="433" t="s">
        <v>332</v>
      </c>
      <c r="S17" s="355"/>
    </row>
    <row r="18" spans="1:19" ht="21.4" thickBot="1" x14ac:dyDescent="0.7">
      <c r="A18" s="14"/>
      <c r="B18" s="1486" t="s">
        <v>11</v>
      </c>
      <c r="C18" s="1487"/>
      <c r="D18" s="1487"/>
      <c r="E18" s="1487"/>
      <c r="F18" s="1488"/>
      <c r="G18" s="633"/>
      <c r="H18" s="1109"/>
      <c r="I18" s="1110"/>
      <c r="J18" s="813"/>
      <c r="K18" s="813"/>
      <c r="L18" s="813"/>
      <c r="M18" s="814"/>
      <c r="N18" s="760">
        <f>N19</f>
        <v>1.045188351690894</v>
      </c>
      <c r="O18" s="761">
        <f>O19</f>
        <v>3.571428</v>
      </c>
      <c r="P18" s="762">
        <f>O18/3.571428</f>
        <v>1</v>
      </c>
      <c r="Q18" s="813"/>
      <c r="R18" s="475"/>
      <c r="S18" s="476"/>
    </row>
    <row r="19" spans="1:19" ht="34.25" customHeight="1" thickBot="1" x14ac:dyDescent="0.5">
      <c r="A19" s="1451">
        <v>4</v>
      </c>
      <c r="B19" s="1469" t="s">
        <v>12</v>
      </c>
      <c r="C19" s="1473">
        <f>M5</f>
        <v>3.5714285714285716</v>
      </c>
      <c r="D19" s="635" t="s">
        <v>114</v>
      </c>
      <c r="E19" s="604">
        <f>$C$19/4</f>
        <v>0.8928571428571429</v>
      </c>
      <c r="F19" s="636" t="s">
        <v>222</v>
      </c>
      <c r="G19" s="628">
        <f>E19/1</f>
        <v>0.8928571428571429</v>
      </c>
      <c r="H19" s="1197">
        <v>20.8</v>
      </c>
      <c r="I19" s="1198">
        <v>17.5</v>
      </c>
      <c r="J19" s="815">
        <f>H19-I19</f>
        <v>3.3000000000000007</v>
      </c>
      <c r="K19" s="798">
        <f>(2*I19)*6/10</f>
        <v>21</v>
      </c>
      <c r="L19" s="816">
        <f t="shared" ref="L19:L22" si="2">K19+I19</f>
        <v>38.5</v>
      </c>
      <c r="M19" s="772">
        <f>IF(K19&lt;&gt;0,J19/K19,"0%")</f>
        <v>0.15714285714285717</v>
      </c>
      <c r="N19" s="1477">
        <f>(((G19/C19)*M19)+((G20/C19)*M20)+((G21/C19)*M21)+((G22/C19)*M22))</f>
        <v>1.045188351690894</v>
      </c>
      <c r="O19" s="1481">
        <f>IF((((G19/C19)*M19)+((G20/C19)*M20)+((G21/C19)*M21)+((G22/C19)*M22))&gt;=1,3.571428,IF((((G19/C19)*M19)+((G20/C19)*M20)+((G21/C19)*M21)+((G22/C19)*M22))&lt;=0,0,((((G19/C19)*M19)+((G20/C19)*M20)+((G21/C19)*M21)+((G22/C19)*M22))*3.571428)))</f>
        <v>3.571428</v>
      </c>
      <c r="P19" s="1460">
        <f>O19/3.571428</f>
        <v>1</v>
      </c>
      <c r="Q19" s="817" t="s">
        <v>163</v>
      </c>
      <c r="R19" s="101" t="s">
        <v>334</v>
      </c>
      <c r="S19" s="166"/>
    </row>
    <row r="20" spans="1:19" ht="39" customHeight="1" thickBot="1" x14ac:dyDescent="0.5">
      <c r="A20" s="1451"/>
      <c r="B20" s="1470"/>
      <c r="C20" s="1474"/>
      <c r="D20" s="637" t="s">
        <v>152</v>
      </c>
      <c r="E20" s="638">
        <f>($C$19/4)</f>
        <v>0.8928571428571429</v>
      </c>
      <c r="F20" s="639" t="s">
        <v>265</v>
      </c>
      <c r="G20" s="630">
        <f>E20/1</f>
        <v>0.8928571428571429</v>
      </c>
      <c r="H20" s="1199">
        <v>98.3</v>
      </c>
      <c r="I20" s="1200">
        <v>97.7</v>
      </c>
      <c r="J20" s="820">
        <f t="shared" ref="J20:J24" si="3">H20-I20</f>
        <v>0.59999999999999432</v>
      </c>
      <c r="K20" s="803">
        <f>(100-I20)*(6/10)</f>
        <v>1.3799999999999983</v>
      </c>
      <c r="L20" s="821">
        <f t="shared" si="2"/>
        <v>99.08</v>
      </c>
      <c r="M20" s="772">
        <f>IF(K20&lt;&gt;0,J20/K20,"0%")</f>
        <v>0.43478260869564855</v>
      </c>
      <c r="N20" s="1478"/>
      <c r="O20" s="1482"/>
      <c r="P20" s="1485"/>
      <c r="Q20" s="822" t="s">
        <v>164</v>
      </c>
      <c r="R20" s="101" t="s">
        <v>335</v>
      </c>
      <c r="S20" s="728" t="s">
        <v>336</v>
      </c>
    </row>
    <row r="21" spans="1:19" ht="56.45" customHeight="1" thickBot="1" x14ac:dyDescent="0.5">
      <c r="A21" s="1451"/>
      <c r="B21" s="1470"/>
      <c r="C21" s="1474"/>
      <c r="D21" s="637" t="s">
        <v>153</v>
      </c>
      <c r="E21" s="638">
        <f t="shared" ref="E21:E22" si="4">($C$19/4)</f>
        <v>0.8928571428571429</v>
      </c>
      <c r="F21" s="639" t="s">
        <v>155</v>
      </c>
      <c r="G21" s="630">
        <f>E21/1</f>
        <v>0.8928571428571429</v>
      </c>
      <c r="H21" s="1199">
        <v>64.3</v>
      </c>
      <c r="I21" s="1200">
        <v>39.6</v>
      </c>
      <c r="J21" s="820">
        <f t="shared" si="3"/>
        <v>24.699999999999996</v>
      </c>
      <c r="K21" s="803">
        <f>(0.3*I21)*6/10</f>
        <v>7.1280000000000001</v>
      </c>
      <c r="L21" s="821">
        <f t="shared" si="2"/>
        <v>46.728000000000002</v>
      </c>
      <c r="M21" s="805">
        <f>IF(K21&lt;&gt;0,J21/K21,"0%")</f>
        <v>3.4652076318742977</v>
      </c>
      <c r="N21" s="1478"/>
      <c r="O21" s="1482"/>
      <c r="P21" s="1485"/>
      <c r="Q21" s="822" t="s">
        <v>165</v>
      </c>
      <c r="R21" s="101" t="s">
        <v>337</v>
      </c>
      <c r="S21" s="230"/>
    </row>
    <row r="22" spans="1:19" ht="36.6" customHeight="1" thickBot="1" x14ac:dyDescent="0.5">
      <c r="A22" s="1451"/>
      <c r="B22" s="1489"/>
      <c r="C22" s="1490"/>
      <c r="D22" s="621" t="s">
        <v>154</v>
      </c>
      <c r="E22" s="640">
        <f t="shared" si="4"/>
        <v>0.8928571428571429</v>
      </c>
      <c r="F22" s="641" t="s">
        <v>156</v>
      </c>
      <c r="G22" s="642">
        <f>E22/1</f>
        <v>0.8928571428571429</v>
      </c>
      <c r="H22" s="1239">
        <v>30.1</v>
      </c>
      <c r="I22" s="1204">
        <v>24.5</v>
      </c>
      <c r="J22" s="827">
        <f t="shared" si="3"/>
        <v>5.6000000000000014</v>
      </c>
      <c r="K22" s="810">
        <f>(100-I22)*(6/10)</f>
        <v>45.3</v>
      </c>
      <c r="L22" s="828">
        <f t="shared" si="2"/>
        <v>69.8</v>
      </c>
      <c r="M22" s="779">
        <f>IF(K22&lt;&gt;0,J22/K22,"100%")</f>
        <v>0.12362030905077266</v>
      </c>
      <c r="N22" s="1491"/>
      <c r="O22" s="1483"/>
      <c r="P22" s="1461"/>
      <c r="Q22" s="829" t="s">
        <v>95</v>
      </c>
      <c r="R22" s="101" t="s">
        <v>335</v>
      </c>
      <c r="S22" s="728" t="s">
        <v>338</v>
      </c>
    </row>
    <row r="23" spans="1:19" ht="20.45" customHeight="1" thickBot="1" x14ac:dyDescent="0.5">
      <c r="B23" s="1466" t="s">
        <v>13</v>
      </c>
      <c r="C23" s="1467"/>
      <c r="D23" s="1467"/>
      <c r="E23" s="1467"/>
      <c r="F23" s="1468"/>
      <c r="G23" s="633"/>
      <c r="H23" s="1109"/>
      <c r="I23" s="1110"/>
      <c r="J23" s="830"/>
      <c r="K23" s="831"/>
      <c r="L23" s="831"/>
      <c r="M23" s="832"/>
      <c r="N23" s="760">
        <f>N24</f>
        <v>0.83004434609991329</v>
      </c>
      <c r="O23" s="761">
        <f>O24</f>
        <v>2.9644436189029211</v>
      </c>
      <c r="P23" s="762">
        <f>O23/3.571428</f>
        <v>0.83004434609991329</v>
      </c>
      <c r="Q23" s="813"/>
      <c r="R23" s="469"/>
      <c r="S23" s="469"/>
    </row>
    <row r="24" spans="1:19" ht="36" customHeight="1" thickBot="1" x14ac:dyDescent="0.5">
      <c r="A24" s="1451">
        <v>5</v>
      </c>
      <c r="B24" s="1469" t="s">
        <v>14</v>
      </c>
      <c r="C24" s="1473">
        <f>M5</f>
        <v>3.5714285714285716</v>
      </c>
      <c r="D24" s="635" t="s">
        <v>115</v>
      </c>
      <c r="E24" s="604">
        <f>$C$24/4</f>
        <v>0.8928571428571429</v>
      </c>
      <c r="F24" s="635" t="s">
        <v>280</v>
      </c>
      <c r="G24" s="604">
        <f>E24/1</f>
        <v>0.8928571428571429</v>
      </c>
      <c r="H24" s="795">
        <v>48</v>
      </c>
      <c r="I24" s="1198">
        <v>45</v>
      </c>
      <c r="J24" s="833">
        <f t="shared" si="3"/>
        <v>3</v>
      </c>
      <c r="K24" s="798">
        <f>(0.3*I24)*6/10</f>
        <v>8.1</v>
      </c>
      <c r="L24" s="816">
        <f>K24+I24</f>
        <v>53.1</v>
      </c>
      <c r="M24" s="772">
        <f t="shared" ref="M24:M31" si="5">IF(K24&lt;&gt;0,J24/K24,"0%")</f>
        <v>0.37037037037037041</v>
      </c>
      <c r="N24" s="1477">
        <f>(((G24/C24)*M24)+((G25/C24)*M25)+ ((G26/C24)*M26)+((G27/C24)*M27)+((G28/C24)*M28)+((G29/C24)*M29)+((G30/C24)*M30)+((G31/C24)*M31))</f>
        <v>0.83004434609991329</v>
      </c>
      <c r="O24" s="1481">
        <f>IF((((G24/C24)*M24)+((G25/C24)*M25)+ ((G26/C24)*M26)+((G27/C24)*M27)+((G28/C24)*M28)+((G29/C24)*M29)+((G30/C24)*M30)+((G31/C24)*M31))&gt;=1,3.571428,IF((((G24/C24)*M24)+((G25/C24)*M25)+ ((G26/C24)*M26)+((G27/C24)*M27)+((G28/C24)*M28)+((G29/C24)*M29)+((G30/C24)*M30)+((G31/C24)*M31))&lt;=0,0,((((G24/C24)*M24)+((G25/C24)*M25)+ ((G26/C24)*M26)+((G27/C24)*M27)+((G28/C24)*M28)+((G29/C24)*M29)+((G30/C24)*M30)+((G31/C24)*M31))*3.571428)))</f>
        <v>2.9644436189029211</v>
      </c>
      <c r="P24" s="1460">
        <f>O24/3.571428</f>
        <v>0.83004434609991329</v>
      </c>
      <c r="Q24" s="834" t="s">
        <v>166</v>
      </c>
      <c r="R24" s="434" t="s">
        <v>339</v>
      </c>
      <c r="S24" s="166"/>
    </row>
    <row r="25" spans="1:19" ht="19.8" customHeight="1" thickBot="1" x14ac:dyDescent="0.5">
      <c r="A25" s="1451"/>
      <c r="B25" s="1470"/>
      <c r="C25" s="1474"/>
      <c r="D25" s="1503" t="s">
        <v>158</v>
      </c>
      <c r="E25" s="1505">
        <v>0.9</v>
      </c>
      <c r="F25" s="637" t="s">
        <v>15</v>
      </c>
      <c r="G25" s="638">
        <f>$E$25/3</f>
        <v>0.3</v>
      </c>
      <c r="H25" s="1199">
        <v>210</v>
      </c>
      <c r="I25" s="1200">
        <v>476</v>
      </c>
      <c r="J25" s="837">
        <f t="shared" ref="J25:J30" si="6">I25-H25</f>
        <v>266</v>
      </c>
      <c r="K25" s="803">
        <f>(0.5*I25)*6/10</f>
        <v>142.80000000000001</v>
      </c>
      <c r="L25" s="821">
        <f t="shared" ref="L25:L30" si="7">I25-K25</f>
        <v>333.2</v>
      </c>
      <c r="M25" s="805">
        <f t="shared" si="5"/>
        <v>1.8627450980392155</v>
      </c>
      <c r="N25" s="1478"/>
      <c r="O25" s="1482"/>
      <c r="P25" s="1485"/>
      <c r="Q25" s="838" t="s">
        <v>167</v>
      </c>
      <c r="R25" s="434" t="s">
        <v>339</v>
      </c>
      <c r="S25" s="230"/>
    </row>
    <row r="26" spans="1:19" ht="19.8" customHeight="1" thickBot="1" x14ac:dyDescent="0.5">
      <c r="A26" s="1451"/>
      <c r="B26" s="1470"/>
      <c r="C26" s="1474"/>
      <c r="D26" s="1504"/>
      <c r="E26" s="1475"/>
      <c r="F26" s="637" t="s">
        <v>16</v>
      </c>
      <c r="G26" s="638">
        <f t="shared" ref="G26:G27" si="8">$E$25/3</f>
        <v>0.3</v>
      </c>
      <c r="H26" s="1199">
        <v>20</v>
      </c>
      <c r="I26" s="1200">
        <v>27</v>
      </c>
      <c r="J26" s="837">
        <f t="shared" si="6"/>
        <v>7</v>
      </c>
      <c r="K26" s="803">
        <f>(0.8*I26)*6/10</f>
        <v>12.960000000000003</v>
      </c>
      <c r="L26" s="821">
        <f t="shared" si="7"/>
        <v>14.039999999999997</v>
      </c>
      <c r="M26" s="805">
        <f t="shared" si="5"/>
        <v>0.5401234567901233</v>
      </c>
      <c r="N26" s="1478"/>
      <c r="O26" s="1482"/>
      <c r="P26" s="1485"/>
      <c r="Q26" s="838" t="s">
        <v>168</v>
      </c>
      <c r="R26" s="434" t="s">
        <v>339</v>
      </c>
      <c r="S26" s="230"/>
    </row>
    <row r="27" spans="1:19" ht="19.8" customHeight="1" x14ac:dyDescent="0.45">
      <c r="A27" s="1451"/>
      <c r="B27" s="1470"/>
      <c r="C27" s="1474"/>
      <c r="D27" s="1504"/>
      <c r="E27" s="1475"/>
      <c r="F27" s="637" t="s">
        <v>17</v>
      </c>
      <c r="G27" s="638">
        <f t="shared" si="8"/>
        <v>0.3</v>
      </c>
      <c r="H27" s="1199">
        <v>50</v>
      </c>
      <c r="I27" s="1200">
        <v>63</v>
      </c>
      <c r="J27" s="837">
        <f t="shared" si="6"/>
        <v>13</v>
      </c>
      <c r="K27" s="803">
        <f>(0.5*I27)*(6/10)</f>
        <v>18.899999999999999</v>
      </c>
      <c r="L27" s="821">
        <f t="shared" si="7"/>
        <v>44.1</v>
      </c>
      <c r="M27" s="805">
        <f t="shared" si="5"/>
        <v>0.6878306878306879</v>
      </c>
      <c r="N27" s="1478"/>
      <c r="O27" s="1482"/>
      <c r="P27" s="1485"/>
      <c r="Q27" s="838" t="s">
        <v>169</v>
      </c>
      <c r="R27" s="434" t="s">
        <v>339</v>
      </c>
      <c r="S27" s="230"/>
    </row>
    <row r="28" spans="1:19" ht="30.6" customHeight="1" x14ac:dyDescent="0.45">
      <c r="A28" s="21"/>
      <c r="B28" s="1470"/>
      <c r="C28" s="1474"/>
      <c r="D28" s="1503" t="s">
        <v>116</v>
      </c>
      <c r="E28" s="1505">
        <f t="shared" ref="E28:E31" si="9">$C$24/4</f>
        <v>0.8928571428571429</v>
      </c>
      <c r="F28" s="637" t="s">
        <v>148</v>
      </c>
      <c r="G28" s="638">
        <f>$E$28/3</f>
        <v>0.29761904761904762</v>
      </c>
      <c r="H28" s="1199">
        <v>0.57999999999999996</v>
      </c>
      <c r="I28" s="1200">
        <v>2.7</v>
      </c>
      <c r="J28" s="837">
        <f t="shared" si="6"/>
        <v>2.12</v>
      </c>
      <c r="K28" s="803">
        <f>(0.5*I28)*(6/10)</f>
        <v>0.81</v>
      </c>
      <c r="L28" s="821">
        <f t="shared" si="7"/>
        <v>1.8900000000000001</v>
      </c>
      <c r="M28" s="805">
        <f t="shared" si="5"/>
        <v>2.617283950617284</v>
      </c>
      <c r="N28" s="1479"/>
      <c r="O28" s="1482"/>
      <c r="P28" s="1485"/>
      <c r="Q28" s="838" t="s">
        <v>170</v>
      </c>
      <c r="R28" s="146"/>
      <c r="S28" s="230"/>
    </row>
    <row r="29" spans="1:19" ht="20.45" customHeight="1" x14ac:dyDescent="0.45">
      <c r="A29" s="21"/>
      <c r="B29" s="1470"/>
      <c r="C29" s="1474"/>
      <c r="D29" s="1504"/>
      <c r="E29" s="1475"/>
      <c r="F29" s="637" t="s">
        <v>149</v>
      </c>
      <c r="G29" s="638">
        <f t="shared" ref="G29:G30" si="10">$E$28/3</f>
        <v>0.29761904761904762</v>
      </c>
      <c r="H29" s="1199">
        <v>50</v>
      </c>
      <c r="I29" s="1200">
        <v>98</v>
      </c>
      <c r="J29" s="837">
        <f t="shared" si="6"/>
        <v>48</v>
      </c>
      <c r="K29" s="803">
        <f>(0.5*I29)*(6/10)</f>
        <v>29.4</v>
      </c>
      <c r="L29" s="821">
        <f t="shared" si="7"/>
        <v>68.599999999999994</v>
      </c>
      <c r="M29" s="805">
        <f t="shared" si="5"/>
        <v>1.6326530612244898</v>
      </c>
      <c r="N29" s="1479"/>
      <c r="O29" s="1482"/>
      <c r="P29" s="1485"/>
      <c r="Q29" s="838" t="s">
        <v>171</v>
      </c>
      <c r="R29" s="146"/>
      <c r="S29" s="230"/>
    </row>
    <row r="30" spans="1:19" ht="20.45" customHeight="1" x14ac:dyDescent="0.45">
      <c r="A30" s="21"/>
      <c r="B30" s="1471"/>
      <c r="C30" s="1475"/>
      <c r="D30" s="1504"/>
      <c r="E30" s="1475"/>
      <c r="F30" s="637" t="s">
        <v>150</v>
      </c>
      <c r="G30" s="638">
        <f t="shared" si="10"/>
        <v>0.29761904761904762</v>
      </c>
      <c r="H30" s="1199">
        <v>308</v>
      </c>
      <c r="I30" s="1200">
        <v>348</v>
      </c>
      <c r="J30" s="837">
        <f t="shared" si="6"/>
        <v>40</v>
      </c>
      <c r="K30" s="803">
        <f>(0.5*I30)*(6/10)</f>
        <v>104.39999999999999</v>
      </c>
      <c r="L30" s="821">
        <f t="shared" si="7"/>
        <v>243.60000000000002</v>
      </c>
      <c r="M30" s="805">
        <f t="shared" si="5"/>
        <v>0.38314176245210729</v>
      </c>
      <c r="N30" s="1479"/>
      <c r="O30" s="1482"/>
      <c r="P30" s="1485"/>
      <c r="Q30" s="838" t="s">
        <v>172</v>
      </c>
      <c r="R30" s="146"/>
      <c r="S30" s="230"/>
    </row>
    <row r="31" spans="1:19" ht="34.9" customHeight="1" thickBot="1" x14ac:dyDescent="0.5">
      <c r="A31" s="21"/>
      <c r="B31" s="1472"/>
      <c r="C31" s="1476"/>
      <c r="D31" s="643" t="s">
        <v>117</v>
      </c>
      <c r="E31" s="612">
        <f t="shared" si="9"/>
        <v>0.8928571428571429</v>
      </c>
      <c r="F31" s="644" t="s">
        <v>223</v>
      </c>
      <c r="G31" s="612">
        <f>E31/1</f>
        <v>0.8928571428571429</v>
      </c>
      <c r="H31" s="1203">
        <v>83</v>
      </c>
      <c r="I31" s="968">
        <v>78.2</v>
      </c>
      <c r="J31" s="839">
        <f t="shared" ref="J31" si="11">H31-I31</f>
        <v>4.7999999999999972</v>
      </c>
      <c r="K31" s="810">
        <f>(100-I31)*(6/10)</f>
        <v>13.079999999999998</v>
      </c>
      <c r="L31" s="828">
        <f>K31+I31</f>
        <v>91.28</v>
      </c>
      <c r="M31" s="793">
        <f t="shared" si="5"/>
        <v>0.36697247706422004</v>
      </c>
      <c r="N31" s="1480"/>
      <c r="O31" s="1483"/>
      <c r="P31" s="1461"/>
      <c r="Q31" s="840" t="s">
        <v>95</v>
      </c>
      <c r="R31" s="161" t="s">
        <v>481</v>
      </c>
      <c r="S31" s="235"/>
    </row>
    <row r="32" spans="1:19" ht="20.45" customHeight="1" thickBot="1" x14ac:dyDescent="0.5">
      <c r="B32" s="1506" t="s">
        <v>18</v>
      </c>
      <c r="C32" s="1507"/>
      <c r="D32" s="1507"/>
      <c r="E32" s="1507"/>
      <c r="F32" s="1508"/>
      <c r="G32" s="633"/>
      <c r="H32" s="1116"/>
      <c r="I32" s="1117"/>
      <c r="J32" s="843"/>
      <c r="K32" s="844"/>
      <c r="L32" s="845"/>
      <c r="M32" s="846"/>
      <c r="N32" s="760">
        <f>(N33+N34+N35+N36)/4</f>
        <v>0.5227078526873451</v>
      </c>
      <c r="O32" s="761">
        <f>(O33+O34+O35+O36)</f>
        <v>4.5037284819277108</v>
      </c>
      <c r="P32" s="762">
        <f>O32/14.285712</f>
        <v>0.31526104417670681</v>
      </c>
      <c r="Q32" s="813"/>
      <c r="R32" s="476"/>
      <c r="S32" s="476"/>
    </row>
    <row r="33" spans="1:19" ht="33.6" customHeight="1" thickBot="1" x14ac:dyDescent="0.5">
      <c r="A33" s="21">
        <v>6</v>
      </c>
      <c r="B33" s="645" t="s">
        <v>19</v>
      </c>
      <c r="C33" s="646">
        <f>$M$5</f>
        <v>3.5714285714285716</v>
      </c>
      <c r="D33" s="647" t="s">
        <v>287</v>
      </c>
      <c r="E33" s="648">
        <f>C33/1</f>
        <v>3.5714285714285716</v>
      </c>
      <c r="F33" s="645" t="s">
        <v>288</v>
      </c>
      <c r="G33" s="646">
        <f>E33/1</f>
        <v>3.5714285714285716</v>
      </c>
      <c r="H33" s="1077">
        <v>8.6</v>
      </c>
      <c r="I33" s="1078">
        <v>4.7</v>
      </c>
      <c r="J33" s="849">
        <f>IF(H33&lt;7,(H33-7),(H33-I33))</f>
        <v>3.8999999999999995</v>
      </c>
      <c r="K33" s="850">
        <f>IF((7-H33&gt;=0),(7-H33),0)</f>
        <v>0</v>
      </c>
      <c r="L33" s="851">
        <f>IF((I33&lt;7),7,I33)</f>
        <v>7</v>
      </c>
      <c r="M33" s="852">
        <f>IF(K33&lt;&gt;0,J33/7,(1+((H33-I33)/I33)))</f>
        <v>1.8297872340425529</v>
      </c>
      <c r="N33" s="853">
        <f>((G33/C33)*M33)</f>
        <v>1.8297872340425529</v>
      </c>
      <c r="O33" s="854">
        <f>IF(((G33/C33)*M33)&gt;=1,3.571428,IF(((G33/C33)*M33)&lt;=0,0,((G33/C33)*M33)*3.571428))</f>
        <v>3.571428</v>
      </c>
      <c r="P33" s="762">
        <f>O33/3.571428</f>
        <v>1</v>
      </c>
      <c r="Q33" s="855" t="s">
        <v>97</v>
      </c>
      <c r="R33" s="437" t="s">
        <v>340</v>
      </c>
      <c r="S33" s="437"/>
    </row>
    <row r="34" spans="1:19" ht="51" customHeight="1" thickBot="1" x14ac:dyDescent="0.5">
      <c r="A34" s="21">
        <v>7</v>
      </c>
      <c r="B34" s="645" t="s">
        <v>20</v>
      </c>
      <c r="C34" s="646">
        <f t="shared" ref="C34:C36" si="12">$M$5</f>
        <v>3.5714285714285716</v>
      </c>
      <c r="D34" s="645" t="s">
        <v>118</v>
      </c>
      <c r="E34" s="648">
        <f t="shared" ref="E34:E36" si="13">C34/1</f>
        <v>3.5714285714285716</v>
      </c>
      <c r="F34" s="645" t="s">
        <v>21</v>
      </c>
      <c r="G34" s="646">
        <f>E34/1</f>
        <v>3.5714285714285716</v>
      </c>
      <c r="H34" s="1209">
        <v>6</v>
      </c>
      <c r="I34" s="1210">
        <v>6</v>
      </c>
      <c r="J34" s="858">
        <f>H34-I34</f>
        <v>0</v>
      </c>
      <c r="K34" s="859">
        <f>(0.5*I34)*(6/10)</f>
        <v>1.7999999999999998</v>
      </c>
      <c r="L34" s="860">
        <f>K34+I34</f>
        <v>7.8</v>
      </c>
      <c r="M34" s="852">
        <f>IF(K34&lt;&gt;0,J34/K34,"0%")</f>
        <v>0</v>
      </c>
      <c r="N34" s="853">
        <f>((G34/C34)*M34)</f>
        <v>0</v>
      </c>
      <c r="O34" s="854">
        <f>IF(((G34/C34)*M34)&gt;=1,3.571428,IF(((G34/C34)*M34)&lt;=0,0,((G34/C34)*M34)*3.571428))</f>
        <v>0</v>
      </c>
      <c r="P34" s="762">
        <f t="shared" ref="P34:P36" si="14">O34/3.571428</f>
        <v>0</v>
      </c>
      <c r="Q34" s="855" t="s">
        <v>173</v>
      </c>
      <c r="R34" s="162" t="s">
        <v>341</v>
      </c>
      <c r="S34" s="97"/>
    </row>
    <row r="35" spans="1:19" ht="40.799999999999997" customHeight="1" thickBot="1" x14ac:dyDescent="0.5">
      <c r="A35" s="21">
        <v>8</v>
      </c>
      <c r="B35" s="645" t="s">
        <v>22</v>
      </c>
      <c r="C35" s="646">
        <f t="shared" si="12"/>
        <v>3.5714285714285716</v>
      </c>
      <c r="D35" s="645" t="s">
        <v>119</v>
      </c>
      <c r="E35" s="648">
        <f t="shared" si="13"/>
        <v>3.5714285714285716</v>
      </c>
      <c r="F35" s="645" t="s">
        <v>23</v>
      </c>
      <c r="G35" s="646">
        <f>E35/1</f>
        <v>3.5714285714285716</v>
      </c>
      <c r="H35" s="967">
        <v>0.3</v>
      </c>
      <c r="I35" s="968">
        <v>0.17</v>
      </c>
      <c r="J35" s="861">
        <f>H35-I35</f>
        <v>0.12999999999999998</v>
      </c>
      <c r="K35" s="862">
        <f>IF((I35&gt;=1),0,((1-I35)*0.6))</f>
        <v>0.49799999999999994</v>
      </c>
      <c r="L35" s="851">
        <f>I35+K35</f>
        <v>0.66799999999999993</v>
      </c>
      <c r="M35" s="852">
        <f>IF(K35&lt;&gt;0,J35/K35,"0%")</f>
        <v>0.26104417670682728</v>
      </c>
      <c r="N35" s="853">
        <f>((G35/C35)*M35)</f>
        <v>0.26104417670682728</v>
      </c>
      <c r="O35" s="854">
        <f>IF(((G35/C35)*M35)&gt;=1,3.571428,IF(((G35/C35)*M35)&lt;=0,0,((G35/C35)*M35)*3.571428))</f>
        <v>0.93230048192771076</v>
      </c>
      <c r="P35" s="762">
        <f t="shared" si="14"/>
        <v>0.26104417670682728</v>
      </c>
      <c r="Q35" s="855" t="s">
        <v>174</v>
      </c>
      <c r="R35" s="162"/>
      <c r="S35" s="97"/>
    </row>
    <row r="36" spans="1:19" ht="32.450000000000003" customHeight="1" thickBot="1" x14ac:dyDescent="0.5">
      <c r="A36" s="21">
        <v>9</v>
      </c>
      <c r="B36" s="645" t="s">
        <v>24</v>
      </c>
      <c r="C36" s="646">
        <f t="shared" si="12"/>
        <v>3.5714285714285716</v>
      </c>
      <c r="D36" s="645" t="s">
        <v>275</v>
      </c>
      <c r="E36" s="648">
        <f t="shared" si="13"/>
        <v>3.5714285714285716</v>
      </c>
      <c r="F36" s="650" t="s">
        <v>25</v>
      </c>
      <c r="G36" s="646">
        <f>E36/1</f>
        <v>3.5714285714285716</v>
      </c>
      <c r="H36" s="994">
        <v>3</v>
      </c>
      <c r="I36" s="999">
        <v>3</v>
      </c>
      <c r="J36" s="865">
        <f>H36-I36</f>
        <v>0</v>
      </c>
      <c r="K36" s="866">
        <f>(1*I36)*(6/10)</f>
        <v>1.7999999999999998</v>
      </c>
      <c r="L36" s="867">
        <f>I36+K36</f>
        <v>4.8</v>
      </c>
      <c r="M36" s="852">
        <f>IF(K36&lt;&gt;0,J36/K36,"0%")</f>
        <v>0</v>
      </c>
      <c r="N36" s="853">
        <f>((G36/C36)*M36)</f>
        <v>0</v>
      </c>
      <c r="O36" s="854">
        <f>IF(((G36/C36)*M36)&gt;=1,3.571428,IF(((G36/C36)*M36)&lt;=0,0,((G36/C36)*M36)*3.571428))</f>
        <v>0</v>
      </c>
      <c r="P36" s="762">
        <f t="shared" si="14"/>
        <v>0</v>
      </c>
      <c r="Q36" s="868" t="s">
        <v>175</v>
      </c>
      <c r="R36" s="237" t="s">
        <v>482</v>
      </c>
      <c r="S36" s="728" t="s">
        <v>483</v>
      </c>
    </row>
    <row r="37" spans="1:19" ht="30.6" customHeight="1" thickBot="1" x14ac:dyDescent="0.5">
      <c r="B37" s="1500" t="s">
        <v>26</v>
      </c>
      <c r="C37" s="1501"/>
      <c r="D37" s="1501"/>
      <c r="E37" s="1501"/>
      <c r="F37" s="1502"/>
      <c r="G37" s="651"/>
      <c r="H37" s="1109"/>
      <c r="I37" s="1110"/>
      <c r="J37" s="870"/>
      <c r="K37" s="871"/>
      <c r="L37" s="871"/>
      <c r="M37" s="872"/>
      <c r="N37" s="760">
        <f>N38</f>
        <v>1.179245283018868E-2</v>
      </c>
      <c r="O37" s="761">
        <f>O38</f>
        <v>4.2115896226415095E-2</v>
      </c>
      <c r="P37" s="762">
        <f>O37/3.571428</f>
        <v>1.179245283018868E-2</v>
      </c>
      <c r="Q37" s="873"/>
      <c r="R37" s="475"/>
      <c r="S37" s="476"/>
    </row>
    <row r="38" spans="1:19" ht="25.8" customHeight="1" thickBot="1" x14ac:dyDescent="0.5">
      <c r="A38" s="1451">
        <v>10</v>
      </c>
      <c r="B38" s="1469" t="s">
        <v>27</v>
      </c>
      <c r="C38" s="1473">
        <f>M5</f>
        <v>3.5714285714285716</v>
      </c>
      <c r="D38" s="627" t="s">
        <v>120</v>
      </c>
      <c r="E38" s="604">
        <f>$C$38/2</f>
        <v>1.7857142857142858</v>
      </c>
      <c r="F38" s="652" t="s">
        <v>224</v>
      </c>
      <c r="G38" s="628">
        <f>E38/1</f>
        <v>1.7857142857142858</v>
      </c>
      <c r="H38" s="906">
        <v>107.5</v>
      </c>
      <c r="I38" s="907">
        <v>106</v>
      </c>
      <c r="J38" s="1121">
        <f>H38-I38</f>
        <v>1.5</v>
      </c>
      <c r="K38" s="877">
        <f>(1*I38)*(6/10)</f>
        <v>63.599999999999994</v>
      </c>
      <c r="L38" s="878">
        <f>I38+K38</f>
        <v>169.6</v>
      </c>
      <c r="M38" s="772">
        <f>IF(K38&lt;&gt;0,J38/K38,"0%")</f>
        <v>2.358490566037736E-2</v>
      </c>
      <c r="N38" s="1497">
        <f>(((G38/C38)*M38)+((G39/C38)*M39))</f>
        <v>1.179245283018868E-2</v>
      </c>
      <c r="O38" s="1458">
        <f>IF((((G38/C38)*M38)+((G39/C38)*M39))&gt;=1,3.57148,IF((((G38/C38)*M38)+((G39/C38)*M39))&lt;=0,0, (((G38/C38)*M38)+((G39/C38)*M39))*3.571428))</f>
        <v>4.2115896226415095E-2</v>
      </c>
      <c r="P38" s="1460">
        <f>O38/3.571428</f>
        <v>1.179245283018868E-2</v>
      </c>
      <c r="Q38" s="879" t="s">
        <v>176</v>
      </c>
      <c r="R38" s="466" t="s">
        <v>342</v>
      </c>
      <c r="S38" s="166"/>
    </row>
    <row r="39" spans="1:19" ht="46.9" thickBot="1" x14ac:dyDescent="0.5">
      <c r="A39" s="1451"/>
      <c r="B39" s="1470"/>
      <c r="C39" s="1474"/>
      <c r="D39" s="629" t="s">
        <v>157</v>
      </c>
      <c r="E39" s="612">
        <f>$C$38/2</f>
        <v>1.7857142857142858</v>
      </c>
      <c r="F39" s="653" t="s">
        <v>225</v>
      </c>
      <c r="G39" s="630">
        <f>E39/1</f>
        <v>1.7857142857142858</v>
      </c>
      <c r="H39" s="971"/>
      <c r="I39" s="972"/>
      <c r="J39" s="1123">
        <f>H39-I39</f>
        <v>0</v>
      </c>
      <c r="K39" s="883">
        <f>IF(AND(I39&gt;=10,H39&gt;=I39),0,((10-H39)*(6/10)))</f>
        <v>6</v>
      </c>
      <c r="L39" s="884">
        <f>I39+K39</f>
        <v>6</v>
      </c>
      <c r="M39" s="779">
        <f>IF(K39&lt;&gt;0,J39/K39,"0%")</f>
        <v>0</v>
      </c>
      <c r="N39" s="1498"/>
      <c r="O39" s="1459"/>
      <c r="P39" s="1461"/>
      <c r="Q39" s="885" t="s">
        <v>95</v>
      </c>
      <c r="R39" s="160"/>
      <c r="S39" s="130" t="s">
        <v>484</v>
      </c>
    </row>
    <row r="40" spans="1:19" ht="20.45" customHeight="1" thickBot="1" x14ac:dyDescent="0.5">
      <c r="B40" s="1512" t="s">
        <v>28</v>
      </c>
      <c r="C40" s="1513"/>
      <c r="D40" s="1513"/>
      <c r="E40" s="1514"/>
      <c r="F40" s="1515"/>
      <c r="G40" s="651"/>
      <c r="H40" s="1148"/>
      <c r="I40" s="1149"/>
      <c r="J40" s="887"/>
      <c r="K40" s="888"/>
      <c r="L40" s="888"/>
      <c r="M40" s="889"/>
      <c r="N40" s="760">
        <f>N41</f>
        <v>0</v>
      </c>
      <c r="O40" s="761">
        <f>O41</f>
        <v>0</v>
      </c>
      <c r="P40" s="762">
        <f>O40/3.571428</f>
        <v>0</v>
      </c>
      <c r="Q40" s="890"/>
      <c r="R40" s="468"/>
      <c r="S40" s="469"/>
    </row>
    <row r="41" spans="1:19" ht="35.25" thickBot="1" x14ac:dyDescent="0.5">
      <c r="A41" s="1451">
        <v>11</v>
      </c>
      <c r="B41" s="1516" t="s">
        <v>29</v>
      </c>
      <c r="C41" s="1518">
        <f>M5</f>
        <v>3.5714285714285716</v>
      </c>
      <c r="D41" s="654" t="s">
        <v>121</v>
      </c>
      <c r="E41" s="655">
        <f>$C$41/2</f>
        <v>1.7857142857142858</v>
      </c>
      <c r="F41" s="617" t="s">
        <v>30</v>
      </c>
      <c r="G41" s="656">
        <f>E41/1</f>
        <v>1.7857142857142858</v>
      </c>
      <c r="H41" s="1259">
        <v>0.4</v>
      </c>
      <c r="I41" s="1260">
        <v>0.4</v>
      </c>
      <c r="J41" s="893">
        <f>H41-I41</f>
        <v>0</v>
      </c>
      <c r="K41" s="894">
        <f>(0.5*I41)*(6/10)</f>
        <v>0.12</v>
      </c>
      <c r="L41" s="895">
        <f>I41+K41</f>
        <v>0.52</v>
      </c>
      <c r="M41" s="772">
        <f>IF(K41&lt;&gt;0,J41/K41,"0%")</f>
        <v>0</v>
      </c>
      <c r="N41" s="1520">
        <f>(((G41/C41)*M41)+(G42/C41)*M42)</f>
        <v>0</v>
      </c>
      <c r="O41" s="1458">
        <f>IF((((G41/C41)*M41)+((G42/C41)*M42))&gt;=1,3.57148,IF((((G41/C41)*M41)+((G42/C41)*M42))&lt;=0,0, (((G41/C41)*M41)+((G42/C41)*M42))*3.571428))</f>
        <v>0</v>
      </c>
      <c r="P41" s="1460">
        <f>O41/3.571428</f>
        <v>0</v>
      </c>
      <c r="Q41" s="896" t="s">
        <v>177</v>
      </c>
      <c r="R41" s="434" t="s">
        <v>343</v>
      </c>
      <c r="S41" s="130"/>
    </row>
    <row r="42" spans="1:19" ht="23.65" thickBot="1" x14ac:dyDescent="0.5">
      <c r="A42" s="1451"/>
      <c r="B42" s="1517"/>
      <c r="C42" s="1519"/>
      <c r="D42" s="657" t="s">
        <v>122</v>
      </c>
      <c r="E42" s="640">
        <f>$C$41/2</f>
        <v>1.7857142857142858</v>
      </c>
      <c r="F42" s="621" t="s">
        <v>31</v>
      </c>
      <c r="G42" s="658">
        <f>E42/1</f>
        <v>1.7857142857142858</v>
      </c>
      <c r="H42" s="967"/>
      <c r="I42" s="968"/>
      <c r="J42" s="899">
        <f>H42-I42</f>
        <v>0</v>
      </c>
      <c r="K42" s="791">
        <f>(0.5*I42)*(6/10)</f>
        <v>0</v>
      </c>
      <c r="L42" s="900">
        <f>I42+K42</f>
        <v>0</v>
      </c>
      <c r="M42" s="779" t="str">
        <f>IF(K42&lt;&gt;0,J42/K42,"0%")</f>
        <v>0%</v>
      </c>
      <c r="N42" s="1520"/>
      <c r="O42" s="1459"/>
      <c r="P42" s="1461"/>
      <c r="Q42" s="896" t="s">
        <v>95</v>
      </c>
      <c r="R42" s="470"/>
      <c r="S42" s="728" t="s">
        <v>463</v>
      </c>
    </row>
    <row r="43" spans="1:19" ht="30.6" customHeight="1" thickBot="1" x14ac:dyDescent="0.5">
      <c r="B43" s="1486" t="s">
        <v>32</v>
      </c>
      <c r="C43" s="1487"/>
      <c r="D43" s="1487"/>
      <c r="E43" s="1487"/>
      <c r="F43" s="1488"/>
      <c r="G43" s="633"/>
      <c r="H43" s="1131"/>
      <c r="I43" s="1132"/>
      <c r="J43" s="902"/>
      <c r="K43" s="903"/>
      <c r="L43" s="903"/>
      <c r="M43" s="904"/>
      <c r="N43" s="760">
        <f>N44</f>
        <v>1.2883333333333333</v>
      </c>
      <c r="O43" s="761">
        <f>O44</f>
        <v>3.5714800000000002</v>
      </c>
      <c r="P43" s="762">
        <f>O43/3.571428</f>
        <v>1.0000145600023296</v>
      </c>
      <c r="Q43" s="905"/>
      <c r="R43" s="469"/>
      <c r="S43" s="469"/>
    </row>
    <row r="44" spans="1:19" ht="37.799999999999997" customHeight="1" thickBot="1" x14ac:dyDescent="0.5">
      <c r="A44" s="1451">
        <v>12</v>
      </c>
      <c r="B44" s="1509" t="s">
        <v>33</v>
      </c>
      <c r="C44" s="1473">
        <f>M5</f>
        <v>3.5714285714285716</v>
      </c>
      <c r="D44" s="635" t="s">
        <v>123</v>
      </c>
      <c r="E44" s="660">
        <f>C44/2</f>
        <v>1.7857142857142858</v>
      </c>
      <c r="F44" s="635" t="s">
        <v>34</v>
      </c>
      <c r="G44" s="628">
        <f>$E$44/1</f>
        <v>1.7857142857142858</v>
      </c>
      <c r="H44" s="906">
        <v>59</v>
      </c>
      <c r="I44" s="1261">
        <v>54</v>
      </c>
      <c r="J44" s="908">
        <f>IF(I44=H44,(H44-30),H44-I44)</f>
        <v>5</v>
      </c>
      <c r="K44" s="798">
        <f>IF(I44&gt;=30,0,((30-I44)*(6/10)))</f>
        <v>0</v>
      </c>
      <c r="L44" s="909">
        <f>I44+K44</f>
        <v>54</v>
      </c>
      <c r="M44" s="772">
        <f>IF(I44&gt;=30,(1+(H44-30)/30),(J44/K44))</f>
        <v>1.9666666666666668</v>
      </c>
      <c r="N44" s="1497">
        <f>(((G44/C44)*M44)+((G45/C44)*M45))</f>
        <v>1.2883333333333333</v>
      </c>
      <c r="O44" s="1458">
        <f>IF((((G44/C44)*M44)+((G45/C44)*M45))&gt;=1,3.57148,IF((((G44/C44)*M44)+((G45/C44)*M45))&lt;=0,0, (((G44/C44)*M44)+((G45/C44)*M45))*3.571428))</f>
        <v>3.5714800000000002</v>
      </c>
      <c r="P44" s="1460">
        <f>O44/3.571428</f>
        <v>1.0000145600023296</v>
      </c>
      <c r="Q44" s="799" t="s">
        <v>178</v>
      </c>
      <c r="R44" s="471" t="s">
        <v>344</v>
      </c>
      <c r="S44" s="231"/>
    </row>
    <row r="45" spans="1:19" ht="46.9" thickBot="1" x14ac:dyDescent="0.5">
      <c r="A45" s="1451"/>
      <c r="B45" s="1510"/>
      <c r="C45" s="1511"/>
      <c r="D45" s="643" t="s">
        <v>124</v>
      </c>
      <c r="E45" s="661">
        <f>(C44/2)</f>
        <v>1.7857142857142858</v>
      </c>
      <c r="F45" s="643" t="s">
        <v>35</v>
      </c>
      <c r="G45" s="632">
        <f>$E$45/1</f>
        <v>1.7857142857142858</v>
      </c>
      <c r="H45" s="910">
        <v>10.37</v>
      </c>
      <c r="I45" s="911">
        <v>10.130000000000001</v>
      </c>
      <c r="J45" s="912">
        <f>IF(I45=H45,(H45-17),H45-I45)</f>
        <v>0.23999999999999844</v>
      </c>
      <c r="K45" s="913">
        <f>IF(I45&gt;=17,0,((17-I45)*(6/10)))</f>
        <v>4.121999999999999</v>
      </c>
      <c r="L45" s="914">
        <f>I45+K45</f>
        <v>14.251999999999999</v>
      </c>
      <c r="M45" s="915">
        <f>IF(I45&gt;=17,(1+(H45-17)/17),(H45/17))</f>
        <v>0.61</v>
      </c>
      <c r="N45" s="1499"/>
      <c r="O45" s="1459"/>
      <c r="P45" s="1461"/>
      <c r="Q45" s="811" t="s">
        <v>179</v>
      </c>
      <c r="R45" s="472"/>
      <c r="S45" s="728" t="s">
        <v>345</v>
      </c>
    </row>
    <row r="46" spans="1:19" ht="30.6" customHeight="1" thickBot="1" x14ac:dyDescent="0.5">
      <c r="B46" s="1525" t="s">
        <v>36</v>
      </c>
      <c r="C46" s="1526"/>
      <c r="D46" s="1526"/>
      <c r="E46" s="1526"/>
      <c r="F46" s="1527"/>
      <c r="G46" s="662"/>
      <c r="H46" s="1129"/>
      <c r="I46" s="1130"/>
      <c r="J46" s="918"/>
      <c r="K46" s="919"/>
      <c r="L46" s="919"/>
      <c r="M46" s="920"/>
      <c r="N46" s="760">
        <f>(N47+N50+N52)/3</f>
        <v>1.9649492845117846</v>
      </c>
      <c r="O46" s="761">
        <f>(O47+O50+O52)</f>
        <v>9.9667689298560607</v>
      </c>
      <c r="P46" s="762">
        <f>O46/10.714284</f>
        <v>0.93023191562367225</v>
      </c>
      <c r="Q46" s="921"/>
      <c r="R46" s="473"/>
      <c r="S46" s="473"/>
    </row>
    <row r="47" spans="1:19" ht="20.45" customHeight="1" thickBot="1" x14ac:dyDescent="0.5">
      <c r="B47" s="1466" t="s">
        <v>37</v>
      </c>
      <c r="C47" s="1467"/>
      <c r="D47" s="1467"/>
      <c r="E47" s="1467"/>
      <c r="F47" s="1468"/>
      <c r="G47" s="663"/>
      <c r="H47" s="1152"/>
      <c r="I47" s="1153"/>
      <c r="J47" s="922"/>
      <c r="K47" s="923"/>
      <c r="L47" s="923"/>
      <c r="M47" s="904"/>
      <c r="N47" s="760">
        <f>N48</f>
        <v>3.4375</v>
      </c>
      <c r="O47" s="761">
        <f>O48</f>
        <v>3.5714800000000002</v>
      </c>
      <c r="P47" s="762">
        <f>O47/3.571428</f>
        <v>1.0000145600023296</v>
      </c>
      <c r="Q47" s="905"/>
      <c r="R47" s="469"/>
      <c r="S47" s="469"/>
    </row>
    <row r="48" spans="1:19" ht="37.799999999999997" customHeight="1" thickBot="1" x14ac:dyDescent="0.5">
      <c r="A48" s="1451">
        <v>13</v>
      </c>
      <c r="B48" s="1509" t="s">
        <v>38</v>
      </c>
      <c r="C48" s="1473">
        <f>M5</f>
        <v>3.5714285714285716</v>
      </c>
      <c r="D48" s="635" t="s">
        <v>125</v>
      </c>
      <c r="E48" s="604">
        <f>$C$48/2</f>
        <v>1.7857142857142858</v>
      </c>
      <c r="F48" s="664" t="s">
        <v>289</v>
      </c>
      <c r="G48" s="604">
        <f>E48/1</f>
        <v>1.7857142857142858</v>
      </c>
      <c r="H48" s="906">
        <v>15</v>
      </c>
      <c r="I48" s="907">
        <v>5</v>
      </c>
      <c r="J48" s="926">
        <f>H48-I48</f>
        <v>10</v>
      </c>
      <c r="K48" s="927">
        <f>(0.5*I48)* (6/10)</f>
        <v>1.5</v>
      </c>
      <c r="L48" s="928">
        <f>I48-K48</f>
        <v>3.5</v>
      </c>
      <c r="M48" s="786">
        <f>IF(K48&lt;&gt;0,J48/K48,"0%")</f>
        <v>6.666666666666667</v>
      </c>
      <c r="N48" s="1528">
        <f>(((G48/C48)*M48)+((G49/C48)*M49))</f>
        <v>3.4375</v>
      </c>
      <c r="O48" s="1458">
        <f>IF((((G48/C48)*M48)+((G49/C48)*M49))&gt;=1,3.57148,IF((((G48/C48)*M48)+((G49/C48)*M49))&lt;=0,0, (((G48/C48)*M48)+((G49/C48)*M49))*3.571428))</f>
        <v>3.5714800000000002</v>
      </c>
      <c r="P48" s="1460">
        <f>O48/3.571428</f>
        <v>1.0000145600023296</v>
      </c>
      <c r="Q48" s="834" t="s">
        <v>95</v>
      </c>
      <c r="R48" s="466" t="s">
        <v>485</v>
      </c>
      <c r="S48" s="477" t="s">
        <v>486</v>
      </c>
    </row>
    <row r="49" spans="1:19" ht="30.6" customHeight="1" thickBot="1" x14ac:dyDescent="0.5">
      <c r="A49" s="1451"/>
      <c r="B49" s="1510"/>
      <c r="C49" s="1511"/>
      <c r="D49" s="643" t="s">
        <v>126</v>
      </c>
      <c r="E49" s="612">
        <f>$C$48/2</f>
        <v>1.7857142857142858</v>
      </c>
      <c r="F49" s="643" t="s">
        <v>290</v>
      </c>
      <c r="G49" s="612">
        <f>E49/1</f>
        <v>1.7857142857142858</v>
      </c>
      <c r="H49" s="1220">
        <v>15</v>
      </c>
      <c r="I49" s="1221">
        <v>12</v>
      </c>
      <c r="J49" s="839">
        <f>H49-I49</f>
        <v>3</v>
      </c>
      <c r="K49" s="931">
        <f>(2*I49)*(6/10)</f>
        <v>14.399999999999999</v>
      </c>
      <c r="L49" s="932">
        <f>I49+K49</f>
        <v>26.4</v>
      </c>
      <c r="M49" s="779">
        <f>IF(K49&lt;&gt;0,J49/K49,"0%")</f>
        <v>0.20833333333333334</v>
      </c>
      <c r="N49" s="1529"/>
      <c r="O49" s="1459"/>
      <c r="P49" s="1461"/>
      <c r="Q49" s="840" t="s">
        <v>95</v>
      </c>
      <c r="R49" s="470"/>
      <c r="S49" s="229" t="s">
        <v>346</v>
      </c>
    </row>
    <row r="50" spans="1:19" ht="15" customHeight="1" thickBot="1" x14ac:dyDescent="0.5">
      <c r="B50" s="1486" t="s">
        <v>39</v>
      </c>
      <c r="C50" s="1487"/>
      <c r="D50" s="1487"/>
      <c r="E50" s="1487"/>
      <c r="F50" s="1488"/>
      <c r="G50" s="666"/>
      <c r="H50" s="1262"/>
      <c r="I50" s="1263"/>
      <c r="J50" s="934"/>
      <c r="K50" s="934"/>
      <c r="L50" s="934"/>
      <c r="M50" s="935"/>
      <c r="N50" s="760">
        <f>N51</f>
        <v>1.6666666666666667</v>
      </c>
      <c r="O50" s="761">
        <f>O51</f>
        <v>3.571428</v>
      </c>
      <c r="P50" s="762">
        <f>O50/3.571428</f>
        <v>1</v>
      </c>
      <c r="Q50" s="936"/>
      <c r="R50" s="478"/>
      <c r="S50" s="478"/>
    </row>
    <row r="51" spans="1:19" ht="30.6" customHeight="1" thickBot="1" x14ac:dyDescent="0.5">
      <c r="A51" s="20">
        <v>14</v>
      </c>
      <c r="B51" s="667" t="s">
        <v>226</v>
      </c>
      <c r="C51" s="668">
        <f>M5</f>
        <v>3.5714285714285716</v>
      </c>
      <c r="D51" s="669" t="s">
        <v>272</v>
      </c>
      <c r="E51" s="670">
        <f>C51</f>
        <v>3.5714285714285716</v>
      </c>
      <c r="F51" s="671" t="s">
        <v>266</v>
      </c>
      <c r="G51" s="672">
        <f>E51/1</f>
        <v>3.5714285714285716</v>
      </c>
      <c r="H51" s="994">
        <v>100</v>
      </c>
      <c r="I51" s="999">
        <v>0</v>
      </c>
      <c r="J51" s="939">
        <f>H51-I51</f>
        <v>100</v>
      </c>
      <c r="K51" s="940">
        <f>(100-I51)*(6/10)</f>
        <v>60</v>
      </c>
      <c r="L51" s="941">
        <f>I51+K51</f>
        <v>60</v>
      </c>
      <c r="M51" s="793">
        <f>IF(K51&lt;&gt;0,J51/K51,"100%")</f>
        <v>1.6666666666666667</v>
      </c>
      <c r="N51" s="853">
        <f>((G51/C51)*M51)</f>
        <v>1.6666666666666667</v>
      </c>
      <c r="O51" s="854">
        <f>IF(((G51/C51)*M51)&gt;=1,3.571428,IF(((G51/C51)*M51)&lt;=0,0,((G51/C51)*M51)*3.571428))</f>
        <v>3.571428</v>
      </c>
      <c r="P51" s="762">
        <f>O51/3.571428</f>
        <v>1</v>
      </c>
      <c r="Q51" s="942" t="s">
        <v>95</v>
      </c>
      <c r="R51" s="351"/>
      <c r="S51" s="728" t="s">
        <v>391</v>
      </c>
    </row>
    <row r="52" spans="1:19" ht="20.45" customHeight="1" thickBot="1" x14ac:dyDescent="0.5">
      <c r="B52" s="1486" t="s">
        <v>40</v>
      </c>
      <c r="C52" s="1487"/>
      <c r="D52" s="1487"/>
      <c r="E52" s="1487"/>
      <c r="F52" s="1488"/>
      <c r="G52" s="663"/>
      <c r="H52" s="1131"/>
      <c r="I52" s="1132"/>
      <c r="J52" s="922"/>
      <c r="K52" s="923"/>
      <c r="L52" s="923"/>
      <c r="M52" s="832"/>
      <c r="N52" s="760">
        <f>N53</f>
        <v>0.79068118686868682</v>
      </c>
      <c r="O52" s="761">
        <f>O53</f>
        <v>2.8238609298560604</v>
      </c>
      <c r="P52" s="762">
        <f>O52/3.571428</f>
        <v>0.79068118686868682</v>
      </c>
      <c r="Q52" s="943"/>
      <c r="R52" s="478"/>
      <c r="S52" s="478"/>
    </row>
    <row r="53" spans="1:19" ht="43.8" customHeight="1" x14ac:dyDescent="0.45">
      <c r="A53" s="1451">
        <v>15</v>
      </c>
      <c r="B53" s="1469" t="s">
        <v>108</v>
      </c>
      <c r="C53" s="1473">
        <f>M5</f>
        <v>3.5714285714285716</v>
      </c>
      <c r="D53" s="674" t="s">
        <v>127</v>
      </c>
      <c r="E53" s="675">
        <f>$C$53/5</f>
        <v>0.7142857142857143</v>
      </c>
      <c r="F53" s="676" t="s">
        <v>41</v>
      </c>
      <c r="G53" s="628">
        <f>E53/1</f>
        <v>0.7142857142857143</v>
      </c>
      <c r="H53" s="1197">
        <v>100</v>
      </c>
      <c r="I53" s="907">
        <v>100</v>
      </c>
      <c r="J53" s="815">
        <f>H53-I53</f>
        <v>0</v>
      </c>
      <c r="K53" s="927">
        <f>(100-I53)*(6/10)</f>
        <v>0</v>
      </c>
      <c r="L53" s="878">
        <f t="shared" ref="L53:L58" si="15">I53+K53</f>
        <v>100</v>
      </c>
      <c r="M53" s="772" t="str">
        <f>IF(K53&lt;&gt;100,"100%",J53/K53)</f>
        <v>100%</v>
      </c>
      <c r="N53" s="1522">
        <f>(((G53/C53)*M53)+((G54/C53)*M54)+((G55/C53)*M55)+((G56/C53)*M56)+((G57/C53)*M57)+((G58/C53)*M58))</f>
        <v>0.79068118686868682</v>
      </c>
      <c r="O53" s="1533">
        <f>IF((((G53/C53)*M53)+((G54/C53)*M54)+((G55/C53)*M55)+((G56/C53)*M56)+((G57/C53)*M57)+((G58/C53)*M58))&gt;=1,3.571428,IF((((G53/C53)*M53)+((G54/C53)*M54)+((G55/C53)*M55)+((G56/C53)*M56)+((G57/C53)*M57)+((G58/C53)*M58))&lt;=0,0,((((G53/C53)*M53)+((G54/C53)*M54)+((G55/C53)*M55)+((G56/C53)*M56)+((G57/C53)*M57)+((G58/C53)*M58))*3.571428)))</f>
        <v>2.8238609298560604</v>
      </c>
      <c r="P53" s="1460">
        <f>O53/3.571428</f>
        <v>0.79068118686868682</v>
      </c>
      <c r="Q53" s="946" t="s">
        <v>95</v>
      </c>
      <c r="R53" s="239"/>
      <c r="S53" s="239" t="s">
        <v>487</v>
      </c>
    </row>
    <row r="54" spans="1:19" ht="35.450000000000003" customHeight="1" x14ac:dyDescent="0.45">
      <c r="A54" s="1451"/>
      <c r="B54" s="1470"/>
      <c r="C54" s="1474"/>
      <c r="D54" s="679" t="s">
        <v>128</v>
      </c>
      <c r="E54" s="680">
        <f t="shared" ref="E54:E57" si="16">$C$53/5</f>
        <v>0.7142857142857143</v>
      </c>
      <c r="F54" s="681" t="s">
        <v>42</v>
      </c>
      <c r="G54" s="630">
        <f>E54/1</f>
        <v>0.7142857142857143</v>
      </c>
      <c r="H54" s="1199">
        <v>43</v>
      </c>
      <c r="I54" s="1200">
        <v>0</v>
      </c>
      <c r="J54" s="820">
        <f>H54-I54</f>
        <v>43</v>
      </c>
      <c r="K54" s="883">
        <f>(100-I54)*(6/6)</f>
        <v>100</v>
      </c>
      <c r="L54" s="884">
        <f>I54+K54</f>
        <v>100</v>
      </c>
      <c r="M54" s="805">
        <f t="shared" ref="M54:M55" si="17">IF(K54&lt;&gt;0,J54/K54,"0%")</f>
        <v>0.43</v>
      </c>
      <c r="N54" s="1523"/>
      <c r="O54" s="1482"/>
      <c r="P54" s="1485"/>
      <c r="Q54" s="949" t="s">
        <v>95</v>
      </c>
      <c r="R54" s="354"/>
      <c r="S54" s="479" t="s">
        <v>347</v>
      </c>
    </row>
    <row r="55" spans="1:19" ht="34.25" customHeight="1" x14ac:dyDescent="0.45">
      <c r="A55" s="1451"/>
      <c r="B55" s="1470"/>
      <c r="C55" s="1474"/>
      <c r="D55" s="679" t="s">
        <v>129</v>
      </c>
      <c r="E55" s="680">
        <f t="shared" si="16"/>
        <v>0.7142857142857143</v>
      </c>
      <c r="F55" s="681" t="s">
        <v>43</v>
      </c>
      <c r="G55" s="630">
        <f>E55/1</f>
        <v>0.7142857142857143</v>
      </c>
      <c r="H55" s="967">
        <v>1</v>
      </c>
      <c r="I55" s="968">
        <v>0</v>
      </c>
      <c r="J55" s="820">
        <f>H55-I55</f>
        <v>1</v>
      </c>
      <c r="K55" s="883">
        <f>(10-I55)*(6/10)</f>
        <v>6</v>
      </c>
      <c r="L55" s="884">
        <f t="shared" si="15"/>
        <v>6</v>
      </c>
      <c r="M55" s="805">
        <f t="shared" si="17"/>
        <v>0.16666666666666666</v>
      </c>
      <c r="N55" s="1523"/>
      <c r="O55" s="1482"/>
      <c r="P55" s="1485"/>
      <c r="Q55" s="949" t="s">
        <v>95</v>
      </c>
      <c r="R55" s="354"/>
      <c r="S55" s="354"/>
    </row>
    <row r="56" spans="1:19" ht="37.25" customHeight="1" x14ac:dyDescent="0.45">
      <c r="A56" s="1451"/>
      <c r="B56" s="1470"/>
      <c r="C56" s="1474"/>
      <c r="D56" s="679" t="s">
        <v>130</v>
      </c>
      <c r="E56" s="680">
        <f t="shared" si="16"/>
        <v>0.7142857142857143</v>
      </c>
      <c r="F56" s="681" t="s">
        <v>44</v>
      </c>
      <c r="G56" s="630">
        <f>E56/1</f>
        <v>0.7142857142857143</v>
      </c>
      <c r="H56" s="1199">
        <v>224.5</v>
      </c>
      <c r="I56" s="1200">
        <v>110</v>
      </c>
      <c r="J56" s="820">
        <f>H56-I56</f>
        <v>114.5</v>
      </c>
      <c r="K56" s="953">
        <f>(0.5*I56)*(6/7)</f>
        <v>47.142857142857139</v>
      </c>
      <c r="L56" s="884">
        <f t="shared" si="15"/>
        <v>157.14285714285714</v>
      </c>
      <c r="M56" s="805">
        <f>IF(K56&lt;&gt;0,J56/K56,"0%")</f>
        <v>2.4287878787878792</v>
      </c>
      <c r="N56" s="1523"/>
      <c r="O56" s="1482"/>
      <c r="P56" s="1485"/>
      <c r="Q56" s="949" t="s">
        <v>101</v>
      </c>
      <c r="R56" s="354" t="s">
        <v>333</v>
      </c>
      <c r="S56" s="354"/>
    </row>
    <row r="57" spans="1:19" ht="22.8" customHeight="1" x14ac:dyDescent="0.45">
      <c r="A57" s="1451"/>
      <c r="B57" s="1470"/>
      <c r="C57" s="1474"/>
      <c r="D57" s="1535" t="s">
        <v>131</v>
      </c>
      <c r="E57" s="1537">
        <f t="shared" si="16"/>
        <v>0.7142857142857143</v>
      </c>
      <c r="F57" s="681" t="s">
        <v>45</v>
      </c>
      <c r="G57" s="630">
        <f>$E$57/2</f>
        <v>0.35714285714285715</v>
      </c>
      <c r="H57" s="1230">
        <v>67</v>
      </c>
      <c r="I57" s="1200">
        <v>64</v>
      </c>
      <c r="J57" s="820">
        <f t="shared" ref="J57:J58" si="18">H57-I57</f>
        <v>3</v>
      </c>
      <c r="K57" s="955">
        <f>(1*I57)*(6/10)</f>
        <v>38.4</v>
      </c>
      <c r="L57" s="884">
        <f t="shared" si="15"/>
        <v>102.4</v>
      </c>
      <c r="M57" s="805">
        <f>IF(K57&lt;&gt;0,J57/K57,"0%")</f>
        <v>7.8125E-2</v>
      </c>
      <c r="N57" s="1523"/>
      <c r="O57" s="1482"/>
      <c r="P57" s="1485"/>
      <c r="Q57" s="949" t="s">
        <v>180</v>
      </c>
      <c r="R57" s="354" t="s">
        <v>332</v>
      </c>
      <c r="S57" s="354"/>
    </row>
    <row r="58" spans="1:19" ht="15" customHeight="1" thickBot="1" x14ac:dyDescent="0.5">
      <c r="A58" s="1451"/>
      <c r="B58" s="1521"/>
      <c r="C58" s="1511"/>
      <c r="D58" s="1536"/>
      <c r="E58" s="1538"/>
      <c r="F58" s="611" t="s">
        <v>46</v>
      </c>
      <c r="G58" s="632">
        <f>$E$57/2</f>
        <v>0.35714285714285715</v>
      </c>
      <c r="H58" s="825">
        <v>1.3</v>
      </c>
      <c r="I58" s="826">
        <v>1.5</v>
      </c>
      <c r="J58" s="827">
        <f t="shared" si="18"/>
        <v>-0.19999999999999996</v>
      </c>
      <c r="K58" s="931">
        <f>(1*I58)*(6/10)</f>
        <v>0.89999999999999991</v>
      </c>
      <c r="L58" s="956">
        <f t="shared" si="15"/>
        <v>2.4</v>
      </c>
      <c r="M58" s="779">
        <f>IF(K58&lt;&gt;0,J58/K58,"0%")</f>
        <v>-0.22222222222222218</v>
      </c>
      <c r="N58" s="1524"/>
      <c r="O58" s="1483"/>
      <c r="P58" s="1461"/>
      <c r="Q58" s="957" t="s">
        <v>95</v>
      </c>
      <c r="R58" s="355" t="s">
        <v>343</v>
      </c>
      <c r="S58" s="355"/>
    </row>
    <row r="59" spans="1:19" ht="23.45" customHeight="1" thickBot="1" x14ac:dyDescent="0.5">
      <c r="B59" s="1525" t="s">
        <v>47</v>
      </c>
      <c r="C59" s="1526"/>
      <c r="D59" s="1526"/>
      <c r="E59" s="1526"/>
      <c r="F59" s="1527"/>
      <c r="G59" s="686"/>
      <c r="H59" s="1129"/>
      <c r="I59" s="1130"/>
      <c r="J59" s="959"/>
      <c r="K59" s="959"/>
      <c r="L59" s="959"/>
      <c r="M59" s="920"/>
      <c r="N59" s="760">
        <f>(N60+N67)/2</f>
        <v>1.2338526836851578</v>
      </c>
      <c r="O59" s="761">
        <f>(O60+O67)</f>
        <v>7.1428560000000001</v>
      </c>
      <c r="P59" s="762">
        <f>O59/7.142856</f>
        <v>1</v>
      </c>
      <c r="Q59" s="960"/>
      <c r="R59" s="480"/>
      <c r="S59" s="481"/>
    </row>
    <row r="60" spans="1:19" ht="22.25" customHeight="1" thickBot="1" x14ac:dyDescent="0.5">
      <c r="B60" s="1486" t="s">
        <v>48</v>
      </c>
      <c r="C60" s="1487"/>
      <c r="D60" s="1487"/>
      <c r="E60" s="1487"/>
      <c r="F60" s="1488"/>
      <c r="G60" s="633"/>
      <c r="H60" s="1131"/>
      <c r="I60" s="1132"/>
      <c r="J60" s="830"/>
      <c r="K60" s="831"/>
      <c r="L60" s="831"/>
      <c r="M60" s="904"/>
      <c r="N60" s="760">
        <f>N61</f>
        <v>1.3877053673703157</v>
      </c>
      <c r="O60" s="761">
        <f>O61</f>
        <v>3.571428</v>
      </c>
      <c r="P60" s="762">
        <f>O60/3.571428</f>
        <v>1</v>
      </c>
      <c r="Q60" s="813"/>
      <c r="R60" s="469"/>
      <c r="S60" s="469"/>
    </row>
    <row r="61" spans="1:19" ht="39" customHeight="1" x14ac:dyDescent="0.45">
      <c r="A61" s="1451">
        <v>16</v>
      </c>
      <c r="B61" s="1469" t="s">
        <v>49</v>
      </c>
      <c r="C61" s="1473">
        <f>M5</f>
        <v>3.5714285714285716</v>
      </c>
      <c r="D61" s="635" t="s">
        <v>133</v>
      </c>
      <c r="E61" s="604">
        <f>$C$61/4</f>
        <v>0.8928571428571429</v>
      </c>
      <c r="F61" s="635" t="s">
        <v>50</v>
      </c>
      <c r="G61" s="628">
        <f>E61/1</f>
        <v>0.8928571428571429</v>
      </c>
      <c r="H61" s="795">
        <v>75.8</v>
      </c>
      <c r="I61" s="796">
        <v>50.6</v>
      </c>
      <c r="J61" s="908">
        <f>IF(I61=H61,(H61-70),H61-I61)</f>
        <v>25.199999999999996</v>
      </c>
      <c r="K61" s="798">
        <f>IF(I61&gt;=70,0,((70-I61)*(6/10)))</f>
        <v>11.639999999999999</v>
      </c>
      <c r="L61" s="964">
        <f t="shared" ref="L61:L66" si="19">I61+K61</f>
        <v>62.24</v>
      </c>
      <c r="M61" s="772">
        <f>IF(I61&gt;=70,(1+(H61-70)/70),(J61/K61))</f>
        <v>2.1649484536082473</v>
      </c>
      <c r="N61" s="1530">
        <f>(((G61/C61)*M61)+((G62/C61)*M62)+((G63/C61)*M63)+((G64/C61)*M64)+((G65/C61)*M65)+((G66/C61)*M66))</f>
        <v>1.3877053673703157</v>
      </c>
      <c r="O61" s="1533">
        <f>IF((((G61/C61)*M61)+((G62/C61)*M62)+((G63/C61)*M63)+((G64/C61)*M64)+((G65/C61)*M65)+((G66/C61)*M66))&gt;=1,3.571428,IF((((G61/C61)*M61)+((G62/C61)*M62)+((G63/C61)*M63)+((G64/C61)*M64)+((G65/C61)*M65)+((G66/C61)*M66))&lt;=0,0,((((G61/C61)*M61)+((G62/C61)*M62)+((G63/C61)*M63)+((G64/C61)*M64)+((G65/C61)*M65)+((G66/C61)*M66))*3.571428)))</f>
        <v>3.571428</v>
      </c>
      <c r="P61" s="1460">
        <f>O61/3.571428</f>
        <v>1</v>
      </c>
      <c r="Q61" s="879" t="s">
        <v>181</v>
      </c>
      <c r="R61" s="466" t="s">
        <v>348</v>
      </c>
      <c r="S61" s="166"/>
    </row>
    <row r="62" spans="1:19" ht="58.25" customHeight="1" thickBot="1" x14ac:dyDescent="0.5">
      <c r="A62" s="1451"/>
      <c r="B62" s="1470"/>
      <c r="C62" s="1474"/>
      <c r="D62" s="637" t="s">
        <v>134</v>
      </c>
      <c r="E62" s="638">
        <f t="shared" ref="E62:E63" si="20">$C$61/4</f>
        <v>0.8928571428571429</v>
      </c>
      <c r="F62" s="679" t="s">
        <v>276</v>
      </c>
      <c r="G62" s="630">
        <f>$E$62/1</f>
        <v>0.8928571428571429</v>
      </c>
      <c r="H62" s="1199">
        <v>79.5</v>
      </c>
      <c r="I62" s="1200">
        <v>73</v>
      </c>
      <c r="J62" s="965">
        <f>IF(I62=H62,(H62-70),H62-I62)</f>
        <v>6.5</v>
      </c>
      <c r="K62" s="803">
        <f t="shared" ref="K62:K63" si="21">IF(I62&gt;=70,0,((70-I62)*(6/10)))</f>
        <v>0</v>
      </c>
      <c r="L62" s="966">
        <f t="shared" si="19"/>
        <v>73</v>
      </c>
      <c r="M62" s="786">
        <f t="shared" ref="M62:M63" si="22">IF(I62&gt;=70,(1+(H62-70)/70),(J62/K62))</f>
        <v>1.1357142857142857</v>
      </c>
      <c r="N62" s="1531"/>
      <c r="O62" s="1482"/>
      <c r="P62" s="1485"/>
      <c r="Q62" s="885" t="s">
        <v>182</v>
      </c>
      <c r="R62" s="160" t="s">
        <v>348</v>
      </c>
      <c r="S62" s="230"/>
    </row>
    <row r="63" spans="1:19" ht="26.45" customHeight="1" x14ac:dyDescent="0.45">
      <c r="A63" s="1451"/>
      <c r="B63" s="1470"/>
      <c r="C63" s="1474"/>
      <c r="D63" s="637" t="s">
        <v>135</v>
      </c>
      <c r="E63" s="638">
        <f t="shared" si="20"/>
        <v>0.8928571428571429</v>
      </c>
      <c r="F63" s="637" t="s">
        <v>51</v>
      </c>
      <c r="G63" s="630">
        <f>E63/1</f>
        <v>0.8928571428571429</v>
      </c>
      <c r="H63" s="818">
        <v>91.4</v>
      </c>
      <c r="I63" s="819">
        <v>70</v>
      </c>
      <c r="J63" s="965">
        <f>IF(I63=H63,(H63-70),H63-I63)</f>
        <v>21.400000000000006</v>
      </c>
      <c r="K63" s="803">
        <f t="shared" si="21"/>
        <v>0</v>
      </c>
      <c r="L63" s="966">
        <f t="shared" si="19"/>
        <v>70</v>
      </c>
      <c r="M63" s="786">
        <f t="shared" si="22"/>
        <v>1.3057142857142858</v>
      </c>
      <c r="N63" s="1531"/>
      <c r="O63" s="1482"/>
      <c r="P63" s="1485"/>
      <c r="Q63" s="885" t="s">
        <v>95</v>
      </c>
      <c r="R63" s="160" t="s">
        <v>488</v>
      </c>
      <c r="S63" s="482" t="s">
        <v>489</v>
      </c>
    </row>
    <row r="64" spans="1:19" ht="15" customHeight="1" x14ac:dyDescent="0.45">
      <c r="A64" s="1451"/>
      <c r="B64" s="1470"/>
      <c r="C64" s="1474"/>
      <c r="D64" s="1503" t="s">
        <v>136</v>
      </c>
      <c r="E64" s="1505">
        <f>$C$61/4</f>
        <v>0.8928571428571429</v>
      </c>
      <c r="F64" s="687" t="s">
        <v>52</v>
      </c>
      <c r="G64" s="688">
        <f>$E$64/3</f>
        <v>0.29761904761904762</v>
      </c>
      <c r="H64" s="880">
        <v>100</v>
      </c>
      <c r="I64" s="1264">
        <v>100</v>
      </c>
      <c r="J64" s="969">
        <f t="shared" ref="J64:J66" si="23">H64-I64</f>
        <v>0</v>
      </c>
      <c r="K64" s="970">
        <f>(100-I64)*(6/10)</f>
        <v>0</v>
      </c>
      <c r="L64" s="966">
        <f t="shared" si="19"/>
        <v>100</v>
      </c>
      <c r="M64" s="805" t="str">
        <f t="shared" ref="M64:M66" si="24">IF(K64&lt;&gt;0,J64/K64,"100%")</f>
        <v>100%</v>
      </c>
      <c r="N64" s="1531"/>
      <c r="O64" s="1482"/>
      <c r="P64" s="1485"/>
      <c r="Q64" s="885" t="s">
        <v>95</v>
      </c>
      <c r="R64" s="146"/>
      <c r="S64" s="483" t="s">
        <v>391</v>
      </c>
    </row>
    <row r="65" spans="1:19" x14ac:dyDescent="0.45">
      <c r="A65" s="1451"/>
      <c r="B65" s="1470"/>
      <c r="C65" s="1474"/>
      <c r="D65" s="1503"/>
      <c r="E65" s="1505"/>
      <c r="F65" s="687" t="s">
        <v>53</v>
      </c>
      <c r="G65" s="688">
        <f t="shared" ref="G65:G66" si="25">$E$64/3</f>
        <v>0.29761904761904762</v>
      </c>
      <c r="H65" s="880">
        <v>100</v>
      </c>
      <c r="I65" s="1264">
        <v>100</v>
      </c>
      <c r="J65" s="969">
        <f t="shared" si="23"/>
        <v>0</v>
      </c>
      <c r="K65" s="970">
        <f>(100-I65)*(6/10)</f>
        <v>0</v>
      </c>
      <c r="L65" s="966">
        <f t="shared" si="19"/>
        <v>100</v>
      </c>
      <c r="M65" s="805" t="str">
        <f t="shared" si="24"/>
        <v>100%</v>
      </c>
      <c r="N65" s="1531"/>
      <c r="O65" s="1482"/>
      <c r="P65" s="1485"/>
      <c r="Q65" s="885" t="s">
        <v>95</v>
      </c>
      <c r="R65" s="160"/>
      <c r="S65" s="483" t="s">
        <v>391</v>
      </c>
    </row>
    <row r="66" spans="1:19" ht="27.6" customHeight="1" thickBot="1" x14ac:dyDescent="0.5">
      <c r="A66" s="1451"/>
      <c r="B66" s="1521"/>
      <c r="C66" s="1511"/>
      <c r="D66" s="1510"/>
      <c r="E66" s="1534"/>
      <c r="F66" s="689" t="s">
        <v>54</v>
      </c>
      <c r="G66" s="690">
        <f t="shared" si="25"/>
        <v>0.29761904761904762</v>
      </c>
      <c r="H66" s="880">
        <v>50</v>
      </c>
      <c r="I66" s="1264">
        <v>0</v>
      </c>
      <c r="J66" s="973">
        <f t="shared" si="23"/>
        <v>50</v>
      </c>
      <c r="K66" s="974">
        <f>(100-I66)*(6/10)</f>
        <v>60</v>
      </c>
      <c r="L66" s="975">
        <f t="shared" si="19"/>
        <v>60</v>
      </c>
      <c r="M66" s="779">
        <f t="shared" si="24"/>
        <v>0.83333333333333337</v>
      </c>
      <c r="N66" s="1532"/>
      <c r="O66" s="1483"/>
      <c r="P66" s="1461"/>
      <c r="Q66" s="976" t="s">
        <v>95</v>
      </c>
      <c r="R66" s="470"/>
      <c r="S66" s="483" t="s">
        <v>391</v>
      </c>
    </row>
    <row r="67" spans="1:19" ht="27" customHeight="1" thickBot="1" x14ac:dyDescent="0.5">
      <c r="B67" s="1466" t="s">
        <v>55</v>
      </c>
      <c r="C67" s="1467"/>
      <c r="D67" s="1467"/>
      <c r="E67" s="1467"/>
      <c r="F67" s="1468"/>
      <c r="G67" s="659"/>
      <c r="H67" s="1148"/>
      <c r="I67" s="1149"/>
      <c r="J67" s="902"/>
      <c r="K67" s="903"/>
      <c r="L67" s="903"/>
      <c r="M67" s="904"/>
      <c r="N67" s="760">
        <f>N68</f>
        <v>1.0799999999999998</v>
      </c>
      <c r="O67" s="761">
        <f>O68</f>
        <v>3.571428</v>
      </c>
      <c r="P67" s="762">
        <f>O67/3.571428</f>
        <v>1</v>
      </c>
      <c r="Q67" s="978"/>
      <c r="R67" s="729"/>
      <c r="S67" s="730"/>
    </row>
    <row r="68" spans="1:19" ht="58.5" thickBot="1" x14ac:dyDescent="0.5">
      <c r="A68" s="21">
        <v>17</v>
      </c>
      <c r="B68" s="691" t="s">
        <v>56</v>
      </c>
      <c r="C68" s="692">
        <f>M5</f>
        <v>3.5714285714285716</v>
      </c>
      <c r="D68" s="691" t="s">
        <v>137</v>
      </c>
      <c r="E68" s="692">
        <f>C68</f>
        <v>3.5714285714285716</v>
      </c>
      <c r="F68" s="691" t="s">
        <v>57</v>
      </c>
      <c r="G68" s="693">
        <f>E68/1</f>
        <v>3.5714285714285716</v>
      </c>
      <c r="H68" s="1265">
        <v>75.599999999999994</v>
      </c>
      <c r="I68" s="1238">
        <v>81.900000000000006</v>
      </c>
      <c r="J68" s="981">
        <f>IF(I68=H68,(H68-70),I68-H68)</f>
        <v>6.3000000000000114</v>
      </c>
      <c r="K68" s="866">
        <f t="shared" ref="K68" si="26">IF(I68&gt;=70,0,((70-I68)*(6/10)))</f>
        <v>0</v>
      </c>
      <c r="L68" s="982">
        <f>I68-K68</f>
        <v>81.900000000000006</v>
      </c>
      <c r="M68" s="852">
        <f t="shared" ref="M68" si="27">IF(I68&gt;=70,(1+(H68-70)/70),(J68/K68))</f>
        <v>1.0799999999999998</v>
      </c>
      <c r="N68" s="983">
        <f>((G68/C68)*M68)</f>
        <v>1.0799999999999998</v>
      </c>
      <c r="O68" s="854">
        <f>IF(((G68/C68)*M68)&gt;=1,3.571428,IF(((G68/C68)*M68)&lt;=0,0,((G68/C68)*M68)*3.571428))</f>
        <v>3.571428</v>
      </c>
      <c r="P68" s="762">
        <f>O68/3.571428</f>
        <v>1</v>
      </c>
      <c r="Q68" s="984" t="s">
        <v>132</v>
      </c>
      <c r="R68" s="97" t="s">
        <v>349</v>
      </c>
      <c r="S68" s="97"/>
    </row>
    <row r="69" spans="1:19" ht="22.25" customHeight="1" thickBot="1" x14ac:dyDescent="0.5">
      <c r="B69" s="1362" t="s">
        <v>58</v>
      </c>
      <c r="C69" s="1363"/>
      <c r="D69" s="1363"/>
      <c r="E69" s="1363"/>
      <c r="F69" s="1364"/>
      <c r="G69" s="150"/>
      <c r="H69" s="1150"/>
      <c r="I69" s="1151"/>
      <c r="J69" s="987"/>
      <c r="K69" s="988"/>
      <c r="L69" s="988"/>
      <c r="M69" s="989"/>
      <c r="N69" s="760">
        <f>(N70+N72+N74)/3</f>
        <v>1</v>
      </c>
      <c r="O69" s="761">
        <f>(O70+O72+O74)</f>
        <v>10.714283999999999</v>
      </c>
      <c r="P69" s="762">
        <f>O69/10.714284</f>
        <v>1</v>
      </c>
      <c r="Q69" s="990"/>
      <c r="R69" s="484"/>
      <c r="S69" s="485"/>
    </row>
    <row r="70" spans="1:19" ht="20.45" customHeight="1" thickBot="1" x14ac:dyDescent="0.5">
      <c r="B70" s="1486" t="s">
        <v>59</v>
      </c>
      <c r="C70" s="1487"/>
      <c r="D70" s="1487"/>
      <c r="E70" s="1487"/>
      <c r="F70" s="1488"/>
      <c r="G70" s="633"/>
      <c r="H70" s="1152"/>
      <c r="I70" s="1153"/>
      <c r="J70" s="813"/>
      <c r="K70" s="813"/>
      <c r="L70" s="813"/>
      <c r="M70" s="993"/>
      <c r="N70" s="760">
        <f>N71</f>
        <v>1</v>
      </c>
      <c r="O70" s="761">
        <f>O71</f>
        <v>3.571428</v>
      </c>
      <c r="P70" s="762">
        <f t="shared" ref="P70:P78" si="28">O70/3.571428</f>
        <v>1</v>
      </c>
      <c r="Q70" s="943"/>
      <c r="R70" s="731"/>
      <c r="S70" s="731"/>
    </row>
    <row r="71" spans="1:19" ht="52.25" customHeight="1" thickBot="1" x14ac:dyDescent="0.5">
      <c r="A71" s="21">
        <v>18</v>
      </c>
      <c r="B71" s="695" t="s">
        <v>60</v>
      </c>
      <c r="C71" s="696">
        <f>M5</f>
        <v>3.5714285714285716</v>
      </c>
      <c r="D71" s="697" t="s">
        <v>138</v>
      </c>
      <c r="E71" s="698">
        <f>C71</f>
        <v>3.5714285714285716</v>
      </c>
      <c r="F71" s="699" t="s">
        <v>61</v>
      </c>
      <c r="G71" s="700">
        <f>E71/1</f>
        <v>3.5714285714285716</v>
      </c>
      <c r="H71" s="967">
        <v>0</v>
      </c>
      <c r="I71" s="968">
        <v>0</v>
      </c>
      <c r="J71" s="995">
        <f>I71-H71</f>
        <v>0</v>
      </c>
      <c r="K71" s="862">
        <f>(0.5*I71)*0.6</f>
        <v>0</v>
      </c>
      <c r="L71" s="982">
        <f>I71-K71</f>
        <v>0</v>
      </c>
      <c r="M71" s="805" t="str">
        <f t="shared" ref="M71" si="29">IF(K71&lt;&gt;0,J71/K71,"100%")</f>
        <v>100%</v>
      </c>
      <c r="N71" s="983">
        <f>((G71/C71)*M71)</f>
        <v>1</v>
      </c>
      <c r="O71" s="854">
        <f>IF(((G71/C71)*M71)&gt;=1,3.571428,IF(((G71/C71)*M71)&lt;=0,0,((G71/C71)*M71)*3.571428))</f>
        <v>3.571428</v>
      </c>
      <c r="P71" s="762">
        <f t="shared" si="28"/>
        <v>1</v>
      </c>
      <c r="Q71" s="996" t="s">
        <v>183</v>
      </c>
      <c r="R71" s="479"/>
      <c r="S71" s="130" t="s">
        <v>490</v>
      </c>
    </row>
    <row r="72" spans="1:19" ht="20.45" customHeight="1" thickBot="1" x14ac:dyDescent="0.5">
      <c r="B72" s="1512" t="s">
        <v>277</v>
      </c>
      <c r="C72" s="1513"/>
      <c r="D72" s="1513"/>
      <c r="E72" s="1513"/>
      <c r="F72" s="1515"/>
      <c r="G72" s="651"/>
      <c r="H72" s="1152"/>
      <c r="I72" s="1153"/>
      <c r="J72" s="870"/>
      <c r="K72" s="871"/>
      <c r="L72" s="871"/>
      <c r="M72" s="872"/>
      <c r="N72" s="760">
        <f>N73</f>
        <v>1</v>
      </c>
      <c r="O72" s="761">
        <f>O73</f>
        <v>3.571428</v>
      </c>
      <c r="P72" s="762">
        <f t="shared" si="28"/>
        <v>1</v>
      </c>
      <c r="Q72" s="998"/>
      <c r="R72" s="731"/>
      <c r="S72" s="731"/>
    </row>
    <row r="73" spans="1:19" ht="45" customHeight="1" thickBot="1" x14ac:dyDescent="0.5">
      <c r="A73" s="21">
        <v>19</v>
      </c>
      <c r="B73" s="701" t="s">
        <v>62</v>
      </c>
      <c r="C73" s="702">
        <f>M5</f>
        <v>3.5714285714285716</v>
      </c>
      <c r="D73" s="703" t="s">
        <v>139</v>
      </c>
      <c r="E73" s="702">
        <f>C73</f>
        <v>3.5714285714285716</v>
      </c>
      <c r="F73" s="704" t="s">
        <v>63</v>
      </c>
      <c r="G73" s="705">
        <f>E73/1</f>
        <v>3.5714285714285716</v>
      </c>
      <c r="H73" s="994">
        <v>0</v>
      </c>
      <c r="I73" s="999">
        <v>0</v>
      </c>
      <c r="J73" s="1000">
        <f>I73-H73</f>
        <v>0</v>
      </c>
      <c r="K73" s="1001">
        <f>IF(H73&gt;0,(H73),I73)</f>
        <v>0</v>
      </c>
      <c r="L73" s="1002">
        <f>I73-K73</f>
        <v>0</v>
      </c>
      <c r="M73" s="805" t="str">
        <f t="shared" ref="M73" si="30">IF(K73&lt;&gt;0,J73/K73,"100%")</f>
        <v>100%</v>
      </c>
      <c r="N73" s="983">
        <f>((G73/C73)*M73)</f>
        <v>1</v>
      </c>
      <c r="O73" s="854">
        <f>IF(((G73/C73)*M73)&gt;=1,3.571428,IF(((G73/C73)*M73)&lt;=0,0,((G73/C73)*M73)*3.571428))</f>
        <v>3.571428</v>
      </c>
      <c r="P73" s="762">
        <f t="shared" si="28"/>
        <v>1</v>
      </c>
      <c r="Q73" s="1003" t="s">
        <v>95</v>
      </c>
      <c r="R73" s="97"/>
      <c r="S73" s="479"/>
    </row>
    <row r="74" spans="1:19" ht="30.6" customHeight="1" thickBot="1" x14ac:dyDescent="0.5">
      <c r="B74" s="1486" t="s">
        <v>64</v>
      </c>
      <c r="C74" s="1487"/>
      <c r="D74" s="1487"/>
      <c r="E74" s="1487"/>
      <c r="F74" s="1488"/>
      <c r="G74" s="634"/>
      <c r="H74" s="1152"/>
      <c r="I74" s="1153"/>
      <c r="J74" s="813"/>
      <c r="K74" s="813"/>
      <c r="L74" s="813"/>
      <c r="M74" s="904"/>
      <c r="N74" s="760">
        <f>N75</f>
        <v>1</v>
      </c>
      <c r="O74" s="761">
        <f>O75</f>
        <v>3.571428</v>
      </c>
      <c r="P74" s="762">
        <f t="shared" si="28"/>
        <v>1</v>
      </c>
      <c r="Q74" s="943"/>
      <c r="R74" s="478"/>
      <c r="S74" s="478"/>
    </row>
    <row r="75" spans="1:19" ht="29.45" customHeight="1" thickBot="1" x14ac:dyDescent="0.5">
      <c r="A75" s="21">
        <v>20</v>
      </c>
      <c r="B75" s="701" t="s">
        <v>65</v>
      </c>
      <c r="C75" s="648">
        <f>M5</f>
        <v>3.5714285714285716</v>
      </c>
      <c r="D75" s="697" t="s">
        <v>140</v>
      </c>
      <c r="E75" s="706">
        <f>C75</f>
        <v>3.5714285714285716</v>
      </c>
      <c r="F75" s="703" t="s">
        <v>66</v>
      </c>
      <c r="G75" s="700">
        <f>E75/1</f>
        <v>3.5714285714285716</v>
      </c>
      <c r="H75" s="994">
        <v>1</v>
      </c>
      <c r="I75" s="1266">
        <v>1</v>
      </c>
      <c r="J75" s="939">
        <f>H75-I75</f>
        <v>0</v>
      </c>
      <c r="K75" s="940">
        <f>IF(AND(H75=0,I75=1)," 1",(H75-I75))</f>
        <v>0</v>
      </c>
      <c r="L75" s="1006">
        <f>I75+K75</f>
        <v>1</v>
      </c>
      <c r="M75" s="1007">
        <f>(IF(I75=1,1,(J75/K75)))</f>
        <v>1</v>
      </c>
      <c r="N75" s="983">
        <f>((G75/C75)*M75)</f>
        <v>1</v>
      </c>
      <c r="O75" s="854">
        <f>IF(((G75/C75)*M75)&gt;=1,3.571428,IF(((G75/C75)*M75)&lt;=0,0,((G75/C75)*M75)*3.571428))</f>
        <v>3.571428</v>
      </c>
      <c r="P75" s="762">
        <f t="shared" si="28"/>
        <v>1</v>
      </c>
      <c r="Q75" s="1008" t="s">
        <v>95</v>
      </c>
      <c r="R75" s="238"/>
      <c r="S75" s="97" t="s">
        <v>350</v>
      </c>
    </row>
    <row r="76" spans="1:19" ht="20.45" customHeight="1" thickBot="1" x14ac:dyDescent="0.5">
      <c r="B76" s="1544" t="s">
        <v>67</v>
      </c>
      <c r="C76" s="1545"/>
      <c r="D76" s="1545"/>
      <c r="E76" s="1545"/>
      <c r="F76" s="1546"/>
      <c r="G76" s="707"/>
      <c r="H76" s="1158"/>
      <c r="I76" s="1159"/>
      <c r="J76" s="1011"/>
      <c r="K76" s="1012"/>
      <c r="L76" s="1012"/>
      <c r="M76" s="1013"/>
      <c r="N76" s="760">
        <f t="shared" ref="N76:O77" si="31">N77</f>
        <v>0.69951338199513391</v>
      </c>
      <c r="O76" s="761">
        <f t="shared" si="31"/>
        <v>2.498261678832117</v>
      </c>
      <c r="P76" s="762">
        <f t="shared" si="28"/>
        <v>0.69951338199513391</v>
      </c>
      <c r="Q76" s="1014"/>
      <c r="R76" s="467"/>
      <c r="S76" s="467"/>
    </row>
    <row r="77" spans="1:19" ht="20.45" customHeight="1" thickBot="1" x14ac:dyDescent="0.5">
      <c r="B77" s="1486" t="s">
        <v>68</v>
      </c>
      <c r="C77" s="1487"/>
      <c r="D77" s="1487"/>
      <c r="E77" s="1487"/>
      <c r="F77" s="1488"/>
      <c r="G77" s="633"/>
      <c r="H77" s="1152"/>
      <c r="I77" s="1153"/>
      <c r="J77" s="830"/>
      <c r="K77" s="831"/>
      <c r="L77" s="831"/>
      <c r="M77" s="814"/>
      <c r="N77" s="760">
        <f t="shared" si="31"/>
        <v>0.69951338199513391</v>
      </c>
      <c r="O77" s="761">
        <f t="shared" si="31"/>
        <v>2.498261678832117</v>
      </c>
      <c r="P77" s="762">
        <f t="shared" si="28"/>
        <v>0.69951338199513391</v>
      </c>
      <c r="Q77" s="943"/>
      <c r="R77" s="478"/>
      <c r="S77" s="478"/>
    </row>
    <row r="78" spans="1:19" ht="35.25" thickBot="1" x14ac:dyDescent="0.5">
      <c r="A78" s="21">
        <v>21</v>
      </c>
      <c r="B78" s="701" t="s">
        <v>69</v>
      </c>
      <c r="C78" s="706">
        <f>M5</f>
        <v>3.5714285714285716</v>
      </c>
      <c r="D78" s="708" t="s">
        <v>141</v>
      </c>
      <c r="E78" s="706">
        <f>C78</f>
        <v>3.5714285714285716</v>
      </c>
      <c r="F78" s="708" t="s">
        <v>70</v>
      </c>
      <c r="G78" s="692">
        <f>E78/1</f>
        <v>3.5714285714285716</v>
      </c>
      <c r="H78" s="994">
        <v>34.5</v>
      </c>
      <c r="I78" s="1266">
        <v>33.299999999999997</v>
      </c>
      <c r="J78" s="981">
        <f>IF(I78=H78,(H78-60),H78-I78)</f>
        <v>1.2000000000000028</v>
      </c>
      <c r="K78" s="866">
        <f>IF(I78&gt;=60,0,((60-I78)*(6/10)))</f>
        <v>16.02</v>
      </c>
      <c r="L78" s="982">
        <f t="shared" ref="L78" si="32">K78+I78</f>
        <v>49.319999999999993</v>
      </c>
      <c r="M78" s="852">
        <f>IF(I78&gt;=60,(1+(H78-60)/60),(H78/L78))</f>
        <v>0.69951338199513391</v>
      </c>
      <c r="N78" s="983">
        <f>((G78/C78)*M78)</f>
        <v>0.69951338199513391</v>
      </c>
      <c r="O78" s="854">
        <f>IF(((G78/C78)*M78)&gt;=1,3.571428,IF(((G78/C78)*M78)&lt;=0,0,((G78/C78)*M78)*3.571428))</f>
        <v>2.498261678832117</v>
      </c>
      <c r="P78" s="762">
        <f t="shared" si="28"/>
        <v>0.69951338199513391</v>
      </c>
      <c r="Q78" s="1015" t="s">
        <v>95</v>
      </c>
      <c r="R78" s="97"/>
      <c r="S78" s="479"/>
    </row>
    <row r="79" spans="1:19" ht="21.6" customHeight="1" thickBot="1" x14ac:dyDescent="0.5">
      <c r="B79" s="1539" t="s">
        <v>71</v>
      </c>
      <c r="C79" s="1540"/>
      <c r="D79" s="1540"/>
      <c r="E79" s="1540"/>
      <c r="F79" s="1541"/>
      <c r="G79" s="707"/>
      <c r="H79" s="1158"/>
      <c r="I79" s="1159"/>
      <c r="J79" s="1016"/>
      <c r="K79" s="1017"/>
      <c r="L79" s="1017"/>
      <c r="M79" s="1013"/>
      <c r="N79" s="760">
        <f>(N80+N86)/2</f>
        <v>1.3307744350648143</v>
      </c>
      <c r="O79" s="761">
        <f>(O80+O86)</f>
        <v>10.714335999999999</v>
      </c>
      <c r="P79" s="762">
        <f>O79/10.714284</f>
        <v>1.0000048533341099</v>
      </c>
      <c r="Q79" s="1014"/>
      <c r="R79" s="467"/>
      <c r="S79" s="467"/>
    </row>
    <row r="80" spans="1:19" ht="20.45" customHeight="1" thickBot="1" x14ac:dyDescent="0.5">
      <c r="B80" s="1466" t="s">
        <v>72</v>
      </c>
      <c r="C80" s="1467"/>
      <c r="D80" s="1467"/>
      <c r="E80" s="1467"/>
      <c r="F80" s="1468"/>
      <c r="G80" s="673"/>
      <c r="H80" s="1152"/>
      <c r="I80" s="1153"/>
      <c r="J80" s="813"/>
      <c r="K80" s="813"/>
      <c r="L80" s="813"/>
      <c r="M80" s="832"/>
      <c r="N80" s="760">
        <f>(N81+N83)/2</f>
        <v>1.6493487714720594</v>
      </c>
      <c r="O80" s="761">
        <f>(O81+O83)</f>
        <v>7.1429080000000003</v>
      </c>
      <c r="P80" s="762">
        <f>O80/7.142856</f>
        <v>1.0000072800011648</v>
      </c>
      <c r="Q80" s="1020"/>
      <c r="R80" s="469"/>
      <c r="S80" s="469"/>
    </row>
    <row r="81" spans="1:19" ht="46.9" thickBot="1" x14ac:dyDescent="0.5">
      <c r="A81" s="21"/>
      <c r="B81" s="1542" t="s">
        <v>73</v>
      </c>
      <c r="C81" s="1473">
        <f>M5</f>
        <v>3.5714285714285716</v>
      </c>
      <c r="D81" s="635" t="s">
        <v>267</v>
      </c>
      <c r="E81" s="604">
        <f>$C$81/2</f>
        <v>1.7857142857142858</v>
      </c>
      <c r="F81" s="674" t="s">
        <v>278</v>
      </c>
      <c r="G81" s="628">
        <f>E81/1</f>
        <v>1.7857142857142858</v>
      </c>
      <c r="H81" s="1267">
        <v>54.63</v>
      </c>
      <c r="I81" s="1268">
        <v>42.7</v>
      </c>
      <c r="J81" s="908">
        <f>IF(I81=H81,(H81-50),H81-I81)</f>
        <v>11.93</v>
      </c>
      <c r="K81" s="798">
        <f>IF(I81&gt;=50,0,((50-I81)*(6/10)))</f>
        <v>4.3799999999999981</v>
      </c>
      <c r="L81" s="1021">
        <f>I81+K81</f>
        <v>47.08</v>
      </c>
      <c r="M81" s="772">
        <f>IF(I81&gt;=50,(1+(H81-50)/50),(J81/K81))</f>
        <v>2.723744292237444</v>
      </c>
      <c r="N81" s="1530">
        <f>(((G81/C81)*M81)+((G82/C81)*M82))</f>
        <v>2.151872146118722</v>
      </c>
      <c r="O81" s="1458">
        <f>IF((((G81/C81)*M81)+((G82/C81)*M82))&gt;=1,3.57148,IF((((G81/C81)*M81)+((G82/C81)*M82))&lt;=0,0, (((G81/C81)*M81)+((G82/C81)*M82))*3.571428))</f>
        <v>3.5714800000000002</v>
      </c>
      <c r="P81" s="1460">
        <f>O81/3.571428</f>
        <v>1.0000145600023296</v>
      </c>
      <c r="Q81" s="1022" t="s">
        <v>279</v>
      </c>
      <c r="R81" s="151" t="s">
        <v>491</v>
      </c>
      <c r="S81" s="477" t="s">
        <v>492</v>
      </c>
    </row>
    <row r="82" spans="1:19" ht="39.6" customHeight="1" thickBot="1" x14ac:dyDescent="0.5">
      <c r="A82" s="21"/>
      <c r="B82" s="1543"/>
      <c r="C82" s="1355"/>
      <c r="D82" s="643" t="s">
        <v>268</v>
      </c>
      <c r="E82" s="612">
        <f>$C$81/2</f>
        <v>1.7857142857142858</v>
      </c>
      <c r="F82" s="644" t="s">
        <v>74</v>
      </c>
      <c r="G82" s="632">
        <f>E82/1</f>
        <v>1.7857142857142858</v>
      </c>
      <c r="H82" s="1239">
        <v>47.4</v>
      </c>
      <c r="I82" s="1204">
        <v>41.9</v>
      </c>
      <c r="J82" s="1025">
        <f>IF(I82=H82,(H82-30),H82-I82)</f>
        <v>5.5</v>
      </c>
      <c r="K82" s="810">
        <f>IF(I82&gt;=30,0,((30-I82)*(6/10)))</f>
        <v>0</v>
      </c>
      <c r="L82" s="1026">
        <f t="shared" ref="L82" si="33">K82+I82</f>
        <v>41.9</v>
      </c>
      <c r="M82" s="779">
        <f>IF(I82&gt;=30,(1+(H82-30)/30),(H82/L82))</f>
        <v>1.58</v>
      </c>
      <c r="N82" s="1532"/>
      <c r="O82" s="1459"/>
      <c r="P82" s="1461"/>
      <c r="Q82" s="1027" t="s">
        <v>282</v>
      </c>
      <c r="R82" s="111" t="s">
        <v>351</v>
      </c>
      <c r="S82" s="728" t="s">
        <v>352</v>
      </c>
    </row>
    <row r="83" spans="1:19" ht="60" customHeight="1" thickBot="1" x14ac:dyDescent="0.5">
      <c r="A83" s="21"/>
      <c r="B83" s="1555" t="s">
        <v>142</v>
      </c>
      <c r="C83" s="1557">
        <f>M5</f>
        <v>3.5714285714285716</v>
      </c>
      <c r="D83" s="709" t="s">
        <v>145</v>
      </c>
      <c r="E83" s="604">
        <f>$C$81/3</f>
        <v>1.1904761904761905</v>
      </c>
      <c r="F83" s="635" t="s">
        <v>143</v>
      </c>
      <c r="G83" s="604">
        <f>E83/1</f>
        <v>1.1904761904761905</v>
      </c>
      <c r="H83" s="1259">
        <v>12</v>
      </c>
      <c r="I83" s="1260">
        <v>14</v>
      </c>
      <c r="J83" s="1030">
        <f>I83-H83</f>
        <v>2</v>
      </c>
      <c r="K83" s="894">
        <f>(0.2*I83)*(6/10)</f>
        <v>1.6800000000000002</v>
      </c>
      <c r="L83" s="1031">
        <f>I83-K83</f>
        <v>12.32</v>
      </c>
      <c r="M83" s="772">
        <f>IF(K83&lt;&gt;0,J83/K83,"0%")</f>
        <v>1.1904761904761905</v>
      </c>
      <c r="N83" s="1560">
        <f>(((G83/C83)*M83)+((G84/C83)*M84)+((G85/C83)*M85))</f>
        <v>1.1468253968253967</v>
      </c>
      <c r="O83" s="1484">
        <f>IF((((G83/C83)*M83)+((G84/C83)*M84)+((G85/C83)*M85))&gt;=1,3.571428,IF((((G83/C83)*M83)+((G84/C83)*M84)+((G85/C83)*M85))&lt;=0,0,(((G83/C83)*M83)+((G84/C83)*M84)+((G85/C83)*M85))*3.571428))</f>
        <v>3.571428</v>
      </c>
      <c r="P83" s="1460">
        <f>O83/3.571428</f>
        <v>1</v>
      </c>
      <c r="Q83" s="1032" t="s">
        <v>184</v>
      </c>
      <c r="R83" s="152" t="s">
        <v>353</v>
      </c>
      <c r="S83" s="728" t="s">
        <v>354</v>
      </c>
    </row>
    <row r="84" spans="1:19" ht="45" customHeight="1" x14ac:dyDescent="0.45">
      <c r="A84" s="21"/>
      <c r="B84" s="1555"/>
      <c r="C84" s="1558"/>
      <c r="D84" s="710" t="s">
        <v>146</v>
      </c>
      <c r="E84" s="638">
        <f t="shared" ref="E84:E85" si="34">$C$81/3</f>
        <v>1.1904761904761905</v>
      </c>
      <c r="F84" s="679" t="s">
        <v>283</v>
      </c>
      <c r="G84" s="638">
        <f>E84/1</f>
        <v>1.1904761904761905</v>
      </c>
      <c r="H84" s="880">
        <v>0</v>
      </c>
      <c r="I84" s="1205">
        <v>0</v>
      </c>
      <c r="J84" s="1033">
        <f>I84-H84</f>
        <v>0</v>
      </c>
      <c r="K84" s="894">
        <f>(0.5*I84)*(6/10)</f>
        <v>0</v>
      </c>
      <c r="L84" s="1034">
        <f>I84-K84</f>
        <v>0</v>
      </c>
      <c r="M84" s="793">
        <f>IF(H84&lt;=0,100%, IF(K84&lt;&gt;0,J84/K84,"0%"))</f>
        <v>1</v>
      </c>
      <c r="N84" s="1561"/>
      <c r="O84" s="1482"/>
      <c r="P84" s="1485"/>
      <c r="Q84" s="1035" t="s">
        <v>185</v>
      </c>
      <c r="R84" s="234"/>
      <c r="S84" s="374" t="s">
        <v>355</v>
      </c>
    </row>
    <row r="85" spans="1:19" ht="38.450000000000003" customHeight="1" thickBot="1" x14ac:dyDescent="0.5">
      <c r="A85" s="21"/>
      <c r="B85" s="1556"/>
      <c r="C85" s="1559"/>
      <c r="D85" s="711" t="s">
        <v>147</v>
      </c>
      <c r="E85" s="612">
        <f t="shared" si="34"/>
        <v>1.1904761904761905</v>
      </c>
      <c r="F85" s="644" t="s">
        <v>144</v>
      </c>
      <c r="G85" s="612">
        <f>E85/1</f>
        <v>1.1904761904761905</v>
      </c>
      <c r="H85" s="1239">
        <v>89</v>
      </c>
      <c r="I85" s="1204">
        <v>56</v>
      </c>
      <c r="J85" s="1036">
        <f>H85-I85</f>
        <v>33</v>
      </c>
      <c r="K85" s="1037">
        <f>(100-I85)*(6/10)</f>
        <v>26.4</v>
      </c>
      <c r="L85" s="1038">
        <f>I85+K85</f>
        <v>82.4</v>
      </c>
      <c r="M85" s="793">
        <f>IF(H85&gt;=100,167%, IF(K85&lt;&gt;0,J85/K85,"0%"))</f>
        <v>1.25</v>
      </c>
      <c r="N85" s="1562"/>
      <c r="O85" s="1483"/>
      <c r="P85" s="1461"/>
      <c r="Q85" s="1039" t="s">
        <v>284</v>
      </c>
      <c r="R85" s="486" t="s">
        <v>356</v>
      </c>
      <c r="S85" s="374"/>
    </row>
    <row r="86" spans="1:19" ht="20.45" customHeight="1" thickBot="1" x14ac:dyDescent="0.5">
      <c r="B86" s="1547" t="s">
        <v>75</v>
      </c>
      <c r="C86" s="1548"/>
      <c r="D86" s="1548"/>
      <c r="E86" s="1548"/>
      <c r="F86" s="1549"/>
      <c r="G86" s="694"/>
      <c r="H86" s="1148"/>
      <c r="I86" s="1149"/>
      <c r="J86" s="1042"/>
      <c r="K86" s="1043"/>
      <c r="L86" s="1043"/>
      <c r="M86" s="832"/>
      <c r="N86" s="760">
        <f>N87</f>
        <v>1.0122000986575692</v>
      </c>
      <c r="O86" s="761">
        <f>O87</f>
        <v>3.571428</v>
      </c>
      <c r="P86" s="762">
        <f>O86/3.571428</f>
        <v>1</v>
      </c>
      <c r="Q86" s="903"/>
      <c r="R86" s="478"/>
      <c r="S86" s="478"/>
    </row>
    <row r="87" spans="1:19" ht="27.6" customHeight="1" thickBot="1" x14ac:dyDescent="0.5">
      <c r="A87" s="1492">
        <v>24</v>
      </c>
      <c r="B87" s="1550" t="s">
        <v>76</v>
      </c>
      <c r="C87" s="1552">
        <f>M5</f>
        <v>3.5714285714285716</v>
      </c>
      <c r="D87" s="654" t="s">
        <v>159</v>
      </c>
      <c r="E87" s="655">
        <f>($C$87/3)</f>
        <v>1.1904761904761905</v>
      </c>
      <c r="F87" s="712" t="s">
        <v>285</v>
      </c>
      <c r="G87" s="713">
        <f>E87/1</f>
        <v>1.1904761904761905</v>
      </c>
      <c r="H87" s="891">
        <v>18.7</v>
      </c>
      <c r="I87" s="1254">
        <v>21.3</v>
      </c>
      <c r="J87" s="1046">
        <f>I87-H87</f>
        <v>2.6000000000000014</v>
      </c>
      <c r="K87" s="1047">
        <f>(0.25*I87)*(6/10)</f>
        <v>3.1949999999999998</v>
      </c>
      <c r="L87" s="1048">
        <f>I87-K87</f>
        <v>18.105</v>
      </c>
      <c r="M87" s="772">
        <f>IF(K87&lt;&gt;0,J87/K87,"0%")</f>
        <v>0.81377151799687064</v>
      </c>
      <c r="N87" s="1498">
        <f>(((G87/C87)*M87)+((G88/C87)*M88)+((G89/C87)*M89)+((G90/C87)*M90)+((G91/C87)*M91))</f>
        <v>1.0122000986575692</v>
      </c>
      <c r="O87" s="1484">
        <f>IF((((G87/C87)*M87)+((G88/C87)*M88)+((G89/C87)*M89)+((G90/C87)*M90)+((G91/C87)*M91))&gt;=1,3.571428,IF((((G87/C87)*M87)+((G88/C87)*M88)+((G89/C87)*M89)+((G90/C87)*M90)+((G91/C87)*M91))&lt;=0,0,((((G87/C87)*M87)+((G88/C87)*M88)+((G89/C87)*M89)+((G90/C87)*M90)+((G91/C87)*M91))*3.571428)))</f>
        <v>3.571428</v>
      </c>
      <c r="P87" s="1460">
        <f>O87/3.571428</f>
        <v>1</v>
      </c>
      <c r="Q87" s="1049" t="s">
        <v>186</v>
      </c>
      <c r="R87" s="115" t="s">
        <v>329</v>
      </c>
      <c r="S87" s="728" t="s">
        <v>357</v>
      </c>
    </row>
    <row r="88" spans="1:19" ht="25.8" customHeight="1" x14ac:dyDescent="0.45">
      <c r="A88" s="1492"/>
      <c r="B88" s="1550"/>
      <c r="C88" s="1553"/>
      <c r="D88" s="1563" t="s">
        <v>160</v>
      </c>
      <c r="E88" s="1564">
        <f>C87/3</f>
        <v>1.1904761904761905</v>
      </c>
      <c r="F88" s="639" t="s">
        <v>77</v>
      </c>
      <c r="G88" s="714">
        <f>$E$88/3</f>
        <v>0.3968253968253968</v>
      </c>
      <c r="H88" s="818">
        <v>3.6</v>
      </c>
      <c r="I88" s="819">
        <v>5.5</v>
      </c>
      <c r="J88" s="1050">
        <f>I88-H88</f>
        <v>1.9</v>
      </c>
      <c r="K88" s="1051">
        <f>I88*(6/10)</f>
        <v>3.3</v>
      </c>
      <c r="L88" s="1052">
        <f>I88-K88</f>
        <v>2.2000000000000002</v>
      </c>
      <c r="M88" s="805">
        <f>IF(K88&lt;&gt;0,J88/K88,"0%")</f>
        <v>0.5757575757575758</v>
      </c>
      <c r="N88" s="1479"/>
      <c r="O88" s="1482"/>
      <c r="P88" s="1485"/>
      <c r="Q88" s="1053" t="s">
        <v>187</v>
      </c>
      <c r="R88" s="115" t="s">
        <v>358</v>
      </c>
      <c r="S88" s="230"/>
    </row>
    <row r="89" spans="1:19" ht="59.65" customHeight="1" thickBot="1" x14ac:dyDescent="0.5">
      <c r="A89" s="1492"/>
      <c r="B89" s="1550"/>
      <c r="C89" s="1553"/>
      <c r="D89" s="1563"/>
      <c r="E89" s="1564"/>
      <c r="F89" s="639" t="s">
        <v>78</v>
      </c>
      <c r="G89" s="714">
        <f>$E$88/3</f>
        <v>0.3968253968253968</v>
      </c>
      <c r="H89" s="818">
        <v>0.4</v>
      </c>
      <c r="I89" s="819">
        <v>17</v>
      </c>
      <c r="J89" s="1050">
        <f>I89-H89</f>
        <v>16.600000000000001</v>
      </c>
      <c r="K89" s="1051">
        <f>I89*(6/10)</f>
        <v>10.199999999999999</v>
      </c>
      <c r="L89" s="1052">
        <f>I89-K89</f>
        <v>6.8000000000000007</v>
      </c>
      <c r="M89" s="805">
        <f>IF(K89&lt;&gt;0,J89/K89,"0%")</f>
        <v>1.6274509803921571</v>
      </c>
      <c r="N89" s="1479"/>
      <c r="O89" s="1482"/>
      <c r="P89" s="1485"/>
      <c r="Q89" s="1053" t="s">
        <v>188</v>
      </c>
      <c r="R89" s="115" t="s">
        <v>359</v>
      </c>
      <c r="S89" s="230" t="s">
        <v>360</v>
      </c>
    </row>
    <row r="90" spans="1:19" ht="26.45" customHeight="1" thickBot="1" x14ac:dyDescent="0.5">
      <c r="A90" s="1492"/>
      <c r="B90" s="1550"/>
      <c r="C90" s="1553"/>
      <c r="D90" s="1563"/>
      <c r="E90" s="1564"/>
      <c r="F90" s="639" t="s">
        <v>79</v>
      </c>
      <c r="G90" s="714">
        <f>$E$88/3</f>
        <v>0.3968253968253968</v>
      </c>
      <c r="H90" s="800">
        <v>31.7</v>
      </c>
      <c r="I90" s="968">
        <v>24</v>
      </c>
      <c r="J90" s="1050">
        <f>I90-H90</f>
        <v>-7.6999999999999993</v>
      </c>
      <c r="K90" s="1054">
        <f>(I90)*(6/10)</f>
        <v>14.399999999999999</v>
      </c>
      <c r="L90" s="1055">
        <f>I90-K90</f>
        <v>9.6000000000000014</v>
      </c>
      <c r="M90" s="805">
        <f>IF(K90&lt;&gt;0,J90/K90,"100%")</f>
        <v>-0.53472222222222221</v>
      </c>
      <c r="N90" s="1479"/>
      <c r="O90" s="1482"/>
      <c r="P90" s="1485"/>
      <c r="Q90" s="1056" t="s">
        <v>189</v>
      </c>
      <c r="R90" s="115" t="s">
        <v>493</v>
      </c>
      <c r="S90" s="728"/>
    </row>
    <row r="91" spans="1:19" ht="40.799999999999997" customHeight="1" thickBot="1" x14ac:dyDescent="0.5">
      <c r="A91" s="1492"/>
      <c r="B91" s="1551"/>
      <c r="C91" s="1554"/>
      <c r="D91" s="631" t="s">
        <v>161</v>
      </c>
      <c r="E91" s="612">
        <f>$C$87/3</f>
        <v>1.1904761904761905</v>
      </c>
      <c r="F91" s="715" t="s">
        <v>80</v>
      </c>
      <c r="G91" s="716">
        <f>E91/1</f>
        <v>1.1904761904761905</v>
      </c>
      <c r="H91" s="967">
        <v>100</v>
      </c>
      <c r="I91" s="968">
        <v>100</v>
      </c>
      <c r="J91" s="1057">
        <f>H91-I91</f>
        <v>0</v>
      </c>
      <c r="K91" s="1037">
        <f>(100-I91)*(6/10)</f>
        <v>0</v>
      </c>
      <c r="L91" s="1058">
        <f>I91+K91</f>
        <v>100</v>
      </c>
      <c r="M91" s="779">
        <f>IF(I91&gt;=60,(1+(H91-60)/60),(H91/L91))</f>
        <v>1.6666666666666665</v>
      </c>
      <c r="N91" s="1480"/>
      <c r="O91" s="1483"/>
      <c r="P91" s="1461"/>
      <c r="Q91" s="1059" t="s">
        <v>95</v>
      </c>
      <c r="R91" s="116"/>
      <c r="S91" s="479" t="s">
        <v>361</v>
      </c>
    </row>
    <row r="92" spans="1:19" ht="14.65" thickBot="1" x14ac:dyDescent="0.5">
      <c r="B92" s="1322" t="s">
        <v>81</v>
      </c>
      <c r="C92" s="1323"/>
      <c r="D92" s="1323"/>
      <c r="E92" s="1323"/>
      <c r="F92" s="1324"/>
      <c r="G92" s="11"/>
      <c r="H92" s="1158"/>
      <c r="I92" s="1159"/>
      <c r="J92" s="1011"/>
      <c r="K92" s="1012"/>
      <c r="L92" s="1012"/>
      <c r="M92" s="1060"/>
      <c r="N92" s="760">
        <f>(N93+N97)/2</f>
        <v>0.6404793808758813</v>
      </c>
      <c r="O92" s="761">
        <f>(O93+O97)</f>
        <v>8.3080726288200104</v>
      </c>
      <c r="P92" s="762">
        <f>O92/14.285712</f>
        <v>0.58156517706782906</v>
      </c>
      <c r="Q92" s="921"/>
      <c r="R92" s="473"/>
      <c r="S92" s="467"/>
    </row>
    <row r="93" spans="1:19" ht="20.45" customHeight="1" thickBot="1" x14ac:dyDescent="0.5">
      <c r="B93" s="1466" t="s">
        <v>82</v>
      </c>
      <c r="C93" s="1467"/>
      <c r="D93" s="1467"/>
      <c r="E93" s="1467"/>
      <c r="F93" s="1468"/>
      <c r="G93" s="633"/>
      <c r="H93" s="1131"/>
      <c r="I93" s="1132"/>
      <c r="J93" s="831"/>
      <c r="K93" s="831"/>
      <c r="L93" s="831"/>
      <c r="M93" s="832"/>
      <c r="N93" s="760">
        <f>N94</f>
        <v>0.75555555555555554</v>
      </c>
      <c r="O93" s="761">
        <f>O94</f>
        <v>2.6984122666666668</v>
      </c>
      <c r="P93" s="762">
        <f>O93/3.571428</f>
        <v>0.75555555555555554</v>
      </c>
      <c r="Q93" s="905"/>
      <c r="R93" s="469"/>
      <c r="S93" s="478"/>
    </row>
    <row r="94" spans="1:19" ht="34.799999999999997" customHeight="1" thickBot="1" x14ac:dyDescent="0.5">
      <c r="A94" s="1451">
        <v>25</v>
      </c>
      <c r="B94" s="1469" t="s">
        <v>83</v>
      </c>
      <c r="C94" s="1565">
        <f>M5</f>
        <v>3.5714285714285716</v>
      </c>
      <c r="D94" s="1509" t="s">
        <v>214</v>
      </c>
      <c r="E94" s="660">
        <f>$C$94/3</f>
        <v>1.1904761904761905</v>
      </c>
      <c r="F94" s="635" t="s">
        <v>269</v>
      </c>
      <c r="G94" s="718">
        <f>E94/1</f>
        <v>1.1904761904761905</v>
      </c>
      <c r="H94" s="1197">
        <v>100</v>
      </c>
      <c r="I94" s="1198">
        <v>100</v>
      </c>
      <c r="J94" s="1062">
        <f>H94-I94</f>
        <v>0</v>
      </c>
      <c r="K94" s="1063">
        <f>(100-I94)*(6/10)</f>
        <v>0</v>
      </c>
      <c r="L94" s="1064">
        <f>I94+K94</f>
        <v>100</v>
      </c>
      <c r="M94" s="772" t="str">
        <f>IF(K94&lt;&gt;0,J94/K94,"100%")</f>
        <v>100%</v>
      </c>
      <c r="N94" s="1530">
        <f>(((G94/C94)*M94)+((G95/C94)*M95)+((G96/C94)*M96))</f>
        <v>0.75555555555555554</v>
      </c>
      <c r="O94" s="1484">
        <f>IF((((G94/C94)*M94)+((G95/C94)*M95)+((G96/C94)*M96))&gt;=1,3.571428,IF((((G94/C94)*M94)+((G95/C94)*M95)+((G96/C94)*M96))&lt;=0,0,(((G94/C94)*M94)+((G95/C94)*M95)+((G96/C94)*M96))*3.571428))</f>
        <v>2.6984122666666668</v>
      </c>
      <c r="P94" s="1460">
        <f>O94/3.571428</f>
        <v>0.75555555555555554</v>
      </c>
      <c r="Q94" s="1065" t="s">
        <v>190</v>
      </c>
      <c r="R94" s="166"/>
      <c r="S94" s="728" t="s">
        <v>362</v>
      </c>
    </row>
    <row r="95" spans="1:19" ht="39.6" customHeight="1" x14ac:dyDescent="0.45">
      <c r="A95" s="1451"/>
      <c r="B95" s="1470"/>
      <c r="C95" s="1566"/>
      <c r="D95" s="1503"/>
      <c r="E95" s="719">
        <f t="shared" ref="E95:E96" si="35">$C$94/3</f>
        <v>1.1904761904761905</v>
      </c>
      <c r="F95" s="679" t="s">
        <v>270</v>
      </c>
      <c r="G95" s="714">
        <f>E95/1</f>
        <v>1.1904761904761905</v>
      </c>
      <c r="H95" s="1199">
        <v>0.57999999999999996</v>
      </c>
      <c r="I95" s="1200">
        <v>0.5</v>
      </c>
      <c r="J95" s="1050">
        <f>IF(AND(I95&gt;1,(H95-I95=0)),(H95-1),(H95-I95))</f>
        <v>7.999999999999996E-2</v>
      </c>
      <c r="K95" s="883">
        <f>IF(AND(I95&gt;=1,H95&gt;=1),"0",((1-I95)*(6/10)))</f>
        <v>0.3</v>
      </c>
      <c r="L95" s="1067">
        <f t="shared" ref="L95:L96" si="36">I95+K95</f>
        <v>0.8</v>
      </c>
      <c r="M95" s="805">
        <f>IF(I95&gt;=1,(1+(H95-1)/1),(J95/K95))</f>
        <v>0.26666666666666655</v>
      </c>
      <c r="N95" s="1531"/>
      <c r="O95" s="1482"/>
      <c r="P95" s="1485"/>
      <c r="Q95" s="1068" t="s">
        <v>191</v>
      </c>
      <c r="R95" s="230"/>
      <c r="S95" s="230" t="s">
        <v>363</v>
      </c>
    </row>
    <row r="96" spans="1:19" ht="41.45" customHeight="1" thickBot="1" x14ac:dyDescent="0.5">
      <c r="A96" s="1451"/>
      <c r="B96" s="1521"/>
      <c r="C96" s="1567"/>
      <c r="D96" s="1510"/>
      <c r="E96" s="661">
        <f t="shared" si="35"/>
        <v>1.1904761904761905</v>
      </c>
      <c r="F96" s="643" t="s">
        <v>84</v>
      </c>
      <c r="G96" s="716">
        <f>E96/1</f>
        <v>1.1904761904761905</v>
      </c>
      <c r="H96" s="1239">
        <v>100</v>
      </c>
      <c r="I96" s="1204">
        <v>100</v>
      </c>
      <c r="J96" s="1057">
        <f>H96-I96</f>
        <v>0</v>
      </c>
      <c r="K96" s="1037">
        <f>(100-I96)*(6/10)</f>
        <v>0</v>
      </c>
      <c r="L96" s="1058">
        <f t="shared" si="36"/>
        <v>100</v>
      </c>
      <c r="M96" s="779" t="str">
        <f>IF(K96&lt;&gt;0,J96/K96,"100%")</f>
        <v>100%</v>
      </c>
      <c r="N96" s="1532"/>
      <c r="O96" s="1483"/>
      <c r="P96" s="1461"/>
      <c r="Q96" s="1070" t="s">
        <v>95</v>
      </c>
      <c r="R96" s="229"/>
      <c r="S96" s="229"/>
    </row>
    <row r="97" spans="1:19" ht="18" customHeight="1" thickBot="1" x14ac:dyDescent="0.5">
      <c r="B97" s="1568" t="s">
        <v>85</v>
      </c>
      <c r="C97" s="1569"/>
      <c r="D97" s="1569"/>
      <c r="E97" s="1569"/>
      <c r="F97" s="1570"/>
      <c r="G97" s="720"/>
      <c r="H97" s="1170"/>
      <c r="I97" s="1171"/>
      <c r="J97" s="1071"/>
      <c r="K97" s="1073"/>
      <c r="L97" s="1073"/>
      <c r="M97" s="1074"/>
      <c r="N97" s="1075">
        <f>(N98+N99+N100)/3</f>
        <v>0.52540320619620717</v>
      </c>
      <c r="O97" s="1076">
        <f>(O98+O99+O100)</f>
        <v>5.6096603621533445</v>
      </c>
      <c r="P97" s="762">
        <f>O97/10.714284</f>
        <v>0.52356838423858698</v>
      </c>
      <c r="Q97" s="1072"/>
      <c r="R97" s="487"/>
      <c r="S97" s="487"/>
    </row>
    <row r="98" spans="1:19" ht="29.45" customHeight="1" thickBot="1" x14ac:dyDescent="0.5">
      <c r="A98" s="21">
        <v>26</v>
      </c>
      <c r="B98" s="645" t="s">
        <v>86</v>
      </c>
      <c r="C98" s="646">
        <f>$M$5</f>
        <v>3.5714285714285716</v>
      </c>
      <c r="D98" s="645" t="s">
        <v>215</v>
      </c>
      <c r="E98" s="646">
        <f>C98/1</f>
        <v>3.5714285714285716</v>
      </c>
      <c r="F98" s="695" t="s">
        <v>291</v>
      </c>
      <c r="G98" s="646">
        <f>E98/1</f>
        <v>3.5714285714285716</v>
      </c>
      <c r="H98" s="1269">
        <v>5</v>
      </c>
      <c r="I98" s="1268">
        <v>16</v>
      </c>
      <c r="J98" s="1079">
        <f>IF(I98=H98,(H98-10),H98-I98)</f>
        <v>-11</v>
      </c>
      <c r="K98" s="866">
        <f>IF(I98&gt;=10,0,((10-I98)*(6/10)))</f>
        <v>0</v>
      </c>
      <c r="L98" s="982">
        <f>I98+K98</f>
        <v>16</v>
      </c>
      <c r="M98" s="915">
        <f>IF(I98&gt;=10,(1+(H98-10)/10),(J98/K98))</f>
        <v>0.5</v>
      </c>
      <c r="N98" s="983">
        <f>((G98/C98)*M98)</f>
        <v>0.5</v>
      </c>
      <c r="O98" s="854">
        <f>IF(((G98/C98)*M98)&gt;=1,3.571428,IF(((G98/C98)*M98)&lt;=0,0,((G98/C98)*M98)*3.571428))</f>
        <v>1.785714</v>
      </c>
      <c r="P98" s="762">
        <f>O98/3.571428</f>
        <v>0.5</v>
      </c>
      <c r="Q98" s="1080" t="s">
        <v>95</v>
      </c>
      <c r="R98" s="488"/>
      <c r="S98" s="467"/>
    </row>
    <row r="99" spans="1:19" ht="35.25" thickBot="1" x14ac:dyDescent="0.5">
      <c r="A99" s="21">
        <v>27</v>
      </c>
      <c r="B99" s="645" t="s">
        <v>87</v>
      </c>
      <c r="C99" s="646">
        <f>$M$5</f>
        <v>3.5714285714285716</v>
      </c>
      <c r="D99" s="645" t="s">
        <v>216</v>
      </c>
      <c r="E99" s="646">
        <f>C99/1</f>
        <v>3.5714285714285716</v>
      </c>
      <c r="F99" s="695" t="s">
        <v>271</v>
      </c>
      <c r="G99" s="646">
        <f>E99/1</f>
        <v>3.5714285714285716</v>
      </c>
      <c r="H99" s="1237">
        <v>16.3</v>
      </c>
      <c r="I99" s="1238">
        <v>13.7</v>
      </c>
      <c r="J99" s="1079">
        <f>IF(I99=H99,(H99-75),H99-I99)</f>
        <v>2.6000000000000014</v>
      </c>
      <c r="K99" s="866">
        <f>IF(I99&gt;=75,0,((75-I99)*(6/10)))</f>
        <v>36.779999999999994</v>
      </c>
      <c r="L99" s="1006">
        <f>I99+K99</f>
        <v>50.47999999999999</v>
      </c>
      <c r="M99" s="1081">
        <f>IF(I99&gt;=75,(1+(H99-75)/75),(J99/K99))</f>
        <v>7.0690592713431269E-2</v>
      </c>
      <c r="N99" s="983">
        <f>((G99/C99)*M99)</f>
        <v>7.0690592713431269E-2</v>
      </c>
      <c r="O99" s="854">
        <f>IF(((G99/C99)*M99)&gt;=1,3.571428,IF(((G99/C99)*M99)&lt;=0,0,((G99/C99)*M99)*3.571428))</f>
        <v>0.25246636215334439</v>
      </c>
      <c r="P99" s="762">
        <f>O99/3.571428</f>
        <v>7.0690592713431269E-2</v>
      </c>
      <c r="Q99" s="1080" t="s">
        <v>192</v>
      </c>
      <c r="R99" s="154" t="s">
        <v>494</v>
      </c>
      <c r="S99" s="467"/>
    </row>
    <row r="100" spans="1:19" ht="30.75" thickBot="1" x14ac:dyDescent="0.5">
      <c r="A100" s="1451">
        <v>28</v>
      </c>
      <c r="B100" s="1571" t="s">
        <v>88</v>
      </c>
      <c r="C100" s="1573">
        <f>M5</f>
        <v>3.5714285714285716</v>
      </c>
      <c r="D100" s="1571" t="s">
        <v>217</v>
      </c>
      <c r="E100" s="1573">
        <f>C100/1</f>
        <v>3.5714285714285716</v>
      </c>
      <c r="F100" s="674" t="s">
        <v>89</v>
      </c>
      <c r="G100" s="604">
        <f>$E$100/2</f>
        <v>1.7857142857142858</v>
      </c>
      <c r="H100" s="1197">
        <v>4.0999999999999996</v>
      </c>
      <c r="I100" s="1198">
        <v>4</v>
      </c>
      <c r="J100" s="1082">
        <f>IF(I100=H100,(25-H100),I100-H100)</f>
        <v>-9.9999999999999645E-2</v>
      </c>
      <c r="K100" s="927">
        <f>IF(I100&lt;=25,0,((0.25*I100)*(6/10)))</f>
        <v>0</v>
      </c>
      <c r="L100" s="1083">
        <f>I100-K100</f>
        <v>4</v>
      </c>
      <c r="M100" s="772">
        <f>IF(I100&lt;=25,(1+(25-H100)/25),(J100/K100))</f>
        <v>1.8359999999999999</v>
      </c>
      <c r="N100" s="1576">
        <f>((G100/$C$100)*M100)+((G101/$C$100)*M101)</f>
        <v>1.0055190258751903</v>
      </c>
      <c r="O100" s="1458">
        <f>IF((((G100/C100)*M100)+((G101/C100)*M101))&gt;=1,3.57148,IF((((G100/C100)*M100)+((G101/C100)*M101))&lt;=0,0, (((G100/C100)*M100)+((G101/C100)*M101))*3.571428))</f>
        <v>3.5714800000000002</v>
      </c>
      <c r="P100" s="1460">
        <f>O100/3.571428</f>
        <v>1.0000145600023296</v>
      </c>
      <c r="Q100" s="1084" t="s">
        <v>193</v>
      </c>
      <c r="R100" s="435"/>
      <c r="S100" s="382"/>
    </row>
    <row r="101" spans="1:19" ht="38.450000000000003" customHeight="1" thickBot="1" x14ac:dyDescent="0.5">
      <c r="A101" s="1451"/>
      <c r="B101" s="1572"/>
      <c r="C101" s="1574"/>
      <c r="D101" s="1572"/>
      <c r="E101" s="1575"/>
      <c r="F101" s="643" t="s">
        <v>90</v>
      </c>
      <c r="G101" s="612">
        <f>$E$100/2</f>
        <v>1.7857142857142858</v>
      </c>
      <c r="H101" s="971">
        <v>5.4</v>
      </c>
      <c r="I101" s="972">
        <v>3.1</v>
      </c>
      <c r="J101" s="1085">
        <f>IF(I101=H101,(H101-25),H101-I101)</f>
        <v>2.3000000000000003</v>
      </c>
      <c r="K101" s="810">
        <f>IF(I101&gt;=25,0,((25-I101)*(6/10)))</f>
        <v>13.139999999999999</v>
      </c>
      <c r="L101" s="1086">
        <f t="shared" ref="L101" si="37">K101+I101</f>
        <v>16.239999999999998</v>
      </c>
      <c r="M101" s="779">
        <f>IF(I101&gt;=25,(1+(H101-25)/25),(J101/K101))</f>
        <v>0.17503805175038056</v>
      </c>
      <c r="N101" s="1577"/>
      <c r="O101" s="1459"/>
      <c r="P101" s="1461"/>
      <c r="Q101" s="1087" t="s">
        <v>95</v>
      </c>
      <c r="R101" s="118"/>
      <c r="S101" s="130" t="s">
        <v>495</v>
      </c>
    </row>
    <row r="102" spans="1:19" ht="34.25" customHeight="1" thickBot="1" x14ac:dyDescent="0.5">
      <c r="B102" s="721" t="s">
        <v>194</v>
      </c>
      <c r="C102" s="722">
        <f>C11+C13+C15+C19+C24+C33+C34+C35+C36+C38+C41+C44+C48+C51+C53+C61+C68+C71+C73+C75+C78+C81+C83+C87+C94+C98+C99+C100</f>
        <v>99.999999999999972</v>
      </c>
      <c r="D102" s="723"/>
      <c r="E102" s="722">
        <f>E11+E12+E13+E14+E15+E19+E20+E21+E22+E24+E25+E28+E31+E33+E34+E35+E36+E38+E39+E41+E42+E44+E45+E48+E49++E51+E53+E54+E55+E56+E57+E61+E62+E63+E64+E68+E71+E73+E75+E78+E81++E82+E83+E84+E85+E87+E88+E91+E94+E95+E96+E98+E99+E100</f>
        <v>100.00714285714285</v>
      </c>
      <c r="F102" s="724"/>
      <c r="G102" s="722">
        <f>G11+G12+G13+G14+G15+G16+G17+G19+G20+G21+G22+G24+G25+G26+G27+G28+G29+G30+G31+G33+G34+G35+G36+G38+G39+G41+G42+G44+G45+G48+G49+G51+G53+G54+G55+G56+G57+G58+G61+G62+G63+G64+G65+G66+G68+G71+G73+G75+G78+G81+G82+G83+G84+G85+G87+G88+G89+G90+G91+G94+G95+G96+G98+G99+G100+G101</f>
        <v>100.00714285714285</v>
      </c>
      <c r="H102" s="1178"/>
      <c r="I102" s="1179"/>
      <c r="J102" s="1178"/>
      <c r="K102" s="1180"/>
      <c r="L102" s="1181"/>
      <c r="M102" s="1182"/>
      <c r="N102" s="1183"/>
      <c r="O102" s="1184"/>
      <c r="P102" s="1184"/>
      <c r="Q102" s="1185"/>
      <c r="R102" s="24"/>
      <c r="S102" s="25"/>
    </row>
    <row r="104" spans="1:19" ht="15.75" x14ac:dyDescent="0.5">
      <c r="B104" s="26"/>
    </row>
    <row r="107" spans="1:19" ht="15.75" x14ac:dyDescent="0.5">
      <c r="B107" s="26"/>
    </row>
    <row r="108" spans="1:19" x14ac:dyDescent="0.45">
      <c r="B108" s="27"/>
    </row>
    <row r="109" spans="1:19" x14ac:dyDescent="0.45">
      <c r="B109" s="27"/>
    </row>
    <row r="111" spans="1:19" x14ac:dyDescent="0.45">
      <c r="E111"/>
      <c r="F111" s="725" t="s">
        <v>196</v>
      </c>
    </row>
    <row r="112" spans="1:19" x14ac:dyDescent="0.45">
      <c r="E112" s="726">
        <v>1</v>
      </c>
      <c r="F112" s="726" t="s">
        <v>197</v>
      </c>
    </row>
    <row r="113" spans="5:6" x14ac:dyDescent="0.45">
      <c r="E113" s="726">
        <v>2</v>
      </c>
      <c r="F113" s="726" t="s">
        <v>227</v>
      </c>
    </row>
    <row r="114" spans="5:6" x14ac:dyDescent="0.45">
      <c r="E114" s="726">
        <v>3</v>
      </c>
      <c r="F114" s="726" t="s">
        <v>228</v>
      </c>
    </row>
    <row r="115" spans="5:6" x14ac:dyDescent="0.45">
      <c r="E115" s="726">
        <v>4</v>
      </c>
      <c r="F115" s="726" t="s">
        <v>229</v>
      </c>
    </row>
    <row r="116" spans="5:6" x14ac:dyDescent="0.45">
      <c r="E116" s="726">
        <v>5</v>
      </c>
      <c r="F116" s="726" t="s">
        <v>198</v>
      </c>
    </row>
    <row r="117" spans="5:6" x14ac:dyDescent="0.45">
      <c r="E117" s="726">
        <v>6</v>
      </c>
      <c r="F117" s="726" t="s">
        <v>230</v>
      </c>
    </row>
    <row r="118" spans="5:6" x14ac:dyDescent="0.45">
      <c r="E118" s="726">
        <v>7</v>
      </c>
      <c r="F118" s="726" t="s">
        <v>231</v>
      </c>
    </row>
    <row r="119" spans="5:6" x14ac:dyDescent="0.45">
      <c r="E119" s="726">
        <v>8</v>
      </c>
      <c r="F119" s="726" t="s">
        <v>199</v>
      </c>
    </row>
    <row r="120" spans="5:6" x14ac:dyDescent="0.45">
      <c r="E120" s="726">
        <v>9</v>
      </c>
      <c r="F120" s="726" t="s">
        <v>200</v>
      </c>
    </row>
    <row r="121" spans="5:6" x14ac:dyDescent="0.45">
      <c r="E121" s="726">
        <v>10</v>
      </c>
      <c r="F121" s="726" t="s">
        <v>201</v>
      </c>
    </row>
    <row r="122" spans="5:6" x14ac:dyDescent="0.45">
      <c r="E122" s="726">
        <v>11</v>
      </c>
      <c r="F122" s="726" t="s">
        <v>232</v>
      </c>
    </row>
    <row r="123" spans="5:6" x14ac:dyDescent="0.45">
      <c r="E123" s="726">
        <v>12</v>
      </c>
      <c r="F123" s="726" t="s">
        <v>202</v>
      </c>
    </row>
    <row r="124" spans="5:6" x14ac:dyDescent="0.45">
      <c r="E124" s="726">
        <f t="shared" ref="E124:E145" si="38">E123+1</f>
        <v>13</v>
      </c>
      <c r="F124" s="726" t="s">
        <v>203</v>
      </c>
    </row>
    <row r="125" spans="5:6" x14ac:dyDescent="0.45">
      <c r="E125" s="726">
        <v>14</v>
      </c>
      <c r="F125" s="726" t="s">
        <v>233</v>
      </c>
    </row>
    <row r="126" spans="5:6" x14ac:dyDescent="0.45">
      <c r="E126" s="726">
        <v>15</v>
      </c>
      <c r="F126" s="726" t="s">
        <v>234</v>
      </c>
    </row>
    <row r="127" spans="5:6" x14ac:dyDescent="0.45">
      <c r="E127" s="726">
        <v>16</v>
      </c>
      <c r="F127" s="726" t="s">
        <v>213</v>
      </c>
    </row>
    <row r="128" spans="5:6" x14ac:dyDescent="0.45">
      <c r="E128" s="726">
        <v>17</v>
      </c>
      <c r="F128" s="726" t="s">
        <v>235</v>
      </c>
    </row>
    <row r="129" spans="5:6" x14ac:dyDescent="0.45">
      <c r="E129" s="726">
        <v>18</v>
      </c>
      <c r="F129" s="726" t="s">
        <v>263</v>
      </c>
    </row>
    <row r="130" spans="5:6" x14ac:dyDescent="0.45">
      <c r="E130" s="726">
        <v>19</v>
      </c>
      <c r="F130" s="726" t="s">
        <v>204</v>
      </c>
    </row>
    <row r="131" spans="5:6" x14ac:dyDescent="0.45">
      <c r="E131" s="726">
        <v>20</v>
      </c>
      <c r="F131" s="726" t="s">
        <v>236</v>
      </c>
    </row>
    <row r="132" spans="5:6" x14ac:dyDescent="0.45">
      <c r="E132" s="726">
        <v>21</v>
      </c>
      <c r="F132" s="726" t="s">
        <v>237</v>
      </c>
    </row>
    <row r="133" spans="5:6" x14ac:dyDescent="0.45">
      <c r="E133" s="726">
        <v>22</v>
      </c>
      <c r="F133" s="726" t="s">
        <v>238</v>
      </c>
    </row>
    <row r="134" spans="5:6" x14ac:dyDescent="0.45">
      <c r="E134" s="726">
        <v>23</v>
      </c>
      <c r="F134" s="726" t="s">
        <v>205</v>
      </c>
    </row>
    <row r="135" spans="5:6" x14ac:dyDescent="0.45">
      <c r="E135" s="726">
        <v>24</v>
      </c>
      <c r="F135" s="726" t="s">
        <v>239</v>
      </c>
    </row>
    <row r="136" spans="5:6" x14ac:dyDescent="0.45">
      <c r="E136" s="726">
        <v>25</v>
      </c>
      <c r="F136" s="726" t="s">
        <v>240</v>
      </c>
    </row>
    <row r="137" spans="5:6" x14ac:dyDescent="0.45">
      <c r="E137" s="726">
        <v>26</v>
      </c>
      <c r="F137" s="726" t="s">
        <v>241</v>
      </c>
    </row>
    <row r="138" spans="5:6" x14ac:dyDescent="0.45">
      <c r="E138" s="726">
        <v>27</v>
      </c>
      <c r="F138" s="726" t="s">
        <v>206</v>
      </c>
    </row>
    <row r="139" spans="5:6" x14ac:dyDescent="0.45">
      <c r="E139" s="726">
        <v>28</v>
      </c>
      <c r="F139" s="726" t="s">
        <v>242</v>
      </c>
    </row>
    <row r="140" spans="5:6" x14ac:dyDescent="0.45">
      <c r="E140" s="726">
        <v>29</v>
      </c>
      <c r="F140" s="726" t="s">
        <v>243</v>
      </c>
    </row>
    <row r="141" spans="5:6" x14ac:dyDescent="0.45">
      <c r="E141" s="726">
        <v>30</v>
      </c>
      <c r="F141" s="726" t="s">
        <v>244</v>
      </c>
    </row>
    <row r="142" spans="5:6" x14ac:dyDescent="0.45">
      <c r="E142" s="726">
        <v>31</v>
      </c>
      <c r="F142" s="726" t="s">
        <v>245</v>
      </c>
    </row>
    <row r="143" spans="5:6" x14ac:dyDescent="0.45">
      <c r="E143" s="726">
        <v>32</v>
      </c>
      <c r="F143" s="726" t="s">
        <v>246</v>
      </c>
    </row>
    <row r="144" spans="5:6" x14ac:dyDescent="0.45">
      <c r="E144" s="726">
        <v>33</v>
      </c>
      <c r="F144" s="726" t="s">
        <v>207</v>
      </c>
    </row>
    <row r="145" spans="5:6" x14ac:dyDescent="0.45">
      <c r="E145" s="726">
        <f t="shared" si="38"/>
        <v>34</v>
      </c>
      <c r="F145" s="726" t="s">
        <v>208</v>
      </c>
    </row>
    <row r="146" spans="5:6" x14ac:dyDescent="0.45">
      <c r="E146" s="726">
        <v>35</v>
      </c>
      <c r="F146" s="726" t="s">
        <v>247</v>
      </c>
    </row>
    <row r="147" spans="5:6" x14ac:dyDescent="0.45">
      <c r="E147" s="726">
        <v>36</v>
      </c>
      <c r="F147" s="726" t="s">
        <v>248</v>
      </c>
    </row>
    <row r="148" spans="5:6" x14ac:dyDescent="0.45">
      <c r="E148" s="726">
        <v>36</v>
      </c>
      <c r="F148" s="726" t="s">
        <v>249</v>
      </c>
    </row>
    <row r="149" spans="5:6" x14ac:dyDescent="0.45">
      <c r="E149" s="726">
        <v>38</v>
      </c>
      <c r="F149" s="726" t="s">
        <v>250</v>
      </c>
    </row>
    <row r="150" spans="5:6" x14ac:dyDescent="0.45">
      <c r="E150" s="726">
        <v>39</v>
      </c>
      <c r="F150" s="726" t="s">
        <v>251</v>
      </c>
    </row>
    <row r="151" spans="5:6" x14ac:dyDescent="0.45">
      <c r="E151" s="726">
        <v>40</v>
      </c>
      <c r="F151" s="726" t="s">
        <v>209</v>
      </c>
    </row>
    <row r="152" spans="5:6" x14ac:dyDescent="0.45">
      <c r="E152" s="726">
        <v>41</v>
      </c>
      <c r="F152" s="726" t="s">
        <v>264</v>
      </c>
    </row>
    <row r="153" spans="5:6" x14ac:dyDescent="0.45">
      <c r="E153" s="726">
        <v>42</v>
      </c>
      <c r="F153" s="726" t="s">
        <v>252</v>
      </c>
    </row>
    <row r="154" spans="5:6" x14ac:dyDescent="0.45">
      <c r="E154" s="726">
        <v>43</v>
      </c>
      <c r="F154" s="726" t="s">
        <v>253</v>
      </c>
    </row>
    <row r="155" spans="5:6" x14ac:dyDescent="0.45">
      <c r="E155" s="726">
        <v>44</v>
      </c>
      <c r="F155" s="726" t="s">
        <v>254</v>
      </c>
    </row>
    <row r="156" spans="5:6" x14ac:dyDescent="0.45">
      <c r="E156" s="726">
        <v>45</v>
      </c>
      <c r="F156" s="726" t="s">
        <v>210</v>
      </c>
    </row>
    <row r="157" spans="5:6" x14ac:dyDescent="0.45">
      <c r="E157" s="726">
        <v>46</v>
      </c>
      <c r="F157" s="726" t="s">
        <v>255</v>
      </c>
    </row>
    <row r="158" spans="5:6" x14ac:dyDescent="0.45">
      <c r="E158" s="726">
        <v>47</v>
      </c>
      <c r="F158" s="726" t="s">
        <v>211</v>
      </c>
    </row>
    <row r="159" spans="5:6" x14ac:dyDescent="0.45">
      <c r="E159" s="726">
        <v>48</v>
      </c>
      <c r="F159" s="726" t="s">
        <v>256</v>
      </c>
    </row>
    <row r="160" spans="5:6" x14ac:dyDescent="0.45">
      <c r="E160" s="726">
        <v>49</v>
      </c>
      <c r="F160" s="726" t="s">
        <v>257</v>
      </c>
    </row>
    <row r="161" spans="5:6" x14ac:dyDescent="0.45">
      <c r="E161" s="726">
        <v>50</v>
      </c>
      <c r="F161" s="726" t="s">
        <v>260</v>
      </c>
    </row>
    <row r="162" spans="5:6" x14ac:dyDescent="0.45">
      <c r="E162" s="726">
        <v>51</v>
      </c>
      <c r="F162" s="726" t="s">
        <v>258</v>
      </c>
    </row>
    <row r="163" spans="5:6" x14ac:dyDescent="0.45">
      <c r="E163" s="726">
        <v>52</v>
      </c>
      <c r="F163" s="726" t="s">
        <v>212</v>
      </c>
    </row>
    <row r="164" spans="5:6" x14ac:dyDescent="0.45">
      <c r="E164" s="726">
        <v>53</v>
      </c>
      <c r="F164" s="726" t="s">
        <v>259</v>
      </c>
    </row>
    <row r="165" spans="5:6" x14ac:dyDescent="0.45">
      <c r="E165" s="726">
        <v>54</v>
      </c>
      <c r="F165" s="726" t="s">
        <v>261</v>
      </c>
    </row>
    <row r="166" spans="5:6" x14ac:dyDescent="0.45">
      <c r="E166" s="726">
        <v>55</v>
      </c>
      <c r="F166" s="726" t="s">
        <v>262</v>
      </c>
    </row>
    <row r="167" spans="5:6" x14ac:dyDescent="0.45">
      <c r="E167"/>
      <c r="F167"/>
    </row>
    <row r="168" spans="5:6" x14ac:dyDescent="0.45">
      <c r="E168"/>
      <c r="F168"/>
    </row>
  </sheetData>
  <sheetProtection algorithmName="SHA-512" hashValue="dXPSZu26XyGqihml96IeXGyt5xWmZkpCW3W9a77epYIwqvb5B7HuAkDeA6WD8O1hEy4bvFmFaaFxewVGbnytBw==" saltValue="u4DLeZCe4UtlGZySF+Pa5g=="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F7E086CC-F643-403D-86F5-87CB8800596C}">
      <formula1>$F$112:$F$166</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28F0A-3DA9-4A20-BEFC-4286D4D02BE1}">
  <dimension ref="A1:AA168"/>
  <sheetViews>
    <sheetView topLeftCell="C1" zoomScale="60" zoomScaleNormal="60" workbookViewId="0">
      <selection activeCell="N11" sqref="N11:N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555"/>
      <c r="R1" s="3"/>
      <c r="S1" s="4"/>
      <c r="U1" s="556"/>
      <c r="V1" s="556"/>
      <c r="W1" s="556"/>
      <c r="X1" s="556"/>
      <c r="Y1" s="556"/>
      <c r="Z1" s="556"/>
      <c r="AA1" s="556"/>
    </row>
    <row r="2" spans="1:27" ht="30" x14ac:dyDescent="1.1000000000000001">
      <c r="B2" s="557"/>
      <c r="C2" s="558"/>
      <c r="D2" s="559" t="s">
        <v>286</v>
      </c>
      <c r="E2" s="558"/>
      <c r="F2" s="560"/>
      <c r="G2" s="560"/>
      <c r="H2" s="560"/>
      <c r="I2" s="560"/>
      <c r="J2" s="560"/>
      <c r="K2" s="560"/>
      <c r="L2" s="560"/>
      <c r="M2" s="560"/>
      <c r="N2" s="560"/>
      <c r="O2" s="560"/>
      <c r="P2" s="560"/>
      <c r="Q2" s="558"/>
      <c r="R2" s="560"/>
      <c r="S2" s="6"/>
    </row>
    <row r="3" spans="1:27" ht="14.65" thickBot="1" x14ac:dyDescent="0.5">
      <c r="B3" s="561"/>
      <c r="C3" s="562"/>
      <c r="D3" s="562"/>
      <c r="E3" s="562"/>
      <c r="F3" s="563"/>
      <c r="G3" s="563"/>
      <c r="H3" s="563"/>
      <c r="I3" s="563"/>
      <c r="J3" s="563"/>
      <c r="K3" s="563"/>
      <c r="L3" s="563"/>
      <c r="M3" s="563"/>
      <c r="N3" s="563"/>
      <c r="O3" s="563"/>
      <c r="P3" s="563"/>
      <c r="Q3" s="562"/>
      <c r="R3" s="563"/>
      <c r="S3" s="7"/>
    </row>
    <row r="4" spans="1:27" ht="26.45" customHeight="1" thickBot="1" x14ac:dyDescent="0.5">
      <c r="B4" s="561"/>
      <c r="C4" s="562"/>
      <c r="D4" s="564" t="s">
        <v>195</v>
      </c>
      <c r="E4" s="562"/>
      <c r="F4" s="8" t="s">
        <v>254</v>
      </c>
      <c r="G4" s="563"/>
      <c r="H4" s="563"/>
      <c r="I4" s="563"/>
      <c r="J4" s="563"/>
      <c r="K4" s="1434" t="s">
        <v>464</v>
      </c>
      <c r="L4" s="1435"/>
      <c r="M4" s="1436"/>
      <c r="N4" s="1092">
        <f>(N9+N46+N59+N69+N76+N79+N92)/7</f>
        <v>8.912040337717296E-2</v>
      </c>
      <c r="O4" s="1093">
        <f>(O9+O46+O59+O69+O76+O79+O92)</f>
        <v>17.840397723075512</v>
      </c>
      <c r="P4" s="1092">
        <f>O4/100</f>
        <v>0.17840397723075513</v>
      </c>
      <c r="Q4" s="562"/>
      <c r="R4" s="563"/>
      <c r="S4" s="7"/>
    </row>
    <row r="5" spans="1:27" ht="18.399999999999999" thickBot="1" x14ac:dyDescent="0.6">
      <c r="B5" s="1437"/>
      <c r="C5" s="1438"/>
      <c r="D5" s="1438"/>
      <c r="E5" s="1438"/>
      <c r="F5" s="1438"/>
      <c r="G5" s="1438"/>
      <c r="H5" s="1438"/>
      <c r="I5" s="1438"/>
      <c r="J5" s="1438"/>
      <c r="K5" s="1438"/>
      <c r="L5" s="66"/>
      <c r="M5" s="565">
        <f>100/28</f>
        <v>3.5714285714285716</v>
      </c>
      <c r="N5" s="9"/>
      <c r="O5" s="456"/>
      <c r="P5" s="456"/>
      <c r="Q5" s="566"/>
      <c r="R5" s="9"/>
      <c r="S5" s="10"/>
    </row>
    <row r="6" spans="1:27" ht="33.6" customHeight="1" thickBot="1" x14ac:dyDescent="0.5">
      <c r="B6" s="1439"/>
      <c r="C6" s="1440"/>
      <c r="D6" s="1440"/>
      <c r="E6" s="1440"/>
      <c r="F6" s="1441"/>
      <c r="G6" s="567"/>
      <c r="H6" s="567"/>
      <c r="I6" s="567"/>
      <c r="J6" s="567"/>
      <c r="K6" s="567"/>
      <c r="L6" s="567"/>
      <c r="M6" s="567"/>
      <c r="N6" s="568"/>
      <c r="O6" s="569"/>
      <c r="P6" s="569"/>
      <c r="Q6" s="568"/>
      <c r="R6" s="12"/>
      <c r="S6" s="13"/>
    </row>
    <row r="7" spans="1:27" ht="55.8" customHeight="1" thickBot="1" x14ac:dyDescent="0.5">
      <c r="B7" s="1442"/>
      <c r="C7" s="1443"/>
      <c r="D7" s="1443"/>
      <c r="E7" s="1443"/>
      <c r="F7" s="1444"/>
      <c r="G7" s="570"/>
      <c r="H7" s="571" t="s">
        <v>218</v>
      </c>
      <c r="I7" s="572" t="s">
        <v>219</v>
      </c>
      <c r="J7" s="573" t="s">
        <v>91</v>
      </c>
      <c r="K7" s="574" t="s">
        <v>107</v>
      </c>
      <c r="L7" s="574" t="s">
        <v>104</v>
      </c>
      <c r="M7" s="574" t="s">
        <v>105</v>
      </c>
      <c r="N7" s="572" t="s">
        <v>106</v>
      </c>
      <c r="O7" s="572" t="s">
        <v>465</v>
      </c>
      <c r="P7" s="575" t="s">
        <v>466</v>
      </c>
      <c r="Q7" s="576" t="s">
        <v>93</v>
      </c>
      <c r="R7" s="577" t="s">
        <v>110</v>
      </c>
      <c r="S7" s="578" t="s">
        <v>103</v>
      </c>
    </row>
    <row r="8" spans="1:27" ht="25.25" customHeight="1" thickBot="1" x14ac:dyDescent="0.5">
      <c r="B8" s="579" t="s">
        <v>2</v>
      </c>
      <c r="C8" s="579" t="s">
        <v>92</v>
      </c>
      <c r="D8" s="579" t="s">
        <v>3</v>
      </c>
      <c r="E8" s="579" t="s">
        <v>94</v>
      </c>
      <c r="F8" s="579" t="s">
        <v>102</v>
      </c>
      <c r="G8" s="579" t="s">
        <v>96</v>
      </c>
      <c r="H8" s="580"/>
      <c r="I8" s="581"/>
      <c r="J8" s="580"/>
      <c r="K8" s="582"/>
      <c r="L8" s="582"/>
      <c r="M8" s="579"/>
      <c r="N8" s="583"/>
      <c r="O8" s="584"/>
      <c r="P8" s="585"/>
      <c r="Q8" s="581"/>
      <c r="R8" s="583"/>
      <c r="S8" s="583"/>
      <c r="V8" s="586" t="s">
        <v>151</v>
      </c>
      <c r="W8" s="587"/>
      <c r="X8" s="587"/>
      <c r="Y8" s="587"/>
      <c r="Z8" s="588"/>
    </row>
    <row r="9" spans="1:27" s="144" customFormat="1" ht="25.25" customHeight="1" thickBot="1" x14ac:dyDescent="0.5">
      <c r="B9" s="1445" t="s">
        <v>0</v>
      </c>
      <c r="C9" s="1446"/>
      <c r="D9" s="1446"/>
      <c r="E9" s="1446"/>
      <c r="F9" s="1447"/>
      <c r="G9" s="589"/>
      <c r="H9" s="756"/>
      <c r="I9" s="757"/>
      <c r="J9" s="758"/>
      <c r="K9" s="758"/>
      <c r="L9" s="758"/>
      <c r="M9" s="759"/>
      <c r="N9" s="760">
        <f>(N10+N18+N23+N32+N37+N40+N43)/7</f>
        <v>-1.809117584956918E-2</v>
      </c>
      <c r="O9" s="761">
        <f>(O10+O18+O23+O32+O37+O40+O43)</f>
        <v>3.7702180962504195</v>
      </c>
      <c r="P9" s="762">
        <f>O9/42.857136</f>
        <v>8.797176965465961E-2</v>
      </c>
      <c r="Q9" s="758"/>
      <c r="R9" s="590"/>
      <c r="S9" s="590"/>
      <c r="U9" s="591"/>
      <c r="V9" s="592"/>
      <c r="W9" s="593"/>
      <c r="X9" s="593"/>
      <c r="Y9" s="593"/>
      <c r="Z9" s="594"/>
      <c r="AA9" s="591"/>
    </row>
    <row r="10" spans="1:27" s="96" customFormat="1" ht="25.25" customHeight="1" thickBot="1" x14ac:dyDescent="0.5">
      <c r="B10" s="1448" t="s">
        <v>1</v>
      </c>
      <c r="C10" s="1449"/>
      <c r="D10" s="1449"/>
      <c r="E10" s="1449"/>
      <c r="F10" s="1450"/>
      <c r="G10" s="595"/>
      <c r="H10" s="763"/>
      <c r="I10" s="764"/>
      <c r="J10" s="765"/>
      <c r="K10" s="765"/>
      <c r="L10" s="765"/>
      <c r="M10" s="766"/>
      <c r="N10" s="760">
        <f>(N11+N13+N15)/3</f>
        <v>0.20354931672260268</v>
      </c>
      <c r="O10" s="761">
        <f>(O11+O13+O15)</f>
        <v>2.1808851873719139</v>
      </c>
      <c r="P10" s="762">
        <f>O10/10.714284</f>
        <v>0.20354931672260265</v>
      </c>
      <c r="Q10" s="765"/>
      <c r="R10" s="596"/>
      <c r="S10" s="596"/>
      <c r="U10" s="597"/>
      <c r="V10" s="598"/>
      <c r="W10" s="599"/>
      <c r="X10" s="599"/>
      <c r="Y10" s="599"/>
      <c r="Z10" s="600"/>
      <c r="AA10" s="597"/>
    </row>
    <row r="11" spans="1:27" ht="27.6" customHeight="1" x14ac:dyDescent="0.45">
      <c r="A11" s="1451">
        <v>1</v>
      </c>
      <c r="B11" s="1462" t="s">
        <v>4</v>
      </c>
      <c r="C11" s="1464">
        <f>M5</f>
        <v>3.5714285714285716</v>
      </c>
      <c r="D11" s="601" t="s">
        <v>111</v>
      </c>
      <c r="E11" s="602">
        <f>$C$11/2</f>
        <v>1.7857142857142858</v>
      </c>
      <c r="F11" s="603" t="s">
        <v>5</v>
      </c>
      <c r="G11" s="604">
        <f>E11/1</f>
        <v>1.7857142857142858</v>
      </c>
      <c r="H11" s="767">
        <v>15661.568821531477</v>
      </c>
      <c r="I11" s="768">
        <v>13995.840447754101</v>
      </c>
      <c r="J11" s="769">
        <f>(H11-I11)</f>
        <v>1665.728373777376</v>
      </c>
      <c r="K11" s="770">
        <f>(0.3*I11)*6/10</f>
        <v>2519.2512805957376</v>
      </c>
      <c r="L11" s="771">
        <f>I11+K11</f>
        <v>16515.091728349838</v>
      </c>
      <c r="M11" s="772">
        <f>IF(K11&lt;&gt;0,J11/K11,"0%")</f>
        <v>0.66119977257031481</v>
      </c>
      <c r="N11" s="1456">
        <f>(((G11/C11)*M11)+((G12/C11)*M12))</f>
        <v>0.1285796842649552</v>
      </c>
      <c r="O11" s="1458">
        <f>IF((((G11/C11)*M11)+((G12/C11)*M12))&gt;=1,3.57148,IF((((G11/C11)*M11)+((G12/C11)*M12))&lt;=0,0, (((G11/C11)*M11)+((G12/C11)*M12))*3.571428))</f>
        <v>0.45921308461502042</v>
      </c>
      <c r="P11" s="1460">
        <f>O11/3.571428</f>
        <v>0.1285796842649552</v>
      </c>
      <c r="Q11" s="773" t="s">
        <v>97</v>
      </c>
      <c r="R11" s="358" t="s">
        <v>364</v>
      </c>
      <c r="S11" s="100"/>
      <c r="V11" s="605" t="s">
        <v>109</v>
      </c>
      <c r="W11" s="606" t="e">
        <f>#REF!</f>
        <v>#REF!</v>
      </c>
      <c r="X11" s="607"/>
      <c r="Y11" s="607"/>
      <c r="Z11" s="608"/>
    </row>
    <row r="12" spans="1:27" ht="27" customHeight="1" thickBot="1" x14ac:dyDescent="0.5">
      <c r="A12" s="1451"/>
      <c r="B12" s="1463"/>
      <c r="C12" s="1465"/>
      <c r="D12" s="609" t="s">
        <v>112</v>
      </c>
      <c r="E12" s="610">
        <f>$C$11/2</f>
        <v>1.7857142857142858</v>
      </c>
      <c r="F12" s="611" t="s">
        <v>281</v>
      </c>
      <c r="G12" s="612">
        <f>E12/1</f>
        <v>1.7857142857142858</v>
      </c>
      <c r="H12" s="774">
        <v>3.5</v>
      </c>
      <c r="I12" s="775">
        <v>3.3</v>
      </c>
      <c r="J12" s="776">
        <f>I12-H12</f>
        <v>-0.20000000000000018</v>
      </c>
      <c r="K12" s="777">
        <f>(0.25*I12)*(6/10)</f>
        <v>0.49499999999999994</v>
      </c>
      <c r="L12" s="778">
        <f>I12-K12</f>
        <v>2.8049999999999997</v>
      </c>
      <c r="M12" s="793">
        <f>IF(K12&lt;&gt;0,J12/K12,"0%")</f>
        <v>-0.40404040404040442</v>
      </c>
      <c r="N12" s="1457"/>
      <c r="O12" s="1459"/>
      <c r="P12" s="1461"/>
      <c r="Q12" s="780" t="s">
        <v>98</v>
      </c>
      <c r="R12" s="359" t="s">
        <v>365</v>
      </c>
      <c r="S12" s="55"/>
      <c r="V12" s="613">
        <v>0.02</v>
      </c>
      <c r="W12" s="614" t="e">
        <f>(W11-(W11*V12))</f>
        <v>#REF!</v>
      </c>
      <c r="X12" s="614" t="e">
        <f>W11-(V12*W11)</f>
        <v>#REF!</v>
      </c>
      <c r="Y12" s="607"/>
      <c r="Z12" s="608"/>
    </row>
    <row r="13" spans="1:27" ht="32.450000000000003" customHeight="1" thickBot="1" x14ac:dyDescent="0.5">
      <c r="A13" s="1451">
        <v>2</v>
      </c>
      <c r="B13" s="1452" t="s">
        <v>6</v>
      </c>
      <c r="C13" s="1454">
        <f>M5</f>
        <v>3.5714285714285716</v>
      </c>
      <c r="D13" s="615" t="s">
        <v>273</v>
      </c>
      <c r="E13" s="616">
        <f>$C$13/2</f>
        <v>1.7857142857142858</v>
      </c>
      <c r="F13" s="617" t="s">
        <v>7</v>
      </c>
      <c r="G13" s="618">
        <f>E13/1</f>
        <v>1.7857142857142858</v>
      </c>
      <c r="H13" s="1186"/>
      <c r="I13" s="1187"/>
      <c r="J13" s="783">
        <f>IF(I13=H13,(5-H13),I13-H13)</f>
        <v>5</v>
      </c>
      <c r="K13" s="784">
        <f>IF(I13&lt;=5,0,((I13-5)*(6/10)))</f>
        <v>0</v>
      </c>
      <c r="L13" s="785">
        <f>I13-K13</f>
        <v>0</v>
      </c>
      <c r="M13" s="772" t="str">
        <f>IF(H13=0,"0%",J13/K13)</f>
        <v>0%</v>
      </c>
      <c r="N13" s="1456">
        <f>(((G13/C13)*M13)+((G14/C13)*M14))</f>
        <v>0.46052631578947406</v>
      </c>
      <c r="O13" s="1458">
        <f>IF((((G13/C13)*M13)+((G14/C13)*M14))&gt;=1,3.57148,IF((((G13/C13)*M13)+((G14/C13)*M14))&lt;=0,0, (((G13/C13)*M13)+((G14/C13)*M14))*3.571428))</f>
        <v>1.6447365789473698</v>
      </c>
      <c r="P13" s="1460">
        <f>O13/3.571428</f>
        <v>0.46052631578947406</v>
      </c>
      <c r="Q13" s="787" t="s">
        <v>99</v>
      </c>
      <c r="R13" s="360"/>
      <c r="S13" s="130" t="s">
        <v>463</v>
      </c>
      <c r="V13" s="613">
        <v>0.02</v>
      </c>
      <c r="W13" s="614" t="e">
        <f>(#REF!-(#REF!*V13))</f>
        <v>#REF!</v>
      </c>
      <c r="X13" s="614" t="e">
        <f>(W11-(V12*W11))-((W11-(V12*W11))*0.02)-(((W11-(V12*W11))-((W11-(V12*W11))*0.02))*0.02)-(((W11-(V12*W11))-((W11-(V12*W11))*0.02)-(((W11-(V12*W11))-((W11-(V12*W11))*0.02))*0.02))*0.02)</f>
        <v>#REF!</v>
      </c>
      <c r="Y13" s="619" t="e">
        <f>(W11-W14)/W11</f>
        <v>#REF!</v>
      </c>
      <c r="Z13" s="608"/>
    </row>
    <row r="14" spans="1:27" ht="33" customHeight="1" thickBot="1" x14ac:dyDescent="0.5">
      <c r="A14" s="1451"/>
      <c r="B14" s="1453"/>
      <c r="C14" s="1455"/>
      <c r="D14" s="609" t="s">
        <v>274</v>
      </c>
      <c r="E14" s="620">
        <f>$C$13/2</f>
        <v>1.7857142857142858</v>
      </c>
      <c r="F14" s="621" t="s">
        <v>8</v>
      </c>
      <c r="G14" s="622">
        <f>E14/1</f>
        <v>1.7857142857142858</v>
      </c>
      <c r="H14" s="788">
        <v>96.2</v>
      </c>
      <c r="I14" s="789">
        <v>92</v>
      </c>
      <c r="J14" s="790">
        <f>H14-I14</f>
        <v>4.2000000000000028</v>
      </c>
      <c r="K14" s="791">
        <f>(0.95*(100-I14))*6/10</f>
        <v>4.5599999999999996</v>
      </c>
      <c r="L14" s="792">
        <f>K14+I14</f>
        <v>96.56</v>
      </c>
      <c r="M14" s="779">
        <f>IF(K14&lt;&gt;0,J14/K14,"1%")</f>
        <v>0.92105263157894812</v>
      </c>
      <c r="N14" s="1457"/>
      <c r="O14" s="1459"/>
      <c r="P14" s="1461"/>
      <c r="Q14" s="794" t="s">
        <v>100</v>
      </c>
      <c r="R14" s="361" t="s">
        <v>366</v>
      </c>
      <c r="S14" s="373"/>
      <c r="V14" s="623">
        <v>0.02</v>
      </c>
      <c r="W14" s="624" t="e">
        <f>(#REF!-(#REF!*V14))</f>
        <v>#REF!</v>
      </c>
      <c r="X14" s="62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625" t="e">
        <f>W11-X14</f>
        <v>#REF!</v>
      </c>
      <c r="Z14" s="626"/>
    </row>
    <row r="15" spans="1:27" ht="22.25" customHeight="1" thickBot="1" x14ac:dyDescent="0.5">
      <c r="A15" s="1492">
        <v>3</v>
      </c>
      <c r="B15" s="1493" t="s">
        <v>9</v>
      </c>
      <c r="C15" s="1495">
        <f>M5</f>
        <v>3.5714285714285716</v>
      </c>
      <c r="D15" s="1493" t="s">
        <v>113</v>
      </c>
      <c r="E15" s="1495">
        <f>$C$15/1</f>
        <v>3.5714285714285716</v>
      </c>
      <c r="F15" s="627" t="s">
        <v>221</v>
      </c>
      <c r="G15" s="628">
        <f>$E$15/3</f>
        <v>1.1904761904761905</v>
      </c>
      <c r="H15" s="795">
        <v>99.9</v>
      </c>
      <c r="I15" s="796">
        <v>98</v>
      </c>
      <c r="J15" s="797">
        <f>H15-I15</f>
        <v>1.9000000000000057</v>
      </c>
      <c r="K15" s="798">
        <f>(0.5*I15)*6/10</f>
        <v>29.4</v>
      </c>
      <c r="L15" s="771">
        <f>I15+K15</f>
        <v>127.4</v>
      </c>
      <c r="M15" s="786">
        <f>IF(K15&lt;&gt;0,J15/K15,"0%")</f>
        <v>6.4625850340136251E-2</v>
      </c>
      <c r="N15" s="1497">
        <f>(((G15/C15)*M15)+((G16/C15)*M16)+((G17/C15)*M17))</f>
        <v>2.1541950113378748E-2</v>
      </c>
      <c r="O15" s="1484">
        <f>IF((((G15/C15)*M15)+((G16/C15)*M16)+((G17/C15)*M17))&gt;=1,3.571428,IF((((G15/C15)*M15)+((G16/C15)*M16)+((G17/C15)*M17))&lt;=0,0,(((G15/C15)*M15)+((G16/C15)*M16)+((G17/C15)*M17))*3.571428))</f>
        <v>7.6935523809524037E-2</v>
      </c>
      <c r="P15" s="1460">
        <f>O15/3.571428</f>
        <v>2.1541950113378748E-2</v>
      </c>
      <c r="Q15" s="799" t="s">
        <v>101</v>
      </c>
      <c r="R15" s="361" t="s">
        <v>366</v>
      </c>
      <c r="S15" s="106"/>
    </row>
    <row r="16" spans="1:27" ht="23.65" thickBot="1" x14ac:dyDescent="0.5">
      <c r="A16" s="1492"/>
      <c r="B16" s="1493"/>
      <c r="C16" s="1495"/>
      <c r="D16" s="1493"/>
      <c r="E16" s="1495"/>
      <c r="F16" s="629" t="s">
        <v>220</v>
      </c>
      <c r="G16" s="630">
        <f t="shared" ref="G16:G17" si="0">$E$15/3</f>
        <v>1.1904761904761905</v>
      </c>
      <c r="H16" s="1144"/>
      <c r="I16" s="1145"/>
      <c r="J16" s="802">
        <f>H16-I16</f>
        <v>0</v>
      </c>
      <c r="K16" s="803">
        <f>(0.5*I16)*6/10</f>
        <v>0</v>
      </c>
      <c r="L16" s="804">
        <f t="shared" ref="L16:L17" si="1">I16+K16</f>
        <v>0</v>
      </c>
      <c r="M16" s="805" t="str">
        <f>IF(K16&lt;&gt;0,J16/K16,"0%")</f>
        <v>0%</v>
      </c>
      <c r="N16" s="1498"/>
      <c r="O16" s="1482"/>
      <c r="P16" s="1485"/>
      <c r="Q16" s="806" t="s">
        <v>95</v>
      </c>
      <c r="R16" s="157"/>
      <c r="S16" s="130" t="s">
        <v>463</v>
      </c>
    </row>
    <row r="17" spans="1:19" ht="25.25" customHeight="1" thickBot="1" x14ac:dyDescent="0.5">
      <c r="A17" s="1492"/>
      <c r="B17" s="1494"/>
      <c r="C17" s="1496"/>
      <c r="D17" s="1494"/>
      <c r="E17" s="1496"/>
      <c r="F17" s="631" t="s">
        <v>10</v>
      </c>
      <c r="G17" s="632">
        <f t="shared" si="0"/>
        <v>1.1904761904761905</v>
      </c>
      <c r="H17" s="1141"/>
      <c r="I17" s="1142">
        <v>34</v>
      </c>
      <c r="J17" s="809">
        <f>H17-I17</f>
        <v>-34</v>
      </c>
      <c r="K17" s="810">
        <f>(0.5*I17)*6/10</f>
        <v>10.199999999999999</v>
      </c>
      <c r="L17" s="778">
        <f t="shared" si="1"/>
        <v>44.2</v>
      </c>
      <c r="M17" s="779" t="str">
        <f>IF(H17=0,"0%",J17/K17)</f>
        <v>0%</v>
      </c>
      <c r="N17" s="1499"/>
      <c r="O17" s="1483"/>
      <c r="P17" s="1485"/>
      <c r="Q17" s="811" t="s">
        <v>162</v>
      </c>
      <c r="R17" s="158" t="s">
        <v>366</v>
      </c>
      <c r="S17" s="231" t="s">
        <v>496</v>
      </c>
    </row>
    <row r="18" spans="1:19" ht="21.4" thickBot="1" x14ac:dyDescent="0.7">
      <c r="A18" s="14"/>
      <c r="B18" s="1486" t="s">
        <v>11</v>
      </c>
      <c r="C18" s="1487"/>
      <c r="D18" s="1487"/>
      <c r="E18" s="1487"/>
      <c r="F18" s="1488"/>
      <c r="G18" s="633"/>
      <c r="H18" s="1195"/>
      <c r="I18" s="1196"/>
      <c r="J18" s="813"/>
      <c r="K18" s="813"/>
      <c r="L18" s="813"/>
      <c r="M18" s="814"/>
      <c r="N18" s="760">
        <f>N19</f>
        <v>0.44501328568810727</v>
      </c>
      <c r="O18" s="761">
        <f>O19</f>
        <v>1.5893329088785055</v>
      </c>
      <c r="P18" s="762">
        <f>O18/3.571428</f>
        <v>0.44501328568810727</v>
      </c>
      <c r="Q18" s="813"/>
      <c r="R18" s="362"/>
      <c r="S18" s="15"/>
    </row>
    <row r="19" spans="1:19" ht="34.25" customHeight="1" thickBot="1" x14ac:dyDescent="0.5">
      <c r="A19" s="1451">
        <v>4</v>
      </c>
      <c r="B19" s="1469" t="s">
        <v>12</v>
      </c>
      <c r="C19" s="1473">
        <f>M5</f>
        <v>3.5714285714285716</v>
      </c>
      <c r="D19" s="635" t="s">
        <v>114</v>
      </c>
      <c r="E19" s="604">
        <f>$C$19/4</f>
        <v>0.8928571428571429</v>
      </c>
      <c r="F19" s="636" t="s">
        <v>222</v>
      </c>
      <c r="G19" s="628">
        <f>E19/1</f>
        <v>0.8928571428571429</v>
      </c>
      <c r="H19" s="1120"/>
      <c r="I19" s="1198">
        <v>93.2</v>
      </c>
      <c r="J19" s="815">
        <f>H19-I19</f>
        <v>-93.2</v>
      </c>
      <c r="K19" s="798">
        <f>(2*I19)*6/10</f>
        <v>111.84</v>
      </c>
      <c r="L19" s="816">
        <f t="shared" ref="L19:L22" si="2">K19+I19</f>
        <v>205.04000000000002</v>
      </c>
      <c r="M19" s="779" t="str">
        <f>IF(H19=0,"0%",J19/K19)</f>
        <v>0%</v>
      </c>
      <c r="N19" s="1477">
        <f>(((G19/C19)*M19)+((G20/C19)*M20)+((G21/C19)*M21)+((G22/C19)*M22))</f>
        <v>0.44501328568810727</v>
      </c>
      <c r="O19" s="1481">
        <f>IF((((G19/C19)*M19)+((G20/C19)*M20)+((G21/C19)*M21)+((G22/C19)*M22))&gt;=1,3.571428,IF((((G19/C19)*M19)+((G20/C19)*M20)+((G21/C19)*M21)+((G22/C19)*M22))&lt;=0,0,((((G19/C19)*M19)+((G20/C19)*M20)+((G21/C19)*M21)+((G22/C19)*M22))*3.571428)))</f>
        <v>1.5893329088785055</v>
      </c>
      <c r="P19" s="1460">
        <f>O19/3.571428</f>
        <v>0.44501328568810727</v>
      </c>
      <c r="Q19" s="817" t="s">
        <v>163</v>
      </c>
      <c r="R19" s="363" t="s">
        <v>326</v>
      </c>
      <c r="S19" s="231" t="s">
        <v>496</v>
      </c>
    </row>
    <row r="20" spans="1:19" ht="39" customHeight="1" thickBot="1" x14ac:dyDescent="0.5">
      <c r="A20" s="1451"/>
      <c r="B20" s="1470"/>
      <c r="C20" s="1474"/>
      <c r="D20" s="637" t="s">
        <v>152</v>
      </c>
      <c r="E20" s="638">
        <f>($C$19/4)</f>
        <v>0.8928571428571429</v>
      </c>
      <c r="F20" s="639" t="s">
        <v>265</v>
      </c>
      <c r="G20" s="630">
        <f>E20/1</f>
        <v>0.8928571428571429</v>
      </c>
      <c r="H20" s="1199">
        <v>100.3</v>
      </c>
      <c r="I20" s="1200">
        <v>106.8</v>
      </c>
      <c r="J20" s="820">
        <f t="shared" ref="J20:J24" si="3">H20-I20</f>
        <v>-6.5</v>
      </c>
      <c r="K20" s="803">
        <f>(100-I20)*(6/10)</f>
        <v>-4.0799999999999983</v>
      </c>
      <c r="L20" s="821">
        <f t="shared" si="2"/>
        <v>102.72</v>
      </c>
      <c r="M20" s="772">
        <f>IF(K20&lt;&gt;0,J20/K20,"0%")</f>
        <v>1.5931372549019613</v>
      </c>
      <c r="N20" s="1478"/>
      <c r="O20" s="1482"/>
      <c r="P20" s="1485"/>
      <c r="Q20" s="822" t="s">
        <v>164</v>
      </c>
      <c r="R20" s="363" t="s">
        <v>326</v>
      </c>
      <c r="S20" s="60"/>
    </row>
    <row r="21" spans="1:19" ht="56.45" customHeight="1" thickBot="1" x14ac:dyDescent="0.5">
      <c r="A21" s="1451"/>
      <c r="B21" s="1470"/>
      <c r="C21" s="1474"/>
      <c r="D21" s="637" t="s">
        <v>153</v>
      </c>
      <c r="E21" s="638">
        <f t="shared" ref="E21:E22" si="4">($C$19/4)</f>
        <v>0.8928571428571429</v>
      </c>
      <c r="F21" s="639" t="s">
        <v>155</v>
      </c>
      <c r="G21" s="630">
        <f>E21/1</f>
        <v>0.8928571428571429</v>
      </c>
      <c r="H21" s="1201"/>
      <c r="I21" s="1202"/>
      <c r="J21" s="820">
        <f t="shared" si="3"/>
        <v>0</v>
      </c>
      <c r="K21" s="803">
        <f>(0.3*I21)*6/10</f>
        <v>0</v>
      </c>
      <c r="L21" s="821">
        <f t="shared" si="2"/>
        <v>0</v>
      </c>
      <c r="M21" s="805" t="str">
        <f>IF(K21&lt;&gt;0,J21/K21,"0%")</f>
        <v>0%</v>
      </c>
      <c r="N21" s="1478"/>
      <c r="O21" s="1482"/>
      <c r="P21" s="1485"/>
      <c r="Q21" s="822" t="s">
        <v>165</v>
      </c>
      <c r="R21" s="363"/>
      <c r="S21" s="130" t="s">
        <v>463</v>
      </c>
    </row>
    <row r="22" spans="1:19" ht="36.6" customHeight="1" thickBot="1" x14ac:dyDescent="0.5">
      <c r="A22" s="1451"/>
      <c r="B22" s="1489"/>
      <c r="C22" s="1490"/>
      <c r="D22" s="621" t="s">
        <v>154</v>
      </c>
      <c r="E22" s="640">
        <f t="shared" si="4"/>
        <v>0.8928571428571429</v>
      </c>
      <c r="F22" s="641" t="s">
        <v>156</v>
      </c>
      <c r="G22" s="642">
        <f>E22/1</f>
        <v>0.8928571428571429</v>
      </c>
      <c r="H22" s="1203">
        <v>81</v>
      </c>
      <c r="I22" s="1204">
        <v>78.599999999999994</v>
      </c>
      <c r="J22" s="827">
        <f t="shared" si="3"/>
        <v>2.4000000000000057</v>
      </c>
      <c r="K22" s="810">
        <f>(100-I22)*(6/10)</f>
        <v>12.840000000000003</v>
      </c>
      <c r="L22" s="828">
        <f t="shared" si="2"/>
        <v>91.44</v>
      </c>
      <c r="M22" s="779">
        <f>IF(K22&lt;&gt;0,J22/K22,"100%")</f>
        <v>0.18691588785046767</v>
      </c>
      <c r="N22" s="1491"/>
      <c r="O22" s="1483"/>
      <c r="P22" s="1461"/>
      <c r="Q22" s="829" t="s">
        <v>95</v>
      </c>
      <c r="R22" s="364" t="s">
        <v>326</v>
      </c>
      <c r="S22" s="60"/>
    </row>
    <row r="23" spans="1:19" ht="20.45" customHeight="1" thickBot="1" x14ac:dyDescent="0.5">
      <c r="B23" s="1466" t="s">
        <v>13</v>
      </c>
      <c r="C23" s="1467"/>
      <c r="D23" s="1467"/>
      <c r="E23" s="1467"/>
      <c r="F23" s="1468"/>
      <c r="G23" s="633"/>
      <c r="H23" s="1195"/>
      <c r="I23" s="1196"/>
      <c r="J23" s="830"/>
      <c r="K23" s="831"/>
      <c r="L23" s="831"/>
      <c r="M23" s="832"/>
      <c r="N23" s="760">
        <f>N24</f>
        <v>-0.59138222005695495</v>
      </c>
      <c r="O23" s="761">
        <f>O24</f>
        <v>0</v>
      </c>
      <c r="P23" s="762">
        <f>O23/3.571428</f>
        <v>0</v>
      </c>
      <c r="Q23" s="813"/>
      <c r="R23" s="18"/>
      <c r="S23" s="16"/>
    </row>
    <row r="24" spans="1:19" ht="36" customHeight="1" thickBot="1" x14ac:dyDescent="0.5">
      <c r="A24" s="1451">
        <v>5</v>
      </c>
      <c r="B24" s="1469" t="s">
        <v>14</v>
      </c>
      <c r="C24" s="1473">
        <f>M5</f>
        <v>3.5714285714285716</v>
      </c>
      <c r="D24" s="635" t="s">
        <v>115</v>
      </c>
      <c r="E24" s="604">
        <f>$C$24/4</f>
        <v>0.8928571428571429</v>
      </c>
      <c r="F24" s="635" t="s">
        <v>280</v>
      </c>
      <c r="G24" s="604">
        <f>E24/1</f>
        <v>0.8928571428571429</v>
      </c>
      <c r="H24" s="795">
        <v>100</v>
      </c>
      <c r="I24" s="1198">
        <v>100</v>
      </c>
      <c r="J24" s="833">
        <f t="shared" si="3"/>
        <v>0</v>
      </c>
      <c r="K24" s="798">
        <f>(0.3*I24)*6/10</f>
        <v>18</v>
      </c>
      <c r="L24" s="816">
        <f>K24+I24</f>
        <v>118</v>
      </c>
      <c r="M24" s="772">
        <f t="shared" ref="M24:M31" si="5">IF(K24&lt;&gt;0,J24/K24,"0%")</f>
        <v>0</v>
      </c>
      <c r="N24" s="1477">
        <f>(((G24/C24)*M24)+((G25/C24)*M25)+ ((G26/C24)*M26)+((G27/C24)*M27)+((G28/C24)*M28)+((G29/C24)*M29)+((G30/C24)*M30)+((G31/C24)*M31))</f>
        <v>-0.59138222005695495</v>
      </c>
      <c r="O24" s="1481">
        <f>IF((((G24/C24)*M24)+((G25/C24)*M25)+ ((G26/C24)*M26)+((G27/C24)*M27)+((G28/C24)*M28)+((G29/C24)*M29)+((G30/C24)*M30)+((G31/C24)*M31))&gt;=1,3.571428,IF((((G24/C24)*M24)+((G25/C24)*M25)+ ((G26/C24)*M26)+((G27/C24)*M27)+((G28/C24)*M28)+((G29/C24)*M29)+((G30/C24)*M30)+((G31/C24)*M31))&lt;=0,0,((((G24/C24)*M24)+((G25/C24)*M25)+ ((G26/C24)*M26)+((G27/C24)*M27)+((G28/C24)*M28)+((G29/C24)*M29)+((G30/C24)*M30)+((G31/C24)*M31))*3.571428)))</f>
        <v>0</v>
      </c>
      <c r="P24" s="1460">
        <f>O24/3.571428</f>
        <v>0</v>
      </c>
      <c r="Q24" s="834" t="s">
        <v>166</v>
      </c>
      <c r="R24" s="159" t="s">
        <v>367</v>
      </c>
      <c r="S24" s="58"/>
    </row>
    <row r="25" spans="1:19" ht="19.8" customHeight="1" thickBot="1" x14ac:dyDescent="0.5">
      <c r="A25" s="1451"/>
      <c r="B25" s="1470"/>
      <c r="C25" s="1474"/>
      <c r="D25" s="1503" t="s">
        <v>158</v>
      </c>
      <c r="E25" s="1505">
        <v>0.9</v>
      </c>
      <c r="F25" s="637" t="s">
        <v>15</v>
      </c>
      <c r="G25" s="638">
        <f>$E$25/3</f>
        <v>0.3</v>
      </c>
      <c r="H25" s="1199">
        <v>121.2</v>
      </c>
      <c r="I25" s="1200">
        <v>63.9</v>
      </c>
      <c r="J25" s="837">
        <f t="shared" ref="J25:J30" si="6">I25-H25</f>
        <v>-57.300000000000004</v>
      </c>
      <c r="K25" s="803">
        <f>(0.5*I25)*6/10</f>
        <v>19.169999999999998</v>
      </c>
      <c r="L25" s="821">
        <f t="shared" ref="L25:L30" si="7">I25-K25</f>
        <v>44.730000000000004</v>
      </c>
      <c r="M25" s="805">
        <f t="shared" si="5"/>
        <v>-2.9890453834115811</v>
      </c>
      <c r="N25" s="1478"/>
      <c r="O25" s="1482"/>
      <c r="P25" s="1485"/>
      <c r="Q25" s="838" t="s">
        <v>167</v>
      </c>
      <c r="R25" s="159" t="s">
        <v>367</v>
      </c>
      <c r="S25" s="60"/>
    </row>
    <row r="26" spans="1:19" ht="19.8" customHeight="1" thickBot="1" x14ac:dyDescent="0.5">
      <c r="A26" s="1451"/>
      <c r="B26" s="1470"/>
      <c r="C26" s="1474"/>
      <c r="D26" s="1504"/>
      <c r="E26" s="1475"/>
      <c r="F26" s="637" t="s">
        <v>16</v>
      </c>
      <c r="G26" s="638">
        <f t="shared" ref="G26:G27" si="8">$E$25/3</f>
        <v>0.3</v>
      </c>
      <c r="H26" s="1199">
        <v>14.6</v>
      </c>
      <c r="I26" s="1200">
        <v>13.4</v>
      </c>
      <c r="J26" s="837">
        <f t="shared" si="6"/>
        <v>-1.1999999999999993</v>
      </c>
      <c r="K26" s="803">
        <f>(0.8*I26)*6/10</f>
        <v>6.4320000000000004</v>
      </c>
      <c r="L26" s="821">
        <f t="shared" si="7"/>
        <v>6.968</v>
      </c>
      <c r="M26" s="805">
        <f t="shared" si="5"/>
        <v>-0.18656716417910435</v>
      </c>
      <c r="N26" s="1478"/>
      <c r="O26" s="1482"/>
      <c r="P26" s="1485"/>
      <c r="Q26" s="838" t="s">
        <v>168</v>
      </c>
      <c r="R26" s="159" t="s">
        <v>367</v>
      </c>
      <c r="S26" s="60"/>
    </row>
    <row r="27" spans="1:19" ht="19.8" customHeight="1" thickBot="1" x14ac:dyDescent="0.5">
      <c r="A27" s="1451"/>
      <c r="B27" s="1470"/>
      <c r="C27" s="1474"/>
      <c r="D27" s="1504"/>
      <c r="E27" s="1475"/>
      <c r="F27" s="637" t="s">
        <v>17</v>
      </c>
      <c r="G27" s="638">
        <f t="shared" si="8"/>
        <v>0.3</v>
      </c>
      <c r="H27" s="1199">
        <v>20.6</v>
      </c>
      <c r="I27" s="1200">
        <v>19.8</v>
      </c>
      <c r="J27" s="837">
        <f t="shared" si="6"/>
        <v>-0.80000000000000071</v>
      </c>
      <c r="K27" s="803">
        <f>(0.5*I27)*(6/10)</f>
        <v>5.94</v>
      </c>
      <c r="L27" s="821">
        <f t="shared" si="7"/>
        <v>13.86</v>
      </c>
      <c r="M27" s="805">
        <f t="shared" si="5"/>
        <v>-0.13468013468013479</v>
      </c>
      <c r="N27" s="1478"/>
      <c r="O27" s="1482"/>
      <c r="P27" s="1485"/>
      <c r="Q27" s="838" t="s">
        <v>169</v>
      </c>
      <c r="R27" s="159" t="s">
        <v>367</v>
      </c>
      <c r="S27" s="60"/>
    </row>
    <row r="28" spans="1:19" ht="30.6" customHeight="1" thickBot="1" x14ac:dyDescent="0.5">
      <c r="A28" s="21"/>
      <c r="B28" s="1470"/>
      <c r="C28" s="1474"/>
      <c r="D28" s="1503" t="s">
        <v>116</v>
      </c>
      <c r="E28" s="1505">
        <f t="shared" ref="E28:E31" si="9">$C$24/4</f>
        <v>0.8928571428571429</v>
      </c>
      <c r="F28" s="637" t="s">
        <v>148</v>
      </c>
      <c r="G28" s="638">
        <f>$E$28/3</f>
        <v>0.29761904761904762</v>
      </c>
      <c r="H28" s="1199">
        <v>1.25</v>
      </c>
      <c r="I28" s="1200">
        <v>0.49</v>
      </c>
      <c r="J28" s="837">
        <f t="shared" si="6"/>
        <v>-0.76</v>
      </c>
      <c r="K28" s="803">
        <f>(0.5*I28)*(6/10)</f>
        <v>0.14699999999999999</v>
      </c>
      <c r="L28" s="821">
        <f t="shared" si="7"/>
        <v>0.34299999999999997</v>
      </c>
      <c r="M28" s="805">
        <f t="shared" si="5"/>
        <v>-5.1700680272108848</v>
      </c>
      <c r="N28" s="1479"/>
      <c r="O28" s="1482"/>
      <c r="P28" s="1485"/>
      <c r="Q28" s="838" t="s">
        <v>170</v>
      </c>
      <c r="R28" s="159" t="s">
        <v>367</v>
      </c>
      <c r="S28" s="60"/>
    </row>
    <row r="29" spans="1:19" ht="20.45" customHeight="1" thickBot="1" x14ac:dyDescent="0.5">
      <c r="A29" s="21"/>
      <c r="B29" s="1470"/>
      <c r="C29" s="1474"/>
      <c r="D29" s="1504"/>
      <c r="E29" s="1475"/>
      <c r="F29" s="637" t="s">
        <v>149</v>
      </c>
      <c r="G29" s="638">
        <f t="shared" ref="G29:G30" si="10">$E$28/3</f>
        <v>0.29761904761904762</v>
      </c>
      <c r="H29" s="1199">
        <v>15</v>
      </c>
      <c r="I29" s="1200">
        <v>26</v>
      </c>
      <c r="J29" s="837">
        <f t="shared" si="6"/>
        <v>11</v>
      </c>
      <c r="K29" s="803">
        <f>(0.5*I29)*(6/10)</f>
        <v>7.8</v>
      </c>
      <c r="L29" s="821">
        <f t="shared" si="7"/>
        <v>18.2</v>
      </c>
      <c r="M29" s="805">
        <f t="shared" si="5"/>
        <v>1.4102564102564104</v>
      </c>
      <c r="N29" s="1479"/>
      <c r="O29" s="1482"/>
      <c r="P29" s="1485"/>
      <c r="Q29" s="838" t="s">
        <v>171</v>
      </c>
      <c r="R29" s="159" t="s">
        <v>367</v>
      </c>
      <c r="S29" s="60"/>
    </row>
    <row r="30" spans="1:19" ht="20.45" customHeight="1" thickBot="1" x14ac:dyDescent="0.5">
      <c r="A30" s="21"/>
      <c r="B30" s="1471"/>
      <c r="C30" s="1475"/>
      <c r="D30" s="1504"/>
      <c r="E30" s="1475"/>
      <c r="F30" s="637" t="s">
        <v>150</v>
      </c>
      <c r="G30" s="638">
        <f t="shared" si="10"/>
        <v>0.29761904761904762</v>
      </c>
      <c r="H30" s="1199">
        <v>0</v>
      </c>
      <c r="I30" s="1200">
        <v>0</v>
      </c>
      <c r="J30" s="837">
        <f t="shared" si="6"/>
        <v>0</v>
      </c>
      <c r="K30" s="803">
        <f>(0.5*I30)*(6/10)</f>
        <v>0</v>
      </c>
      <c r="L30" s="821">
        <f t="shared" si="7"/>
        <v>0</v>
      </c>
      <c r="M30" s="805" t="str">
        <f t="shared" si="5"/>
        <v>0%</v>
      </c>
      <c r="N30" s="1479"/>
      <c r="O30" s="1482"/>
      <c r="P30" s="1485"/>
      <c r="Q30" s="838" t="s">
        <v>172</v>
      </c>
      <c r="R30" s="159" t="s">
        <v>367</v>
      </c>
      <c r="S30" s="60"/>
    </row>
    <row r="31" spans="1:19" ht="34.9" customHeight="1" thickBot="1" x14ac:dyDescent="0.5">
      <c r="A31" s="21"/>
      <c r="B31" s="1472"/>
      <c r="C31" s="1476"/>
      <c r="D31" s="643" t="s">
        <v>117</v>
      </c>
      <c r="E31" s="612">
        <f t="shared" si="9"/>
        <v>0.8928571428571429</v>
      </c>
      <c r="F31" s="644" t="s">
        <v>223</v>
      </c>
      <c r="G31" s="612">
        <f>E31/1</f>
        <v>0.8928571428571429</v>
      </c>
      <c r="H31" s="1239">
        <v>100</v>
      </c>
      <c r="I31" s="1204">
        <v>100</v>
      </c>
      <c r="J31" s="839">
        <f t="shared" ref="J31" si="11">H31-I31</f>
        <v>0</v>
      </c>
      <c r="K31" s="810">
        <f>(100-I31)*(6/10)</f>
        <v>0</v>
      </c>
      <c r="L31" s="828">
        <f>K31+I31</f>
        <v>100</v>
      </c>
      <c r="M31" s="793" t="str">
        <f t="shared" si="5"/>
        <v>0%</v>
      </c>
      <c r="N31" s="1480"/>
      <c r="O31" s="1483"/>
      <c r="P31" s="1461"/>
      <c r="Q31" s="840" t="s">
        <v>95</v>
      </c>
      <c r="R31" s="159" t="s">
        <v>367</v>
      </c>
      <c r="S31" s="55"/>
    </row>
    <row r="32" spans="1:19" ht="20.45" customHeight="1" thickBot="1" x14ac:dyDescent="0.5">
      <c r="B32" s="1506" t="s">
        <v>18</v>
      </c>
      <c r="C32" s="1507"/>
      <c r="D32" s="1507"/>
      <c r="E32" s="1507"/>
      <c r="F32" s="1508"/>
      <c r="G32" s="633"/>
      <c r="H32" s="1206"/>
      <c r="I32" s="1207"/>
      <c r="J32" s="843"/>
      <c r="K32" s="844"/>
      <c r="L32" s="845"/>
      <c r="M32" s="846"/>
      <c r="N32" s="760">
        <f>(N33+N34+N35+N36)/4</f>
        <v>-0.18381861330073926</v>
      </c>
      <c r="O32" s="761">
        <f>(O33+O34+O35+O36)</f>
        <v>0</v>
      </c>
      <c r="P32" s="762">
        <f>O32/14.285712</f>
        <v>0</v>
      </c>
      <c r="Q32" s="813"/>
      <c r="R32" s="365"/>
      <c r="S32" s="15"/>
    </row>
    <row r="33" spans="1:19" ht="33.6" customHeight="1" thickBot="1" x14ac:dyDescent="0.5">
      <c r="A33" s="21">
        <v>6</v>
      </c>
      <c r="B33" s="645" t="s">
        <v>19</v>
      </c>
      <c r="C33" s="646">
        <f>$M$5</f>
        <v>3.5714285714285716</v>
      </c>
      <c r="D33" s="647" t="s">
        <v>287</v>
      </c>
      <c r="E33" s="648">
        <f>C33/1</f>
        <v>3.5714285714285716</v>
      </c>
      <c r="F33" s="645" t="s">
        <v>288</v>
      </c>
      <c r="G33" s="646">
        <f>E33/1</f>
        <v>3.5714285714285716</v>
      </c>
      <c r="H33" s="1077">
        <v>4.33238871358592</v>
      </c>
      <c r="I33" s="1078">
        <v>6.0180762676386399</v>
      </c>
      <c r="J33" s="849">
        <f>IF(H33&lt;7,(H33-7),(H33-I33))</f>
        <v>-2.66761128641408</v>
      </c>
      <c r="K33" s="850">
        <f>IF((7-H33&gt;=0),(7-H33),0)</f>
        <v>2.66761128641408</v>
      </c>
      <c r="L33" s="851">
        <f>IF((I33&lt;7),7,I33)</f>
        <v>7</v>
      </c>
      <c r="M33" s="852">
        <f>IF(K33&lt;&gt;0,J33/7,(1+((H33-I33)/I33)))</f>
        <v>-0.38108732663058287</v>
      </c>
      <c r="N33" s="853">
        <f>((G33/C33)*M33)</f>
        <v>-0.38108732663058287</v>
      </c>
      <c r="O33" s="854">
        <f>IF(((G33/C33)*M33)&gt;=1,3.571428,IF(((G33/C33)*M33)&lt;=0,0,((G33/C33)*M33)*3.571428))</f>
        <v>0</v>
      </c>
      <c r="P33" s="762">
        <f>O33/3.571428</f>
        <v>0</v>
      </c>
      <c r="Q33" s="855" t="s">
        <v>97</v>
      </c>
      <c r="R33" s="147" t="s">
        <v>364</v>
      </c>
      <c r="S33" s="732"/>
    </row>
    <row r="34" spans="1:19" ht="51" customHeight="1" thickBot="1" x14ac:dyDescent="0.5">
      <c r="A34" s="21">
        <v>7</v>
      </c>
      <c r="B34" s="645" t="s">
        <v>20</v>
      </c>
      <c r="C34" s="646">
        <f t="shared" ref="C34:C36" si="12">$M$5</f>
        <v>3.5714285714285716</v>
      </c>
      <c r="D34" s="645" t="s">
        <v>118</v>
      </c>
      <c r="E34" s="648">
        <f t="shared" ref="E34:E36" si="13">C34/1</f>
        <v>3.5714285714285716</v>
      </c>
      <c r="F34" s="645" t="s">
        <v>21</v>
      </c>
      <c r="G34" s="646">
        <f>E34/1</f>
        <v>3.5714285714285716</v>
      </c>
      <c r="H34" s="1209">
        <v>6.1776640230144517</v>
      </c>
      <c r="I34" s="1210">
        <v>6.8960792918665774</v>
      </c>
      <c r="J34" s="858">
        <f>H34-I34</f>
        <v>-0.7184152688521257</v>
      </c>
      <c r="K34" s="859">
        <f>(0.5*I34)*(6/10)</f>
        <v>2.0688237875599733</v>
      </c>
      <c r="L34" s="860">
        <f>K34+I34</f>
        <v>8.9649030794265503</v>
      </c>
      <c r="M34" s="852">
        <f>IF(K34&lt;&gt;0,J34/K34,"0%")</f>
        <v>-0.34725783470396193</v>
      </c>
      <c r="N34" s="853">
        <f>((G34/C34)*M34)</f>
        <v>-0.34725783470396193</v>
      </c>
      <c r="O34" s="854">
        <f>IF(((G34/C34)*M34)&gt;=1,3.571428,IF(((G34/C34)*M34)&lt;=0,0,((G34/C34)*M34)*3.571428))</f>
        <v>0</v>
      </c>
      <c r="P34" s="762">
        <f t="shared" ref="P34:P36" si="14">O34/3.571428</f>
        <v>0</v>
      </c>
      <c r="Q34" s="855" t="s">
        <v>173</v>
      </c>
      <c r="R34" s="147" t="s">
        <v>364</v>
      </c>
      <c r="S34" s="733"/>
    </row>
    <row r="35" spans="1:19" ht="40.799999999999997" customHeight="1" thickBot="1" x14ac:dyDescent="0.5">
      <c r="A35" s="21">
        <v>8</v>
      </c>
      <c r="B35" s="645" t="s">
        <v>22</v>
      </c>
      <c r="C35" s="646">
        <f t="shared" si="12"/>
        <v>3.5714285714285716</v>
      </c>
      <c r="D35" s="645" t="s">
        <v>119</v>
      </c>
      <c r="E35" s="648">
        <f t="shared" si="13"/>
        <v>3.5714285714285716</v>
      </c>
      <c r="F35" s="645" t="s">
        <v>23</v>
      </c>
      <c r="G35" s="646">
        <f>E35/1</f>
        <v>3.5714285714285716</v>
      </c>
      <c r="H35" s="1157"/>
      <c r="I35" s="1154"/>
      <c r="J35" s="861">
        <f>H35-I35</f>
        <v>0</v>
      </c>
      <c r="K35" s="862">
        <f>IF((I35&gt;=1),0,((1-I35)*0.6))</f>
        <v>0.6</v>
      </c>
      <c r="L35" s="851">
        <f>I35+K35</f>
        <v>0.6</v>
      </c>
      <c r="M35" s="852">
        <f>IF(K35&lt;&gt;0,J35/K35,"0%")</f>
        <v>0</v>
      </c>
      <c r="N35" s="853">
        <f>((G35/C35)*M35)</f>
        <v>0</v>
      </c>
      <c r="O35" s="854">
        <f>IF(((G35/C35)*M35)&gt;=1,3.571428,IF(((G35/C35)*M35)&lt;=0,0,((G35/C35)*M35)*3.571428))</f>
        <v>0</v>
      </c>
      <c r="P35" s="762">
        <f t="shared" si="14"/>
        <v>0</v>
      </c>
      <c r="Q35" s="855" t="s">
        <v>174</v>
      </c>
      <c r="R35" s="103"/>
      <c r="S35" s="130" t="s">
        <v>463</v>
      </c>
    </row>
    <row r="36" spans="1:19" ht="32.450000000000003" customHeight="1" thickBot="1" x14ac:dyDescent="0.5">
      <c r="A36" s="21">
        <v>9</v>
      </c>
      <c r="B36" s="645" t="s">
        <v>24</v>
      </c>
      <c r="C36" s="646">
        <f t="shared" si="12"/>
        <v>3.5714285714285716</v>
      </c>
      <c r="D36" s="645" t="s">
        <v>275</v>
      </c>
      <c r="E36" s="648">
        <f t="shared" si="13"/>
        <v>3.5714285714285716</v>
      </c>
      <c r="F36" s="650" t="s">
        <v>25</v>
      </c>
      <c r="G36" s="646">
        <f>E36/1</f>
        <v>3.5714285714285716</v>
      </c>
      <c r="H36" s="1209">
        <v>25.584435862563598</v>
      </c>
      <c r="I36" s="1210">
        <v>25.691249160903599</v>
      </c>
      <c r="J36" s="865">
        <f>H36-I36</f>
        <v>-0.10681329834000053</v>
      </c>
      <c r="K36" s="866">
        <f>(1*I36)*(6/10)</f>
        <v>15.414749496542159</v>
      </c>
      <c r="L36" s="867">
        <f>I36+K36</f>
        <v>41.10599865744576</v>
      </c>
      <c r="M36" s="852">
        <f>IF(K36&lt;&gt;0,J36/K36,"0%")</f>
        <v>-6.9292918684121935E-3</v>
      </c>
      <c r="N36" s="853">
        <f>((G36/C36)*M36)</f>
        <v>-6.9292918684121935E-3</v>
      </c>
      <c r="O36" s="854">
        <f>IF(((G36/C36)*M36)&gt;=1,3.571428,IF(((G36/C36)*M36)&lt;=0,0,((G36/C36)*M36)*3.571428))</f>
        <v>0</v>
      </c>
      <c r="P36" s="762">
        <f t="shared" si="14"/>
        <v>0</v>
      </c>
      <c r="Q36" s="868" t="s">
        <v>175</v>
      </c>
      <c r="R36" s="102" t="s">
        <v>364</v>
      </c>
      <c r="S36" s="733"/>
    </row>
    <row r="37" spans="1:19" ht="30.6" customHeight="1" thickBot="1" x14ac:dyDescent="0.5">
      <c r="B37" s="1500" t="s">
        <v>26</v>
      </c>
      <c r="C37" s="1501"/>
      <c r="D37" s="1501"/>
      <c r="E37" s="1501"/>
      <c r="F37" s="1502"/>
      <c r="G37" s="651"/>
      <c r="H37" s="1211"/>
      <c r="I37" s="1212"/>
      <c r="J37" s="870"/>
      <c r="K37" s="871"/>
      <c r="L37" s="871"/>
      <c r="M37" s="872"/>
      <c r="N37" s="760">
        <f>N38</f>
        <v>0</v>
      </c>
      <c r="O37" s="761">
        <f>O38</f>
        <v>0</v>
      </c>
      <c r="P37" s="762">
        <f>O37/3.571428</f>
        <v>0</v>
      </c>
      <c r="Q37" s="873"/>
      <c r="R37" s="362"/>
      <c r="S37" s="15"/>
    </row>
    <row r="38" spans="1:19" ht="25.8" customHeight="1" thickBot="1" x14ac:dyDescent="0.5">
      <c r="A38" s="1451">
        <v>10</v>
      </c>
      <c r="B38" s="1469" t="s">
        <v>27</v>
      </c>
      <c r="C38" s="1473">
        <f>M5</f>
        <v>3.5714285714285716</v>
      </c>
      <c r="D38" s="627" t="s">
        <v>120</v>
      </c>
      <c r="E38" s="604">
        <f>$C$38/2</f>
        <v>1.7857142857142858</v>
      </c>
      <c r="F38" s="652" t="s">
        <v>224</v>
      </c>
      <c r="G38" s="604">
        <f>E38/1</f>
        <v>1.7857142857142858</v>
      </c>
      <c r="H38" s="1213"/>
      <c r="I38" s="1214"/>
      <c r="J38" s="876">
        <f>H38-I38</f>
        <v>0</v>
      </c>
      <c r="K38" s="877">
        <f>(1*I38)*(6/10)</f>
        <v>0</v>
      </c>
      <c r="L38" s="878">
        <f>I38+K38</f>
        <v>0</v>
      </c>
      <c r="M38" s="772" t="str">
        <f>IF(K38&lt;&gt;0,J38/K38,"0%")</f>
        <v>0%</v>
      </c>
      <c r="N38" s="1497">
        <f>(((G38/C38)*M38)+((G39/C38)*M39))</f>
        <v>0</v>
      </c>
      <c r="O38" s="1458">
        <f>IF((((G38/C38)*M38)+((G39/C38)*M39))&gt;=1,3.57148,IF((((G38/C38)*M38)+((G39/C38)*M39))&lt;=0,0, (((G38/C38)*M38)+((G39/C38)*M39))*3.571428))</f>
        <v>0</v>
      </c>
      <c r="P38" s="1460">
        <f>O38/3.571428</f>
        <v>0</v>
      </c>
      <c r="Q38" s="879" t="s">
        <v>176</v>
      </c>
      <c r="R38" s="67"/>
      <c r="S38" s="130" t="s">
        <v>463</v>
      </c>
    </row>
    <row r="39" spans="1:19" ht="35.25" thickBot="1" x14ac:dyDescent="0.5">
      <c r="A39" s="1451"/>
      <c r="B39" s="1470"/>
      <c r="C39" s="1474"/>
      <c r="D39" s="629" t="s">
        <v>157</v>
      </c>
      <c r="E39" s="612">
        <f>$C$38/2</f>
        <v>1.7857142857142858</v>
      </c>
      <c r="F39" s="653" t="s">
        <v>225</v>
      </c>
      <c r="G39" s="638">
        <f>E39/1</f>
        <v>1.7857142857142858</v>
      </c>
      <c r="H39" s="1139"/>
      <c r="I39" s="1140"/>
      <c r="J39" s="882">
        <f>H39-I39</f>
        <v>0</v>
      </c>
      <c r="K39" s="883">
        <f>IF(AND(I39&gt;=10,H39&gt;=I39),0,((10-H39)*(6/10)))</f>
        <v>6</v>
      </c>
      <c r="L39" s="884">
        <f>I39+K39</f>
        <v>6</v>
      </c>
      <c r="M39" s="779">
        <f>IF(K39&lt;&gt;0,J39/K39,"0%")</f>
        <v>0</v>
      </c>
      <c r="N39" s="1498"/>
      <c r="O39" s="1459"/>
      <c r="P39" s="1461"/>
      <c r="Q39" s="885" t="s">
        <v>95</v>
      </c>
      <c r="R39" s="110"/>
      <c r="S39" s="130" t="s">
        <v>463</v>
      </c>
    </row>
    <row r="40" spans="1:19" ht="20.45" customHeight="1" thickBot="1" x14ac:dyDescent="0.5">
      <c r="B40" s="1512" t="s">
        <v>28</v>
      </c>
      <c r="C40" s="1513"/>
      <c r="D40" s="1513"/>
      <c r="E40" s="1514"/>
      <c r="F40" s="1515"/>
      <c r="G40" s="651"/>
      <c r="H40" s="997"/>
      <c r="I40" s="1215"/>
      <c r="J40" s="887"/>
      <c r="K40" s="888"/>
      <c r="L40" s="888"/>
      <c r="M40" s="889"/>
      <c r="N40" s="760">
        <f>N41</f>
        <v>0</v>
      </c>
      <c r="O40" s="761">
        <f>O41</f>
        <v>0</v>
      </c>
      <c r="P40" s="762">
        <f>O40/3.571428</f>
        <v>0</v>
      </c>
      <c r="Q40" s="890"/>
      <c r="R40" s="18"/>
      <c r="S40" s="16"/>
    </row>
    <row r="41" spans="1:19" ht="35.25" thickBot="1" x14ac:dyDescent="0.5">
      <c r="A41" s="1451">
        <v>11</v>
      </c>
      <c r="B41" s="1516" t="s">
        <v>29</v>
      </c>
      <c r="C41" s="1518">
        <f>M5</f>
        <v>3.5714285714285716</v>
      </c>
      <c r="D41" s="654" t="s">
        <v>121</v>
      </c>
      <c r="E41" s="655">
        <f>$C$41/2</f>
        <v>1.7857142857142858</v>
      </c>
      <c r="F41" s="617" t="s">
        <v>30</v>
      </c>
      <c r="G41" s="656">
        <f>E41/1</f>
        <v>1.7857142857142858</v>
      </c>
      <c r="H41" s="1216"/>
      <c r="I41" s="1217"/>
      <c r="J41" s="893">
        <f>H41-I41</f>
        <v>0</v>
      </c>
      <c r="K41" s="894">
        <f>(0.5*I41)*(6/10)</f>
        <v>0</v>
      </c>
      <c r="L41" s="895">
        <f>I41+K41</f>
        <v>0</v>
      </c>
      <c r="M41" s="772" t="str">
        <f>IF(K41&lt;&gt;0,J41/K41,"0%")</f>
        <v>0%</v>
      </c>
      <c r="N41" s="1520">
        <f>(((G41/C41)*M41)+(G42/C41)*M42)</f>
        <v>0</v>
      </c>
      <c r="O41" s="1458">
        <f>IF((((G41/C41)*M41)+((G42/C41)*M42))&gt;=1,3.57148,IF((((G41/C41)*M41)+((G42/C41)*M42))&lt;=0,0, (((G41/C41)*M41)+((G42/C41)*M42))*3.571428))</f>
        <v>0</v>
      </c>
      <c r="P41" s="1460">
        <f>O41/3.571428</f>
        <v>0</v>
      </c>
      <c r="Q41" s="896" t="s">
        <v>177</v>
      </c>
      <c r="R41" s="148"/>
      <c r="S41" s="130" t="s">
        <v>463</v>
      </c>
    </row>
    <row r="42" spans="1:19" ht="23.65" thickBot="1" x14ac:dyDescent="0.5">
      <c r="A42" s="1451"/>
      <c r="B42" s="1517"/>
      <c r="C42" s="1519"/>
      <c r="D42" s="657" t="s">
        <v>122</v>
      </c>
      <c r="E42" s="640">
        <f>$C$41/2</f>
        <v>1.7857142857142858</v>
      </c>
      <c r="F42" s="621" t="s">
        <v>31</v>
      </c>
      <c r="G42" s="658">
        <f>E42/1</f>
        <v>1.7857142857142858</v>
      </c>
      <c r="H42" s="1218"/>
      <c r="I42" s="1219"/>
      <c r="J42" s="899">
        <f>H42-I42</f>
        <v>0</v>
      </c>
      <c r="K42" s="791">
        <f>(0.5*I42)*(6/10)</f>
        <v>0</v>
      </c>
      <c r="L42" s="900">
        <f>I42+K42</f>
        <v>0</v>
      </c>
      <c r="M42" s="779" t="str">
        <f>IF(K42&lt;&gt;0,J42/K42,"0%")</f>
        <v>0%</v>
      </c>
      <c r="N42" s="1520"/>
      <c r="O42" s="1459"/>
      <c r="P42" s="1461"/>
      <c r="Q42" s="896" t="s">
        <v>95</v>
      </c>
      <c r="R42" s="104"/>
      <c r="S42" s="130" t="s">
        <v>463</v>
      </c>
    </row>
    <row r="43" spans="1:19" ht="30.6" customHeight="1" thickBot="1" x14ac:dyDescent="0.5">
      <c r="B43" s="1486" t="s">
        <v>32</v>
      </c>
      <c r="C43" s="1487"/>
      <c r="D43" s="1487"/>
      <c r="E43" s="1487"/>
      <c r="F43" s="1488"/>
      <c r="G43" s="633"/>
      <c r="H43" s="991"/>
      <c r="I43" s="992"/>
      <c r="J43" s="902"/>
      <c r="K43" s="903"/>
      <c r="L43" s="903"/>
      <c r="M43" s="832"/>
      <c r="N43" s="760">
        <f>N44</f>
        <v>0</v>
      </c>
      <c r="O43" s="761">
        <f>O44</f>
        <v>0</v>
      </c>
      <c r="P43" s="762">
        <f>O43/3.571428</f>
        <v>0</v>
      </c>
      <c r="Q43" s="905"/>
      <c r="R43" s="18"/>
      <c r="S43" s="16"/>
    </row>
    <row r="44" spans="1:19" ht="37.799999999999997" customHeight="1" thickBot="1" x14ac:dyDescent="0.5">
      <c r="A44" s="1451">
        <v>12</v>
      </c>
      <c r="B44" s="1509" t="s">
        <v>33</v>
      </c>
      <c r="C44" s="1473">
        <f>M5</f>
        <v>3.5714285714285716</v>
      </c>
      <c r="D44" s="635" t="s">
        <v>123</v>
      </c>
      <c r="E44" s="660">
        <f>C44/2</f>
        <v>1.7857142857142858</v>
      </c>
      <c r="F44" s="635" t="s">
        <v>34</v>
      </c>
      <c r="G44" s="604">
        <f>$E$44/1</f>
        <v>1.7857142857142858</v>
      </c>
      <c r="H44" s="1120"/>
      <c r="I44" s="1112"/>
      <c r="J44" s="908">
        <f>IF(I44=H44,(H44-30),H44-I44)</f>
        <v>-30</v>
      </c>
      <c r="K44" s="798">
        <f>IF(I44&gt;=30,0,((30-I44)*(6/10)))</f>
        <v>18</v>
      </c>
      <c r="L44" s="909">
        <f>I44+K44</f>
        <v>18</v>
      </c>
      <c r="M44" s="1081" t="str">
        <f>IF(H44=0,"0%",J44/K44)</f>
        <v>0%</v>
      </c>
      <c r="N44" s="1497">
        <f>(((G44/C44)*M44)+((G45/C44)*M45))</f>
        <v>0</v>
      </c>
      <c r="O44" s="1458">
        <f>IF((((G44/C44)*M44)+((G45/C44)*M45))&gt;=1,3.57148,IF((((G44/C44)*M44)+((G45/C44)*M45))&lt;=0,0, (((G44/C44)*M44)+((G45/C44)*M45))*3.571428))</f>
        <v>0</v>
      </c>
      <c r="P44" s="1460">
        <f>O44/3.571428</f>
        <v>0</v>
      </c>
      <c r="Q44" s="799" t="s">
        <v>178</v>
      </c>
      <c r="R44" s="105"/>
      <c r="S44" s="130" t="s">
        <v>463</v>
      </c>
    </row>
    <row r="45" spans="1:19" ht="46.9" thickBot="1" x14ac:dyDescent="0.5">
      <c r="A45" s="1451"/>
      <c r="B45" s="1510"/>
      <c r="C45" s="1511"/>
      <c r="D45" s="643" t="s">
        <v>124</v>
      </c>
      <c r="E45" s="661">
        <f>(C44/2)</f>
        <v>1.7857142857142858</v>
      </c>
      <c r="F45" s="643" t="s">
        <v>35</v>
      </c>
      <c r="G45" s="612">
        <f>$E$45/1</f>
        <v>1.7857142857142858</v>
      </c>
      <c r="H45" s="1127"/>
      <c r="I45" s="911">
        <v>42</v>
      </c>
      <c r="J45" s="912">
        <f>IF(I45=H45,(H45-17),H45-I45)</f>
        <v>-42</v>
      </c>
      <c r="K45" s="913">
        <f>IF(I45&gt;=17,0,((17-I45)*(6/10)))</f>
        <v>0</v>
      </c>
      <c r="L45" s="914">
        <f>I45+K45</f>
        <v>42</v>
      </c>
      <c r="M45" s="915">
        <f>IF(I45&gt;=17,(1+(H45-17)/17),(H45/17))</f>
        <v>0</v>
      </c>
      <c r="N45" s="1499"/>
      <c r="O45" s="1459"/>
      <c r="P45" s="1461"/>
      <c r="Q45" s="811" t="s">
        <v>179</v>
      </c>
      <c r="R45" s="107" t="s">
        <v>326</v>
      </c>
      <c r="S45" s="231" t="s">
        <v>496</v>
      </c>
    </row>
    <row r="46" spans="1:19" ht="30.6" customHeight="1" thickBot="1" x14ac:dyDescent="0.5">
      <c r="B46" s="1525" t="s">
        <v>36</v>
      </c>
      <c r="C46" s="1526"/>
      <c r="D46" s="1526"/>
      <c r="E46" s="1526"/>
      <c r="F46" s="1527"/>
      <c r="G46" s="662"/>
      <c r="H46" s="916"/>
      <c r="I46" s="917"/>
      <c r="J46" s="918"/>
      <c r="K46" s="919"/>
      <c r="L46" s="919"/>
      <c r="M46" s="920"/>
      <c r="N46" s="760">
        <f>(N47+N50+N52)/3</f>
        <v>0.28260869565217395</v>
      </c>
      <c r="O46" s="761">
        <f>(O47+O50+O52)</f>
        <v>3.0279498260869571</v>
      </c>
      <c r="P46" s="762">
        <f>O46/10.714284</f>
        <v>0.282608695652174</v>
      </c>
      <c r="Q46" s="921"/>
      <c r="R46" s="366"/>
      <c r="S46" s="19"/>
    </row>
    <row r="47" spans="1:19" ht="20.45" customHeight="1" thickBot="1" x14ac:dyDescent="0.5">
      <c r="B47" s="1466" t="s">
        <v>37</v>
      </c>
      <c r="C47" s="1467"/>
      <c r="D47" s="1467"/>
      <c r="E47" s="1467"/>
      <c r="F47" s="1468"/>
      <c r="G47" s="663"/>
      <c r="H47" s="997"/>
      <c r="I47" s="1215"/>
      <c r="J47" s="922"/>
      <c r="K47" s="923"/>
      <c r="L47" s="923"/>
      <c r="M47" s="904"/>
      <c r="N47" s="760">
        <f>N48</f>
        <v>0</v>
      </c>
      <c r="O47" s="761">
        <f>O48</f>
        <v>0</v>
      </c>
      <c r="P47" s="762">
        <f>O47/3.571428</f>
        <v>0</v>
      </c>
      <c r="Q47" s="905"/>
      <c r="R47" s="18"/>
      <c r="S47" s="16"/>
    </row>
    <row r="48" spans="1:19" ht="37.799999999999997" customHeight="1" thickBot="1" x14ac:dyDescent="0.5">
      <c r="A48" s="1451">
        <v>13</v>
      </c>
      <c r="B48" s="1509" t="s">
        <v>38</v>
      </c>
      <c r="C48" s="1473">
        <f>M5</f>
        <v>3.5714285714285716</v>
      </c>
      <c r="D48" s="635" t="s">
        <v>125</v>
      </c>
      <c r="E48" s="604">
        <f>$C$48/2</f>
        <v>1.7857142857142858</v>
      </c>
      <c r="F48" s="664" t="s">
        <v>289</v>
      </c>
      <c r="G48" s="604">
        <f>E48/1</f>
        <v>1.7857142857142858</v>
      </c>
      <c r="H48" s="1120"/>
      <c r="I48" s="1112"/>
      <c r="J48" s="926">
        <f>H48-I48</f>
        <v>0</v>
      </c>
      <c r="K48" s="927">
        <f>(0.5*I48)* (6/10)</f>
        <v>0</v>
      </c>
      <c r="L48" s="928">
        <f>I48-K48</f>
        <v>0</v>
      </c>
      <c r="M48" s="786" t="str">
        <f>IF(K48&lt;&gt;0,J48/K48,"0%")</f>
        <v>0%</v>
      </c>
      <c r="N48" s="1528">
        <f>(((G48/C48)*M48)+((G49/C48)*M49))</f>
        <v>0</v>
      </c>
      <c r="O48" s="1458">
        <f>IF((((G48/C48)*M48)+((G49/C48)*M49))&gt;=1,3.57148,IF((((G48/C48)*M48)+((G49/C48)*M49))&lt;=0,0, (((G48/C48)*M48)+((G49/C48)*M49))*3.571428))</f>
        <v>0</v>
      </c>
      <c r="P48" s="1460">
        <f>O48/3.571428</f>
        <v>0</v>
      </c>
      <c r="Q48" s="834" t="s">
        <v>95</v>
      </c>
      <c r="R48" s="67"/>
      <c r="S48" s="130" t="s">
        <v>463</v>
      </c>
    </row>
    <row r="49" spans="1:19" ht="30.6" customHeight="1" thickBot="1" x14ac:dyDescent="0.5">
      <c r="A49" s="1451"/>
      <c r="B49" s="1510"/>
      <c r="C49" s="1511"/>
      <c r="D49" s="643" t="s">
        <v>126</v>
      </c>
      <c r="E49" s="612">
        <f>$C$48/2</f>
        <v>1.7857142857142858</v>
      </c>
      <c r="F49" s="643" t="s">
        <v>290</v>
      </c>
      <c r="G49" s="612">
        <f>E49/1</f>
        <v>1.7857142857142858</v>
      </c>
      <c r="H49" s="1247"/>
      <c r="I49" s="1248"/>
      <c r="J49" s="839">
        <f>H49-I49</f>
        <v>0</v>
      </c>
      <c r="K49" s="931">
        <f>(2*I49)*(6/10)</f>
        <v>0</v>
      </c>
      <c r="L49" s="932">
        <f>I49+K49</f>
        <v>0</v>
      </c>
      <c r="M49" s="779" t="str">
        <f>IF(K49&lt;&gt;0,J49/K49,"0%")</f>
        <v>0%</v>
      </c>
      <c r="N49" s="1529"/>
      <c r="O49" s="1459"/>
      <c r="P49" s="1461"/>
      <c r="Q49" s="840" t="s">
        <v>95</v>
      </c>
      <c r="R49" s="104"/>
      <c r="S49" s="130" t="s">
        <v>463</v>
      </c>
    </row>
    <row r="50" spans="1:19" ht="15" customHeight="1" thickBot="1" x14ac:dyDescent="0.5">
      <c r="B50" s="1486" t="s">
        <v>39</v>
      </c>
      <c r="C50" s="1487"/>
      <c r="D50" s="1487"/>
      <c r="E50" s="1487"/>
      <c r="F50" s="1488"/>
      <c r="G50" s="666"/>
      <c r="H50" s="1222"/>
      <c r="I50" s="1223"/>
      <c r="J50" s="934"/>
      <c r="K50" s="934"/>
      <c r="L50" s="934"/>
      <c r="M50" s="935"/>
      <c r="N50" s="760">
        <f>N51</f>
        <v>0.83333333333333337</v>
      </c>
      <c r="O50" s="761">
        <f>O51</f>
        <v>2.9761900000000003</v>
      </c>
      <c r="P50" s="762">
        <f>O50/3.571428</f>
        <v>0.83333333333333337</v>
      </c>
      <c r="Q50" s="936"/>
      <c r="R50" s="367"/>
      <c r="S50" s="17"/>
    </row>
    <row r="51" spans="1:19" ht="30.6" customHeight="1" thickBot="1" x14ac:dyDescent="0.5">
      <c r="A51" s="20">
        <v>14</v>
      </c>
      <c r="B51" s="667" t="s">
        <v>226</v>
      </c>
      <c r="C51" s="668">
        <f>M5</f>
        <v>3.5714285714285716</v>
      </c>
      <c r="D51" s="669" t="s">
        <v>272</v>
      </c>
      <c r="E51" s="670">
        <f>C51</f>
        <v>3.5714285714285716</v>
      </c>
      <c r="F51" s="671" t="s">
        <v>266</v>
      </c>
      <c r="G51" s="672">
        <f>E51/1</f>
        <v>3.5714285714285716</v>
      </c>
      <c r="H51" s="1224">
        <v>50</v>
      </c>
      <c r="I51" s="1225">
        <v>0</v>
      </c>
      <c r="J51" s="939">
        <f>H51-I51</f>
        <v>50</v>
      </c>
      <c r="K51" s="940">
        <f>(100-I51)*(6/10)</f>
        <v>60</v>
      </c>
      <c r="L51" s="941">
        <f>I51+K51</f>
        <v>60</v>
      </c>
      <c r="M51" s="793">
        <f>IF(K51&lt;&gt;0,J51/K51,"100%")</f>
        <v>0.83333333333333337</v>
      </c>
      <c r="N51" s="853">
        <f>((G51/C51)*M51)</f>
        <v>0.83333333333333337</v>
      </c>
      <c r="O51" s="854">
        <f>IF(((G51/C51)*M51)&gt;=1,3.571428,IF(((G51/C51)*M51)&lt;=0,0,((G51/C51)*M51)*3.571428))</f>
        <v>2.9761900000000003</v>
      </c>
      <c r="P51" s="762">
        <f>O51/3.571428</f>
        <v>0.83333333333333337</v>
      </c>
      <c r="Q51" s="942" t="s">
        <v>95</v>
      </c>
      <c r="R51" s="368"/>
      <c r="S51" s="375" t="s">
        <v>392</v>
      </c>
    </row>
    <row r="52" spans="1:19" ht="20.45" customHeight="1" thickBot="1" x14ac:dyDescent="0.5">
      <c r="B52" s="1486" t="s">
        <v>40</v>
      </c>
      <c r="C52" s="1487"/>
      <c r="D52" s="1487"/>
      <c r="E52" s="1487"/>
      <c r="F52" s="1488"/>
      <c r="G52" s="663"/>
      <c r="H52" s="997"/>
      <c r="I52" s="1215"/>
      <c r="J52" s="922"/>
      <c r="K52" s="923"/>
      <c r="L52" s="923"/>
      <c r="M52" s="832"/>
      <c r="N52" s="760">
        <f>N53</f>
        <v>1.449275362318842E-2</v>
      </c>
      <c r="O52" s="761">
        <f>O53</f>
        <v>5.1759826086956576E-2</v>
      </c>
      <c r="P52" s="762">
        <f>O52/3.571428</f>
        <v>1.4492753623188422E-2</v>
      </c>
      <c r="Q52" s="943"/>
      <c r="R52" s="367"/>
      <c r="S52" s="17"/>
    </row>
    <row r="53" spans="1:19" ht="43.8" customHeight="1" thickBot="1" x14ac:dyDescent="0.5">
      <c r="A53" s="1451">
        <v>15</v>
      </c>
      <c r="B53" s="1469" t="s">
        <v>108</v>
      </c>
      <c r="C53" s="1473">
        <f>M5</f>
        <v>3.5714285714285716</v>
      </c>
      <c r="D53" s="674" t="s">
        <v>127</v>
      </c>
      <c r="E53" s="675">
        <f>$C$53/5</f>
        <v>0.7142857142857143</v>
      </c>
      <c r="F53" s="676" t="s">
        <v>41</v>
      </c>
      <c r="G53" s="628">
        <f>E53/1</f>
        <v>0.7142857142857143</v>
      </c>
      <c r="H53" s="1249"/>
      <c r="I53" s="1250"/>
      <c r="J53" s="815">
        <f>H53-I53</f>
        <v>0</v>
      </c>
      <c r="K53" s="927">
        <f>(100-I53)*(6/10)</f>
        <v>60</v>
      </c>
      <c r="L53" s="878">
        <f t="shared" ref="L53:L58" si="15">I53+K53</f>
        <v>60</v>
      </c>
      <c r="M53" s="772">
        <f t="shared" ref="M53:M55" si="16">IF(K53&lt;&gt;0,J53/K53,"0%")</f>
        <v>0</v>
      </c>
      <c r="N53" s="1522">
        <f>(((G53/C53)*M53)+((G54/C53)*M54)+((G55/C53)*M55)+((G56/C53)*M56)+((G57/C53)*M57)+((G58/C53)*M58))</f>
        <v>1.449275362318842E-2</v>
      </c>
      <c r="O53" s="1533">
        <f>IF((((G53/C53)*M53)+((G54/C53)*M54)+((G55/C53)*M55)+((G56/C53)*M56)+((G57/C53)*M57)+((G58/C53)*M58))&gt;=1,3.571428,IF((((G53/C53)*M53)+((G54/C53)*M54)+((G55/C53)*M55)+((G56/C53)*M56)+((G57/C53)*M57)+((G58/C53)*M58))&lt;=0,0,((((G53/C53)*M53)+((G54/C53)*M54)+((G55/C53)*M55)+((G56/C53)*M56)+((G57/C53)*M57)+((G58/C53)*M58))*3.571428)))</f>
        <v>5.1759826086956576E-2</v>
      </c>
      <c r="P53" s="1460">
        <f>O53/3.571428</f>
        <v>1.4492753623188422E-2</v>
      </c>
      <c r="Q53" s="946" t="s">
        <v>95</v>
      </c>
      <c r="R53" s="369"/>
      <c r="S53" s="130" t="s">
        <v>463</v>
      </c>
    </row>
    <row r="54" spans="1:19" ht="35.450000000000003" customHeight="1" thickBot="1" x14ac:dyDescent="0.5">
      <c r="A54" s="1451"/>
      <c r="B54" s="1470"/>
      <c r="C54" s="1474"/>
      <c r="D54" s="679" t="s">
        <v>128</v>
      </c>
      <c r="E54" s="680">
        <f t="shared" ref="E54:E57" si="17">$C$53/5</f>
        <v>0.7142857142857143</v>
      </c>
      <c r="F54" s="681" t="s">
        <v>42</v>
      </c>
      <c r="G54" s="630">
        <f>E54/1</f>
        <v>0.7142857142857143</v>
      </c>
      <c r="H54" s="1199"/>
      <c r="I54" s="1200"/>
      <c r="J54" s="820">
        <f>H54-I54</f>
        <v>0</v>
      </c>
      <c r="K54" s="883">
        <f>(100-I54)*(6/6)</f>
        <v>100</v>
      </c>
      <c r="L54" s="884">
        <f>I54+K54</f>
        <v>100</v>
      </c>
      <c r="M54" s="805">
        <f t="shared" si="16"/>
        <v>0</v>
      </c>
      <c r="N54" s="1523"/>
      <c r="O54" s="1482"/>
      <c r="P54" s="1485"/>
      <c r="Q54" s="949" t="s">
        <v>95</v>
      </c>
      <c r="R54" s="370"/>
      <c r="S54" s="130" t="s">
        <v>463</v>
      </c>
    </row>
    <row r="55" spans="1:19" ht="34.25" customHeight="1" thickBot="1" x14ac:dyDescent="0.5">
      <c r="A55" s="1451"/>
      <c r="B55" s="1470"/>
      <c r="C55" s="1474"/>
      <c r="D55" s="679" t="s">
        <v>129</v>
      </c>
      <c r="E55" s="680">
        <f t="shared" si="17"/>
        <v>0.7142857142857143</v>
      </c>
      <c r="F55" s="681" t="s">
        <v>43</v>
      </c>
      <c r="G55" s="630">
        <f>E55/1</f>
        <v>0.7142857142857143</v>
      </c>
      <c r="H55" s="1199"/>
      <c r="I55" s="1200"/>
      <c r="J55" s="820">
        <f>H55-I55</f>
        <v>0</v>
      </c>
      <c r="K55" s="883">
        <f>(100-I55)*(6/10)</f>
        <v>60</v>
      </c>
      <c r="L55" s="884">
        <f t="shared" si="15"/>
        <v>60</v>
      </c>
      <c r="M55" s="805">
        <f t="shared" si="16"/>
        <v>0</v>
      </c>
      <c r="N55" s="1523"/>
      <c r="O55" s="1482"/>
      <c r="P55" s="1485"/>
      <c r="Q55" s="949" t="s">
        <v>95</v>
      </c>
      <c r="R55" s="370"/>
      <c r="S55" s="130" t="s">
        <v>463</v>
      </c>
    </row>
    <row r="56" spans="1:19" ht="37.25" customHeight="1" thickBot="1" x14ac:dyDescent="0.5">
      <c r="A56" s="1451"/>
      <c r="B56" s="1470"/>
      <c r="C56" s="1474"/>
      <c r="D56" s="679" t="s">
        <v>130</v>
      </c>
      <c r="E56" s="680">
        <f t="shared" si="17"/>
        <v>0.7142857142857143</v>
      </c>
      <c r="F56" s="681" t="s">
        <v>44</v>
      </c>
      <c r="G56" s="630">
        <f>E56/1</f>
        <v>0.7142857142857143</v>
      </c>
      <c r="H56" s="1199"/>
      <c r="I56" s="1200"/>
      <c r="J56" s="820">
        <f>H56-I56</f>
        <v>0</v>
      </c>
      <c r="K56" s="953">
        <f>(0.5*I56)*(6/7)</f>
        <v>0</v>
      </c>
      <c r="L56" s="884">
        <f t="shared" si="15"/>
        <v>0</v>
      </c>
      <c r="M56" s="805" t="str">
        <f>IF(K56&lt;&gt;0,J56/K56,"0%")</f>
        <v>0%</v>
      </c>
      <c r="N56" s="1523"/>
      <c r="O56" s="1482"/>
      <c r="P56" s="1485"/>
      <c r="Q56" s="949" t="s">
        <v>101</v>
      </c>
      <c r="R56" s="370"/>
      <c r="S56" s="130" t="s">
        <v>463</v>
      </c>
    </row>
    <row r="57" spans="1:19" ht="22.8" customHeight="1" thickBot="1" x14ac:dyDescent="0.5">
      <c r="A57" s="1451"/>
      <c r="B57" s="1470"/>
      <c r="C57" s="1474"/>
      <c r="D57" s="1535" t="s">
        <v>131</v>
      </c>
      <c r="E57" s="1537">
        <f t="shared" si="17"/>
        <v>0.7142857142857143</v>
      </c>
      <c r="F57" s="681" t="s">
        <v>45</v>
      </c>
      <c r="G57" s="630">
        <f>$E$57/2</f>
        <v>0.35714285714285715</v>
      </c>
      <c r="H57" s="1251"/>
      <c r="I57" s="1200">
        <v>94</v>
      </c>
      <c r="J57" s="820">
        <f t="shared" ref="J57:J58" si="18">H57-I57</f>
        <v>-94</v>
      </c>
      <c r="K57" s="955">
        <f>(1*I57)*(6/10)</f>
        <v>56.4</v>
      </c>
      <c r="L57" s="884">
        <f t="shared" si="15"/>
        <v>150.4</v>
      </c>
      <c r="M57" s="805" t="str">
        <f>IF(H57=0,"0%",J57/K57)</f>
        <v>0%</v>
      </c>
      <c r="N57" s="1523"/>
      <c r="O57" s="1482"/>
      <c r="P57" s="1485"/>
      <c r="Q57" s="949" t="s">
        <v>180</v>
      </c>
      <c r="R57" s="370" t="s">
        <v>366</v>
      </c>
      <c r="S57" s="231" t="s">
        <v>496</v>
      </c>
    </row>
    <row r="58" spans="1:19" ht="15" customHeight="1" thickBot="1" x14ac:dyDescent="0.5">
      <c r="A58" s="1451"/>
      <c r="B58" s="1521"/>
      <c r="C58" s="1511"/>
      <c r="D58" s="1536"/>
      <c r="E58" s="1538"/>
      <c r="F58" s="611" t="s">
        <v>46</v>
      </c>
      <c r="G58" s="632">
        <f>$E$57/2</f>
        <v>0.35714285714285715</v>
      </c>
      <c r="H58" s="1203">
        <v>5</v>
      </c>
      <c r="I58" s="1204">
        <v>4.5999999999999996</v>
      </c>
      <c r="J58" s="827">
        <f t="shared" si="18"/>
        <v>0.40000000000000036</v>
      </c>
      <c r="K58" s="931">
        <f>(1*I58)*(6/10)</f>
        <v>2.76</v>
      </c>
      <c r="L58" s="956">
        <f t="shared" si="15"/>
        <v>7.3599999999999994</v>
      </c>
      <c r="M58" s="779">
        <f>IF(K58&lt;&gt;0,J58/K58,"0%")</f>
        <v>0.1449275362318842</v>
      </c>
      <c r="N58" s="1524"/>
      <c r="O58" s="1483"/>
      <c r="P58" s="1461"/>
      <c r="Q58" s="957" t="s">
        <v>95</v>
      </c>
      <c r="R58" s="107" t="s">
        <v>364</v>
      </c>
      <c r="S58" s="108"/>
    </row>
    <row r="59" spans="1:19" ht="23.45" customHeight="1" thickBot="1" x14ac:dyDescent="0.5">
      <c r="B59" s="1525" t="s">
        <v>47</v>
      </c>
      <c r="C59" s="1526"/>
      <c r="D59" s="1526"/>
      <c r="E59" s="1526"/>
      <c r="F59" s="1527"/>
      <c r="G59" s="686"/>
      <c r="H59" s="1231"/>
      <c r="I59" s="1232"/>
      <c r="J59" s="959"/>
      <c r="K59" s="959"/>
      <c r="L59" s="959"/>
      <c r="M59" s="920"/>
      <c r="N59" s="760">
        <f>(N60+N67)/2</f>
        <v>4.1666666666666664E-2</v>
      </c>
      <c r="O59" s="761">
        <f>(O60+O67)</f>
        <v>0.29761899999999997</v>
      </c>
      <c r="P59" s="762">
        <f>O59/7.142856</f>
        <v>4.1666666666666664E-2</v>
      </c>
      <c r="Q59" s="960"/>
      <c r="R59" s="371"/>
      <c r="S59" s="149"/>
    </row>
    <row r="60" spans="1:19" ht="22.25" customHeight="1" thickBot="1" x14ac:dyDescent="0.5">
      <c r="B60" s="1486" t="s">
        <v>48</v>
      </c>
      <c r="C60" s="1487"/>
      <c r="D60" s="1487"/>
      <c r="E60" s="1487"/>
      <c r="F60" s="1488"/>
      <c r="G60" s="633"/>
      <c r="H60" s="991"/>
      <c r="I60" s="992"/>
      <c r="J60" s="830"/>
      <c r="K60" s="831"/>
      <c r="L60" s="831"/>
      <c r="M60" s="832"/>
      <c r="N60" s="760">
        <f>N61</f>
        <v>8.3333333333333329E-2</v>
      </c>
      <c r="O60" s="761">
        <f>O61</f>
        <v>0.29761899999999997</v>
      </c>
      <c r="P60" s="762">
        <f>O60/3.571428</f>
        <v>8.3333333333333329E-2</v>
      </c>
      <c r="Q60" s="813"/>
      <c r="R60" s="18"/>
      <c r="S60" s="16"/>
    </row>
    <row r="61" spans="1:19" ht="39" customHeight="1" thickBot="1" x14ac:dyDescent="0.5">
      <c r="A61" s="1451">
        <v>16</v>
      </c>
      <c r="B61" s="1469" t="s">
        <v>49</v>
      </c>
      <c r="C61" s="1473">
        <f>M5</f>
        <v>3.5714285714285716</v>
      </c>
      <c r="D61" s="635" t="s">
        <v>133</v>
      </c>
      <c r="E61" s="604">
        <f>$C$61/4</f>
        <v>0.8928571428571429</v>
      </c>
      <c r="F61" s="635" t="s">
        <v>50</v>
      </c>
      <c r="G61" s="628">
        <f>E61/1</f>
        <v>0.8928571428571429</v>
      </c>
      <c r="H61" s="1111"/>
      <c r="I61" s="1143"/>
      <c r="J61" s="908">
        <f>IF(I61=H61,(H61-70),H61-I61)</f>
        <v>-70</v>
      </c>
      <c r="K61" s="798">
        <f>IF(I61&gt;=70,0,((70-I61)*(6/10)))</f>
        <v>42</v>
      </c>
      <c r="L61" s="964">
        <f t="shared" ref="L61:L66" si="19">I61+K61</f>
        <v>42</v>
      </c>
      <c r="M61" s="772" t="str">
        <f>IF(H61=0,"0%",J61/K61)</f>
        <v>0%</v>
      </c>
      <c r="N61" s="1530">
        <f>(((G61/C61)*M61)+((G62/C61)*M62)+((G63/C61)*M63)+((G64/C61)*M64)+((G65/C61)*M65)+((G66/C61)*M66))</f>
        <v>8.3333333333333329E-2</v>
      </c>
      <c r="O61" s="1533">
        <f>IF((((G61/C61)*M61)+((G62/C61)*M62)+((G63/C61)*M63)+((G64/C61)*M64)+((G65/C61)*M65)+((G66/C61)*M66))&gt;=1,3.571428,IF((((G61/C61)*M61)+((G62/C61)*M62)+((G63/C61)*M63)+((G64/C61)*M64)+((G65/C61)*M65)+((G66/C61)*M66))&lt;=0,0,((((G61/C61)*M61)+((G62/C61)*M62)+((G63/C61)*M63)+((G64/C61)*M64)+((G65/C61)*M65)+((G66/C61)*M66))*3.571428)))</f>
        <v>0.29761899999999997</v>
      </c>
      <c r="P61" s="1460">
        <f>O61/3.571428</f>
        <v>8.3333333333333329E-2</v>
      </c>
      <c r="Q61" s="879" t="s">
        <v>181</v>
      </c>
      <c r="R61" s="67"/>
      <c r="S61" s="130" t="s">
        <v>463</v>
      </c>
    </row>
    <row r="62" spans="1:19" ht="58.25" customHeight="1" thickBot="1" x14ac:dyDescent="0.5">
      <c r="A62" s="1451"/>
      <c r="B62" s="1470"/>
      <c r="C62" s="1474"/>
      <c r="D62" s="637" t="s">
        <v>134</v>
      </c>
      <c r="E62" s="638">
        <f t="shared" ref="E62:E63" si="20">$C$61/4</f>
        <v>0.8928571428571429</v>
      </c>
      <c r="F62" s="679" t="s">
        <v>276</v>
      </c>
      <c r="G62" s="630">
        <f>$E$62/1</f>
        <v>0.8928571428571429</v>
      </c>
      <c r="H62" s="1139"/>
      <c r="I62" s="1140"/>
      <c r="J62" s="965">
        <f>IF(I62=H62,(H62-70),H62-I62)</f>
        <v>-70</v>
      </c>
      <c r="K62" s="803">
        <f t="shared" ref="K62:K63" si="21">IF(I62&gt;=70,0,((70-I62)*(6/10)))</f>
        <v>42</v>
      </c>
      <c r="L62" s="966">
        <f t="shared" si="19"/>
        <v>42</v>
      </c>
      <c r="M62" s="805" t="str">
        <f>IF(H62=0,"0%",J62/K62)</f>
        <v>0%</v>
      </c>
      <c r="N62" s="1531"/>
      <c r="O62" s="1482"/>
      <c r="P62" s="1485"/>
      <c r="Q62" s="885" t="s">
        <v>182</v>
      </c>
      <c r="R62" s="110"/>
      <c r="S62" s="130" t="s">
        <v>463</v>
      </c>
    </row>
    <row r="63" spans="1:19" ht="26.45" customHeight="1" thickBot="1" x14ac:dyDescent="0.5">
      <c r="A63" s="1451"/>
      <c r="B63" s="1470"/>
      <c r="C63" s="1474"/>
      <c r="D63" s="637" t="s">
        <v>135</v>
      </c>
      <c r="E63" s="638">
        <f t="shared" si="20"/>
        <v>0.8928571428571429</v>
      </c>
      <c r="F63" s="637" t="s">
        <v>51</v>
      </c>
      <c r="G63" s="630">
        <f>E63/1</f>
        <v>0.8928571428571429</v>
      </c>
      <c r="H63" s="1144"/>
      <c r="I63" s="1145"/>
      <c r="J63" s="965">
        <f>IF(I63=H63,(H63-70),H63-I63)</f>
        <v>-70</v>
      </c>
      <c r="K63" s="803">
        <f t="shared" si="21"/>
        <v>42</v>
      </c>
      <c r="L63" s="966">
        <f t="shared" si="19"/>
        <v>42</v>
      </c>
      <c r="M63" s="805" t="str">
        <f>IF(H63=0,"0%",J63/K63)</f>
        <v>0%</v>
      </c>
      <c r="N63" s="1531"/>
      <c r="O63" s="1482"/>
      <c r="P63" s="1485"/>
      <c r="Q63" s="885" t="s">
        <v>95</v>
      </c>
      <c r="R63" s="110"/>
      <c r="S63" s="130" t="s">
        <v>463</v>
      </c>
    </row>
    <row r="64" spans="1:19" ht="15" customHeight="1" thickBot="1" x14ac:dyDescent="0.5">
      <c r="A64" s="1451"/>
      <c r="B64" s="1470"/>
      <c r="C64" s="1474"/>
      <c r="D64" s="1503" t="s">
        <v>136</v>
      </c>
      <c r="E64" s="1505">
        <f>$C$61/4</f>
        <v>0.8928571428571429</v>
      </c>
      <c r="F64" s="687" t="s">
        <v>52</v>
      </c>
      <c r="G64" s="688">
        <f>$E$64/3</f>
        <v>0.29761904761904762</v>
      </c>
      <c r="H64" s="1233">
        <v>100</v>
      </c>
      <c r="I64" s="1234">
        <v>100</v>
      </c>
      <c r="J64" s="969">
        <f t="shared" ref="J64:J66" si="22">H64-I64</f>
        <v>0</v>
      </c>
      <c r="K64" s="970">
        <f>(100-I64)*(6/10)</f>
        <v>0</v>
      </c>
      <c r="L64" s="966">
        <f t="shared" si="19"/>
        <v>100</v>
      </c>
      <c r="M64" s="805" t="str">
        <f t="shared" ref="M64:M66" si="23">IF(K64&lt;&gt;0,J64/K64,"100%")</f>
        <v>100%</v>
      </c>
      <c r="N64" s="1531"/>
      <c r="O64" s="1482"/>
      <c r="P64" s="1485"/>
      <c r="Q64" s="885" t="s">
        <v>95</v>
      </c>
      <c r="R64" s="109"/>
      <c r="S64" s="377" t="s">
        <v>394</v>
      </c>
    </row>
    <row r="65" spans="1:19" ht="23.65" thickBot="1" x14ac:dyDescent="0.5">
      <c r="A65" s="1451"/>
      <c r="B65" s="1470"/>
      <c r="C65" s="1474"/>
      <c r="D65" s="1503"/>
      <c r="E65" s="1505"/>
      <c r="F65" s="687" t="s">
        <v>53</v>
      </c>
      <c r="G65" s="688">
        <f t="shared" ref="G65:G66" si="24">$E$64/3</f>
        <v>0.29761904761904762</v>
      </c>
      <c r="H65" s="1233">
        <v>0</v>
      </c>
      <c r="I65" s="1234">
        <v>0</v>
      </c>
      <c r="J65" s="969">
        <f t="shared" si="22"/>
        <v>0</v>
      </c>
      <c r="K65" s="970">
        <f>(100-I65)*(6/10)</f>
        <v>60</v>
      </c>
      <c r="L65" s="966">
        <f t="shared" si="19"/>
        <v>60</v>
      </c>
      <c r="M65" s="805">
        <f t="shared" si="23"/>
        <v>0</v>
      </c>
      <c r="N65" s="1531"/>
      <c r="O65" s="1482"/>
      <c r="P65" s="1485"/>
      <c r="Q65" s="885" t="s">
        <v>95</v>
      </c>
      <c r="R65" s="110"/>
      <c r="S65" s="377" t="s">
        <v>394</v>
      </c>
    </row>
    <row r="66" spans="1:19" ht="27.6" customHeight="1" thickBot="1" x14ac:dyDescent="0.5">
      <c r="A66" s="1451"/>
      <c r="B66" s="1521"/>
      <c r="C66" s="1511"/>
      <c r="D66" s="1510"/>
      <c r="E66" s="1534"/>
      <c r="F66" s="689" t="s">
        <v>54</v>
      </c>
      <c r="G66" s="690">
        <f t="shared" si="24"/>
        <v>0.29761904761904762</v>
      </c>
      <c r="H66" s="1141">
        <v>0</v>
      </c>
      <c r="I66" s="1142">
        <v>0</v>
      </c>
      <c r="J66" s="973">
        <f t="shared" si="22"/>
        <v>0</v>
      </c>
      <c r="K66" s="974">
        <f>(100-I66)*(6/10)</f>
        <v>60</v>
      </c>
      <c r="L66" s="975">
        <f t="shared" si="19"/>
        <v>60</v>
      </c>
      <c r="M66" s="779">
        <f t="shared" si="23"/>
        <v>0</v>
      </c>
      <c r="N66" s="1532"/>
      <c r="O66" s="1483"/>
      <c r="P66" s="1461"/>
      <c r="Q66" s="976" t="s">
        <v>95</v>
      </c>
      <c r="R66" s="104"/>
      <c r="S66" s="419" t="s">
        <v>497</v>
      </c>
    </row>
    <row r="67" spans="1:19" ht="27" customHeight="1" thickBot="1" x14ac:dyDescent="0.5">
      <c r="B67" s="1466" t="s">
        <v>55</v>
      </c>
      <c r="C67" s="1467"/>
      <c r="D67" s="1467"/>
      <c r="E67" s="1467"/>
      <c r="F67" s="1468"/>
      <c r="G67" s="659"/>
      <c r="H67" s="991"/>
      <c r="I67" s="992"/>
      <c r="J67" s="902"/>
      <c r="K67" s="903"/>
      <c r="L67" s="903"/>
      <c r="M67" s="993"/>
      <c r="N67" s="760">
        <f>N68</f>
        <v>0</v>
      </c>
      <c r="O67" s="761">
        <f>O68</f>
        <v>0</v>
      </c>
      <c r="P67" s="762">
        <f>O67/3.571428</f>
        <v>0</v>
      </c>
      <c r="Q67" s="978"/>
      <c r="R67" s="96"/>
      <c r="S67" s="17"/>
    </row>
    <row r="68" spans="1:19" ht="58.5" thickBot="1" x14ac:dyDescent="0.5">
      <c r="A68" s="21">
        <v>17</v>
      </c>
      <c r="B68" s="691" t="s">
        <v>56</v>
      </c>
      <c r="C68" s="692">
        <f>M5</f>
        <v>3.5714285714285716</v>
      </c>
      <c r="D68" s="691" t="s">
        <v>137</v>
      </c>
      <c r="E68" s="692">
        <f>C68</f>
        <v>3.5714285714285716</v>
      </c>
      <c r="F68" s="691" t="s">
        <v>57</v>
      </c>
      <c r="G68" s="693">
        <f>E68/1</f>
        <v>3.5714285714285716</v>
      </c>
      <c r="H68" s="1235"/>
      <c r="I68" s="1154"/>
      <c r="J68" s="981">
        <f>IF(I68=H68,(H68-70),I68-H68)</f>
        <v>-70</v>
      </c>
      <c r="K68" s="866">
        <f t="shared" ref="K68" si="25">IF(I68&gt;=70,0,((70-I68)*(6/10)))</f>
        <v>42</v>
      </c>
      <c r="L68" s="982">
        <f>I68-K68</f>
        <v>-42</v>
      </c>
      <c r="M68" s="779" t="str">
        <f>IF(H68=0,"0%",J68/K68)</f>
        <v>0%</v>
      </c>
      <c r="N68" s="983">
        <f>((G68/C68)*M68)</f>
        <v>0</v>
      </c>
      <c r="O68" s="854">
        <f>IF(((G68/C68)*M68)&gt;=1,3.571428,IF(((G68/C68)*M68)&lt;=0,0,((G68/C68)*M68)*3.571428))</f>
        <v>0</v>
      </c>
      <c r="P68" s="762">
        <f>O68/3.571428</f>
        <v>0</v>
      </c>
      <c r="Q68" s="984" t="s">
        <v>132</v>
      </c>
      <c r="R68" s="237"/>
      <c r="S68" s="130" t="s">
        <v>463</v>
      </c>
    </row>
    <row r="69" spans="1:19" ht="22.25" customHeight="1" thickBot="1" x14ac:dyDescent="0.5">
      <c r="B69" s="1362" t="s">
        <v>58</v>
      </c>
      <c r="C69" s="1363"/>
      <c r="D69" s="1363"/>
      <c r="E69" s="1363"/>
      <c r="F69" s="1364"/>
      <c r="G69" s="150"/>
      <c r="H69" s="985"/>
      <c r="I69" s="1236"/>
      <c r="J69" s="987"/>
      <c r="K69" s="988"/>
      <c r="L69" s="988"/>
      <c r="M69" s="989"/>
      <c r="N69" s="760">
        <f>(N70+N72+N74)/3</f>
        <v>0.33333333333333331</v>
      </c>
      <c r="O69" s="761">
        <f>(O70+O72+O74)</f>
        <v>3.571428</v>
      </c>
      <c r="P69" s="762">
        <f>O69/10.714284</f>
        <v>0.33333333333333337</v>
      </c>
      <c r="Q69" s="990"/>
      <c r="R69" s="12"/>
      <c r="S69" s="13"/>
    </row>
    <row r="70" spans="1:19" ht="20.45" customHeight="1" thickBot="1" x14ac:dyDescent="0.5">
      <c r="B70" s="1486" t="s">
        <v>59</v>
      </c>
      <c r="C70" s="1487"/>
      <c r="D70" s="1487"/>
      <c r="E70" s="1487"/>
      <c r="F70" s="1488"/>
      <c r="G70" s="633"/>
      <c r="H70" s="991"/>
      <c r="I70" s="992"/>
      <c r="J70" s="813"/>
      <c r="K70" s="813"/>
      <c r="L70" s="813"/>
      <c r="M70" s="993"/>
      <c r="N70" s="760">
        <f>N71</f>
        <v>0</v>
      </c>
      <c r="O70" s="761">
        <f>O71</f>
        <v>0</v>
      </c>
      <c r="P70" s="762">
        <f t="shared" ref="P70:P78" si="26">O70/3.571428</f>
        <v>0</v>
      </c>
      <c r="Q70" s="943"/>
      <c r="R70" s="367"/>
      <c r="S70" s="17"/>
    </row>
    <row r="71" spans="1:19" ht="52.25" customHeight="1" thickBot="1" x14ac:dyDescent="0.5">
      <c r="A71" s="21">
        <v>18</v>
      </c>
      <c r="B71" s="695" t="s">
        <v>60</v>
      </c>
      <c r="C71" s="696">
        <f>M5</f>
        <v>3.5714285714285716</v>
      </c>
      <c r="D71" s="697" t="s">
        <v>138</v>
      </c>
      <c r="E71" s="698">
        <f>C71</f>
        <v>3.5714285714285716</v>
      </c>
      <c r="F71" s="699" t="s">
        <v>61</v>
      </c>
      <c r="G71" s="700">
        <f>E71/1</f>
        <v>3.5714285714285716</v>
      </c>
      <c r="H71" s="1157"/>
      <c r="I71" s="1154"/>
      <c r="J71" s="995">
        <f>I71-H71</f>
        <v>0</v>
      </c>
      <c r="K71" s="862">
        <f>(0.5*I71)*0.6</f>
        <v>0</v>
      </c>
      <c r="L71" s="982">
        <f>I71-K71</f>
        <v>0</v>
      </c>
      <c r="M71" s="779" t="str">
        <f>IF(H71=0,"0%",J71/K71)</f>
        <v>0%</v>
      </c>
      <c r="N71" s="983">
        <f>((G71/C71)*M71)</f>
        <v>0</v>
      </c>
      <c r="O71" s="854">
        <f>IF(((G71/C71)*M71)&gt;=1,3.571428,IF(((G71/C71)*M71)&lt;=0,0,((G71/C71)*M71)*3.571428))</f>
        <v>0</v>
      </c>
      <c r="P71" s="762">
        <f t="shared" si="26"/>
        <v>0</v>
      </c>
      <c r="Q71" s="996" t="s">
        <v>183</v>
      </c>
      <c r="R71" s="102"/>
      <c r="S71" s="130" t="s">
        <v>463</v>
      </c>
    </row>
    <row r="72" spans="1:19" ht="20.45" customHeight="1" thickBot="1" x14ac:dyDescent="0.5">
      <c r="B72" s="1512" t="s">
        <v>277</v>
      </c>
      <c r="C72" s="1513"/>
      <c r="D72" s="1513"/>
      <c r="E72" s="1513"/>
      <c r="F72" s="1515"/>
      <c r="G72" s="651"/>
      <c r="H72" s="997"/>
      <c r="I72" s="1215"/>
      <c r="J72" s="870"/>
      <c r="K72" s="871"/>
      <c r="L72" s="871"/>
      <c r="M72" s="872"/>
      <c r="N72" s="760">
        <f>N73</f>
        <v>0</v>
      </c>
      <c r="O72" s="761">
        <f>O73</f>
        <v>0</v>
      </c>
      <c r="P72" s="762">
        <f t="shared" si="26"/>
        <v>0</v>
      </c>
      <c r="Q72" s="998"/>
      <c r="R72" s="367"/>
      <c r="S72" s="17"/>
    </row>
    <row r="73" spans="1:19" ht="45" customHeight="1" thickBot="1" x14ac:dyDescent="0.5">
      <c r="A73" s="21">
        <v>19</v>
      </c>
      <c r="B73" s="701" t="s">
        <v>62</v>
      </c>
      <c r="C73" s="702">
        <f>M5</f>
        <v>3.5714285714285716</v>
      </c>
      <c r="D73" s="703" t="s">
        <v>139</v>
      </c>
      <c r="E73" s="702">
        <f>C73</f>
        <v>3.5714285714285716</v>
      </c>
      <c r="F73" s="704" t="s">
        <v>63</v>
      </c>
      <c r="G73" s="705">
        <f>E73/1</f>
        <v>3.5714285714285716</v>
      </c>
      <c r="H73" s="1157"/>
      <c r="I73" s="1154"/>
      <c r="J73" s="1000">
        <f>I73-H73</f>
        <v>0</v>
      </c>
      <c r="K73" s="1001">
        <f>IF(H73&gt;0,(H73),I73)</f>
        <v>0</v>
      </c>
      <c r="L73" s="1002">
        <f>I73-K73</f>
        <v>0</v>
      </c>
      <c r="M73" s="779" t="str">
        <f>IF(H73=0,"0%",J73/K73)</f>
        <v>0%</v>
      </c>
      <c r="N73" s="983">
        <f>((G73/C73)*M73)</f>
        <v>0</v>
      </c>
      <c r="O73" s="854">
        <f>IF(((G73/C73)*M73)&gt;=1,3.571428,IF(((G73/C73)*M73)&lt;=0,0,((G73/C73)*M73)*3.571428))</f>
        <v>0</v>
      </c>
      <c r="P73" s="762">
        <f t="shared" si="26"/>
        <v>0</v>
      </c>
      <c r="Q73" s="1003" t="s">
        <v>95</v>
      </c>
      <c r="R73" s="102"/>
      <c r="S73" s="130" t="s">
        <v>463</v>
      </c>
    </row>
    <row r="74" spans="1:19" ht="30.6" customHeight="1" thickBot="1" x14ac:dyDescent="0.5">
      <c r="B74" s="1486" t="s">
        <v>64</v>
      </c>
      <c r="C74" s="1487"/>
      <c r="D74" s="1487"/>
      <c r="E74" s="1487"/>
      <c r="F74" s="1488"/>
      <c r="G74" s="634"/>
      <c r="H74" s="991"/>
      <c r="I74" s="992"/>
      <c r="J74" s="813"/>
      <c r="K74" s="813"/>
      <c r="L74" s="813"/>
      <c r="M74" s="904"/>
      <c r="N74" s="760">
        <f>N75</f>
        <v>1</v>
      </c>
      <c r="O74" s="761">
        <f>O75</f>
        <v>3.571428</v>
      </c>
      <c r="P74" s="762">
        <f t="shared" si="26"/>
        <v>1</v>
      </c>
      <c r="Q74" s="943"/>
      <c r="R74" s="367"/>
      <c r="S74" s="17"/>
    </row>
    <row r="75" spans="1:19" ht="29.45" customHeight="1" thickBot="1" x14ac:dyDescent="0.5">
      <c r="A75" s="21">
        <v>20</v>
      </c>
      <c r="B75" s="701" t="s">
        <v>65</v>
      </c>
      <c r="C75" s="648">
        <f>M5</f>
        <v>3.5714285714285716</v>
      </c>
      <c r="D75" s="697" t="s">
        <v>140</v>
      </c>
      <c r="E75" s="706">
        <f>C75</f>
        <v>3.5714285714285716</v>
      </c>
      <c r="F75" s="703" t="s">
        <v>66</v>
      </c>
      <c r="G75" s="700">
        <f>E75/1</f>
        <v>3.5714285714285716</v>
      </c>
      <c r="H75" s="994">
        <v>1</v>
      </c>
      <c r="I75" s="1238">
        <v>0</v>
      </c>
      <c r="J75" s="939">
        <f>H75-I75</f>
        <v>1</v>
      </c>
      <c r="K75" s="940">
        <f>IF(AND(H75=0,I75=1)," 1",(H75-I75))</f>
        <v>1</v>
      </c>
      <c r="L75" s="1006">
        <f>I75+K75</f>
        <v>1</v>
      </c>
      <c r="M75" s="1007">
        <f>(IF(I75=1,1,(J75/K75)))</f>
        <v>1</v>
      </c>
      <c r="N75" s="983">
        <f>((G75/C75)*M75)</f>
        <v>1</v>
      </c>
      <c r="O75" s="854">
        <f>IF(((G75/C75)*M75)&gt;=1,3.571428,IF(((G75/C75)*M75)&lt;=0,0,((G75/C75)*M75)*3.571428))</f>
        <v>3.571428</v>
      </c>
      <c r="P75" s="762">
        <f t="shared" si="26"/>
        <v>1</v>
      </c>
      <c r="Q75" s="1008" t="s">
        <v>95</v>
      </c>
      <c r="R75" s="80"/>
      <c r="S75" s="130" t="s">
        <v>498</v>
      </c>
    </row>
    <row r="76" spans="1:19" ht="20.45" customHeight="1" thickBot="1" x14ac:dyDescent="0.5">
      <c r="B76" s="1544" t="s">
        <v>67</v>
      </c>
      <c r="C76" s="1545"/>
      <c r="D76" s="1545"/>
      <c r="E76" s="1545"/>
      <c r="F76" s="1546"/>
      <c r="G76" s="707"/>
      <c r="H76" s="1009"/>
      <c r="I76" s="1010"/>
      <c r="J76" s="1011"/>
      <c r="K76" s="1012"/>
      <c r="L76" s="1012"/>
      <c r="M76" s="1013"/>
      <c r="N76" s="760">
        <f t="shared" ref="N76:O77" si="27">N77</f>
        <v>0</v>
      </c>
      <c r="O76" s="761">
        <f t="shared" si="27"/>
        <v>0</v>
      </c>
      <c r="P76" s="762">
        <f t="shared" si="26"/>
        <v>0</v>
      </c>
      <c r="Q76" s="1014"/>
      <c r="R76" s="117"/>
      <c r="S76" s="22"/>
    </row>
    <row r="77" spans="1:19" ht="20.45" customHeight="1" thickBot="1" x14ac:dyDescent="0.5">
      <c r="B77" s="1486" t="s">
        <v>68</v>
      </c>
      <c r="C77" s="1487"/>
      <c r="D77" s="1487"/>
      <c r="E77" s="1487"/>
      <c r="F77" s="1488"/>
      <c r="G77" s="633"/>
      <c r="H77" s="991"/>
      <c r="I77" s="992"/>
      <c r="J77" s="830"/>
      <c r="K77" s="831"/>
      <c r="L77" s="831"/>
      <c r="M77" s="814"/>
      <c r="N77" s="760">
        <f t="shared" si="27"/>
        <v>0</v>
      </c>
      <c r="O77" s="761">
        <f t="shared" si="27"/>
        <v>0</v>
      </c>
      <c r="P77" s="762">
        <f t="shared" si="26"/>
        <v>0</v>
      </c>
      <c r="Q77" s="943"/>
      <c r="R77" s="367"/>
      <c r="S77" s="17"/>
    </row>
    <row r="78" spans="1:19" ht="35.25" thickBot="1" x14ac:dyDescent="0.5">
      <c r="A78" s="21">
        <v>21</v>
      </c>
      <c r="B78" s="701" t="s">
        <v>69</v>
      </c>
      <c r="C78" s="706">
        <f>M5</f>
        <v>3.5714285714285716</v>
      </c>
      <c r="D78" s="708" t="s">
        <v>141</v>
      </c>
      <c r="E78" s="706">
        <f>C78</f>
        <v>3.5714285714285716</v>
      </c>
      <c r="F78" s="708" t="s">
        <v>70</v>
      </c>
      <c r="G78" s="692">
        <f>E78/1</f>
        <v>3.5714285714285716</v>
      </c>
      <c r="H78" s="1237"/>
      <c r="I78" s="1238"/>
      <c r="J78" s="981">
        <f>IF(I78=H78,(H78-60),H78-I78)</f>
        <v>-60</v>
      </c>
      <c r="K78" s="866">
        <f>IF(I78&gt;=60,0,((60-I78)*(6/10)))</f>
        <v>36</v>
      </c>
      <c r="L78" s="982">
        <f t="shared" ref="L78" si="28">K78+I78</f>
        <v>36</v>
      </c>
      <c r="M78" s="852">
        <f>IF(I78&gt;=60,(1+(H78-60)/60),(H78/L78))</f>
        <v>0</v>
      </c>
      <c r="N78" s="983">
        <f>((G78/C78)*M78)</f>
        <v>0</v>
      </c>
      <c r="O78" s="854">
        <f>IF(((G78/C78)*M78)&gt;=1,3.571428,IF(((G78/C78)*M78)&lt;=0,0,((G78/C78)*M78)*3.571428))</f>
        <v>0</v>
      </c>
      <c r="P78" s="762">
        <f t="shared" si="26"/>
        <v>0</v>
      </c>
      <c r="Q78" s="1015" t="s">
        <v>95</v>
      </c>
      <c r="R78" s="102"/>
      <c r="S78" s="130" t="s">
        <v>463</v>
      </c>
    </row>
    <row r="79" spans="1:19" ht="21.6" customHeight="1" thickBot="1" x14ac:dyDescent="0.5">
      <c r="B79" s="1539" t="s">
        <v>71</v>
      </c>
      <c r="C79" s="1540"/>
      <c r="D79" s="1540"/>
      <c r="E79" s="1540"/>
      <c r="F79" s="1541"/>
      <c r="G79" s="707"/>
      <c r="H79" s="1009"/>
      <c r="I79" s="1010"/>
      <c r="J79" s="1016"/>
      <c r="K79" s="1017"/>
      <c r="L79" s="1017"/>
      <c r="M79" s="1013"/>
      <c r="N79" s="760">
        <f>(N80+N86)/2</f>
        <v>-0.36542328042328054</v>
      </c>
      <c r="O79" s="761">
        <f>(O80+O86)</f>
        <v>4.4404754799999999</v>
      </c>
      <c r="P79" s="762">
        <f>O79/10.714284</f>
        <v>0.41444444444444445</v>
      </c>
      <c r="Q79" s="1014"/>
      <c r="R79" s="117"/>
      <c r="S79" s="22"/>
    </row>
    <row r="80" spans="1:19" ht="20.45" customHeight="1" thickBot="1" x14ac:dyDescent="0.5">
      <c r="B80" s="1466" t="s">
        <v>72</v>
      </c>
      <c r="C80" s="1467"/>
      <c r="D80" s="1467"/>
      <c r="E80" s="1467"/>
      <c r="F80" s="1468"/>
      <c r="G80" s="673"/>
      <c r="H80" s="1018"/>
      <c r="I80" s="1019"/>
      <c r="J80" s="813"/>
      <c r="K80" s="813"/>
      <c r="L80" s="813"/>
      <c r="M80" s="832"/>
      <c r="N80" s="760">
        <f>(N81+N83)/2</f>
        <v>0.62166666666666659</v>
      </c>
      <c r="O80" s="761">
        <f>(O81+O83)</f>
        <v>4.4404754799999999</v>
      </c>
      <c r="P80" s="762">
        <f>O80/7.142856</f>
        <v>0.6216666666666667</v>
      </c>
      <c r="Q80" s="1020"/>
      <c r="R80" s="18"/>
      <c r="S80" s="16"/>
    </row>
    <row r="81" spans="1:19" ht="46.9" thickBot="1" x14ac:dyDescent="0.5">
      <c r="A81" s="21"/>
      <c r="B81" s="1542" t="s">
        <v>73</v>
      </c>
      <c r="C81" s="1473">
        <f>M5</f>
        <v>3.5714285714285716</v>
      </c>
      <c r="D81" s="635" t="s">
        <v>267</v>
      </c>
      <c r="E81" s="604">
        <f>$C$81/2</f>
        <v>1.7857142857142858</v>
      </c>
      <c r="F81" s="674" t="s">
        <v>278</v>
      </c>
      <c r="G81" s="628">
        <f>E81/1</f>
        <v>1.7857142857142858</v>
      </c>
      <c r="H81" s="1120"/>
      <c r="I81" s="1112"/>
      <c r="J81" s="908">
        <f>IF(I81=H81,(H81-50),H81-I81)</f>
        <v>-50</v>
      </c>
      <c r="K81" s="798">
        <f>IF(I81&gt;=50,0,((50-I81)*(6/10)))</f>
        <v>30</v>
      </c>
      <c r="L81" s="1021">
        <f>I81+K81</f>
        <v>30</v>
      </c>
      <c r="M81" s="772" t="str">
        <f>IF(H81=0,"0%",J81/K81)</f>
        <v>0%</v>
      </c>
      <c r="N81" s="1530">
        <f>(((G81/C81)*M81)+((G82/C81)*M82))</f>
        <v>0.35333333333333333</v>
      </c>
      <c r="O81" s="1458">
        <f>IF((((G81/C81)*M81)+((G82/C81)*M82))&gt;=1,3.57148,IF((((G81/C81)*M81)+((G82/C81)*M82))&lt;=0,0, (((G81/C81)*M81)+((G82/C81)*M82))*3.571428))</f>
        <v>1.2619045600000001</v>
      </c>
      <c r="P81" s="1460">
        <f>O81/3.571428</f>
        <v>0.35333333333333333</v>
      </c>
      <c r="Q81" s="1022" t="s">
        <v>279</v>
      </c>
      <c r="R81" s="151"/>
      <c r="S81" s="130" t="s">
        <v>463</v>
      </c>
    </row>
    <row r="82" spans="1:19" ht="39.6" customHeight="1" thickBot="1" x14ac:dyDescent="0.5">
      <c r="A82" s="21"/>
      <c r="B82" s="1543"/>
      <c r="C82" s="1355"/>
      <c r="D82" s="643" t="s">
        <v>268</v>
      </c>
      <c r="E82" s="612">
        <f>$C$81/2</f>
        <v>1.7857142857142858</v>
      </c>
      <c r="F82" s="644" t="s">
        <v>74</v>
      </c>
      <c r="G82" s="632">
        <f>E82/1</f>
        <v>1.7857142857142858</v>
      </c>
      <c r="H82" s="1239">
        <v>21.2</v>
      </c>
      <c r="I82" s="1204">
        <v>43.8</v>
      </c>
      <c r="J82" s="1025">
        <f>IF(I82=H82,(H82-30),H82-I82)</f>
        <v>-22.599999999999998</v>
      </c>
      <c r="K82" s="810">
        <f>IF(I82&gt;=30,0,((30-I82)*(6/10)))</f>
        <v>0</v>
      </c>
      <c r="L82" s="1026">
        <f t="shared" ref="L82" si="29">K82+I82</f>
        <v>43.8</v>
      </c>
      <c r="M82" s="779">
        <f>IF(I82&gt;=30,(1+(H82-30)/30),(H82/L82))</f>
        <v>0.70666666666666667</v>
      </c>
      <c r="N82" s="1532"/>
      <c r="O82" s="1459"/>
      <c r="P82" s="1461"/>
      <c r="Q82" s="1027" t="s">
        <v>282</v>
      </c>
      <c r="R82" s="111" t="s">
        <v>368</v>
      </c>
      <c r="S82" s="55"/>
    </row>
    <row r="83" spans="1:19" ht="60" customHeight="1" thickBot="1" x14ac:dyDescent="0.5">
      <c r="A83" s="21"/>
      <c r="B83" s="1555" t="s">
        <v>142</v>
      </c>
      <c r="C83" s="1557">
        <f>M5</f>
        <v>3.5714285714285716</v>
      </c>
      <c r="D83" s="709" t="s">
        <v>145</v>
      </c>
      <c r="E83" s="604">
        <f>$C$81/3</f>
        <v>1.1904761904761905</v>
      </c>
      <c r="F83" s="635" t="s">
        <v>143</v>
      </c>
      <c r="G83" s="604">
        <f>E83/1</f>
        <v>1.1904761904761905</v>
      </c>
      <c r="H83" s="1120"/>
      <c r="I83" s="1112"/>
      <c r="J83" s="1030">
        <f>I83-H83</f>
        <v>0</v>
      </c>
      <c r="K83" s="894">
        <f>(0.2*I83)*(6/10)</f>
        <v>0</v>
      </c>
      <c r="L83" s="1031">
        <f>I83-K83</f>
        <v>0</v>
      </c>
      <c r="M83" s="786" t="str">
        <f>IF(K83&lt;&gt;0,J83/K83,"0%")</f>
        <v>0%</v>
      </c>
      <c r="N83" s="1560">
        <f>(((G83/C83)*M83)+((G84/C83)*M84)+((G85/C83)*M85))</f>
        <v>0.8899999999999999</v>
      </c>
      <c r="O83" s="1484">
        <f>IF((((G83/C83)*M83)+((G84/C83)*M84)+((G85/C83)*M85))&gt;=1,3.571428,IF((((G83/C83)*M83)+((G84/C83)*M84)+((G85/C83)*M85))&lt;=0,0,(((G83/C83)*M83)+((G84/C83)*M84)+((G85/C83)*M85))*3.571428))</f>
        <v>3.1785709199999999</v>
      </c>
      <c r="P83" s="1460">
        <f>O83/3.571428</f>
        <v>0.8899999999999999</v>
      </c>
      <c r="Q83" s="1032" t="s">
        <v>184</v>
      </c>
      <c r="R83" s="152"/>
      <c r="S83" s="130" t="s">
        <v>463</v>
      </c>
    </row>
    <row r="84" spans="1:19" ht="45" customHeight="1" x14ac:dyDescent="0.45">
      <c r="A84" s="21"/>
      <c r="B84" s="1555"/>
      <c r="C84" s="1558"/>
      <c r="D84" s="710" t="s">
        <v>146</v>
      </c>
      <c r="E84" s="638">
        <f t="shared" ref="E84:E85" si="30">$C$81/3</f>
        <v>1.1904761904761905</v>
      </c>
      <c r="F84" s="679" t="s">
        <v>283</v>
      </c>
      <c r="G84" s="638">
        <f>E84/1</f>
        <v>1.1904761904761905</v>
      </c>
      <c r="H84" s="1252">
        <v>0</v>
      </c>
      <c r="I84" s="1253">
        <v>0</v>
      </c>
      <c r="J84" s="1033">
        <f>I84-H84</f>
        <v>0</v>
      </c>
      <c r="K84" s="894">
        <f>(0.5*I84)*(6/10)</f>
        <v>0</v>
      </c>
      <c r="L84" s="1034">
        <f>I84-K84</f>
        <v>0</v>
      </c>
      <c r="M84" s="793">
        <f>IF(H84&lt;=0,100%, IF(K84&lt;&gt;0,J84/K84,"0%"))</f>
        <v>1</v>
      </c>
      <c r="N84" s="1561"/>
      <c r="O84" s="1482"/>
      <c r="P84" s="1485"/>
      <c r="Q84" s="1035" t="s">
        <v>185</v>
      </c>
      <c r="R84" s="112"/>
      <c r="S84" s="113" t="s">
        <v>499</v>
      </c>
    </row>
    <row r="85" spans="1:19" ht="38.450000000000003" customHeight="1" thickBot="1" x14ac:dyDescent="0.5">
      <c r="A85" s="21"/>
      <c r="B85" s="1556"/>
      <c r="C85" s="1559"/>
      <c r="D85" s="711" t="s">
        <v>147</v>
      </c>
      <c r="E85" s="612">
        <f t="shared" si="30"/>
        <v>1.1904761904761905</v>
      </c>
      <c r="F85" s="644" t="s">
        <v>144</v>
      </c>
      <c r="G85" s="612">
        <f>E85/1</f>
        <v>1.1904761904761905</v>
      </c>
      <c r="H85" s="1239">
        <v>100</v>
      </c>
      <c r="I85" s="1204">
        <v>100</v>
      </c>
      <c r="J85" s="1036">
        <f>H85-I85</f>
        <v>0</v>
      </c>
      <c r="K85" s="1037">
        <f>(100-I85)*(6/10)</f>
        <v>0</v>
      </c>
      <c r="L85" s="1038">
        <f>I85+K85</f>
        <v>100</v>
      </c>
      <c r="M85" s="793">
        <f>IF(H85&gt;=100,167%, IF(K85&lt;&gt;0,J85/K85,"0%"))</f>
        <v>1.67</v>
      </c>
      <c r="N85" s="1562"/>
      <c r="O85" s="1483"/>
      <c r="P85" s="1461"/>
      <c r="Q85" s="1039" t="s">
        <v>284</v>
      </c>
      <c r="R85" s="163" t="s">
        <v>370</v>
      </c>
      <c r="S85" s="164"/>
    </row>
    <row r="86" spans="1:19" ht="20.45" customHeight="1" thickBot="1" x14ac:dyDescent="0.5">
      <c r="B86" s="1547" t="s">
        <v>75</v>
      </c>
      <c r="C86" s="1548"/>
      <c r="D86" s="1548"/>
      <c r="E86" s="1548"/>
      <c r="F86" s="1549"/>
      <c r="G86" s="694"/>
      <c r="H86" s="1040"/>
      <c r="I86" s="1041"/>
      <c r="J86" s="1042"/>
      <c r="K86" s="1043"/>
      <c r="L86" s="1043"/>
      <c r="M86" s="904"/>
      <c r="N86" s="760">
        <f>N87</f>
        <v>-1.3525132275132277</v>
      </c>
      <c r="O86" s="761">
        <f>O87</f>
        <v>0</v>
      </c>
      <c r="P86" s="762">
        <f>O86/3.571428</f>
        <v>0</v>
      </c>
      <c r="Q86" s="903"/>
      <c r="R86" s="367"/>
      <c r="S86" s="17"/>
    </row>
    <row r="87" spans="1:19" ht="27.6" customHeight="1" x14ac:dyDescent="0.45">
      <c r="A87" s="1492">
        <v>24</v>
      </c>
      <c r="B87" s="1550" t="s">
        <v>76</v>
      </c>
      <c r="C87" s="1552">
        <f>M5</f>
        <v>3.5714285714285716</v>
      </c>
      <c r="D87" s="654" t="s">
        <v>159</v>
      </c>
      <c r="E87" s="655">
        <f>($C$87/3)</f>
        <v>1.1904761904761905</v>
      </c>
      <c r="F87" s="712" t="s">
        <v>285</v>
      </c>
      <c r="G87" s="713">
        <f>E87/1</f>
        <v>1.1904761904761905</v>
      </c>
      <c r="H87" s="891">
        <v>14.3</v>
      </c>
      <c r="I87" s="1254">
        <v>8.4</v>
      </c>
      <c r="J87" s="1046">
        <f>I87-H87</f>
        <v>-5.9</v>
      </c>
      <c r="K87" s="1047">
        <f>(0.25*I87)*(6/10)</f>
        <v>1.26</v>
      </c>
      <c r="L87" s="1048">
        <f>I87-K87</f>
        <v>7.1400000000000006</v>
      </c>
      <c r="M87" s="772">
        <f>IF(K87&lt;&gt;0,J87/K87,"0%")</f>
        <v>-4.6825396825396828</v>
      </c>
      <c r="N87" s="1498">
        <f>(((G87/C87)*M87)+((G88/C87)*M88)+((G89/C87)*M89)+((G90/C87)*M90)+((G91/C87)*M91))</f>
        <v>-1.3525132275132277</v>
      </c>
      <c r="O87" s="1484">
        <f>IF((((G87/C87)*M87)+((G88/C87)*M88)+((G89/C87)*M89)+((G90/C87)*M90)+((G91/C87)*M91))&gt;=1,3.571428,IF((((G87/C87)*M87)+((G88/C87)*M88)+((G89/C87)*M89)+((G90/C87)*M90)+((G91/C87)*M91))&lt;=0,0,((((G87/C87)*M87)+((G88/C87)*M88)+((G89/C87)*M89)+((G90/C87)*M90)+((G91/C87)*M91))*3.571428)))</f>
        <v>0</v>
      </c>
      <c r="P87" s="1460">
        <f>O87/3.571428</f>
        <v>0</v>
      </c>
      <c r="Q87" s="1049" t="s">
        <v>186</v>
      </c>
      <c r="R87" s="114" t="s">
        <v>371</v>
      </c>
      <c r="S87" s="165"/>
    </row>
    <row r="88" spans="1:19" ht="25.8" customHeight="1" x14ac:dyDescent="0.45">
      <c r="A88" s="1492"/>
      <c r="B88" s="1550"/>
      <c r="C88" s="1553"/>
      <c r="D88" s="1563" t="s">
        <v>160</v>
      </c>
      <c r="E88" s="1564">
        <f>C87/3</f>
        <v>1.1904761904761905</v>
      </c>
      <c r="F88" s="639" t="s">
        <v>77</v>
      </c>
      <c r="G88" s="714">
        <f>$E$88/3</f>
        <v>0.3968253968253968</v>
      </c>
      <c r="H88" s="818">
        <v>0</v>
      </c>
      <c r="I88" s="819">
        <v>0</v>
      </c>
      <c r="J88" s="1050">
        <f>I88-H88</f>
        <v>0</v>
      </c>
      <c r="K88" s="1051">
        <f>I88*(6/10)</f>
        <v>0</v>
      </c>
      <c r="L88" s="1052">
        <f>I88-K88</f>
        <v>0</v>
      </c>
      <c r="M88" s="805" t="str">
        <f>IF(K88&lt;&gt;0,J88/K88,"0%")</f>
        <v>0%</v>
      </c>
      <c r="N88" s="1479"/>
      <c r="O88" s="1482"/>
      <c r="P88" s="1485"/>
      <c r="Q88" s="1053" t="s">
        <v>187</v>
      </c>
      <c r="R88" s="115"/>
      <c r="S88" s="60" t="s">
        <v>369</v>
      </c>
    </row>
    <row r="89" spans="1:19" ht="59.65" customHeight="1" x14ac:dyDescent="0.45">
      <c r="A89" s="1492"/>
      <c r="B89" s="1550"/>
      <c r="C89" s="1553"/>
      <c r="D89" s="1563"/>
      <c r="E89" s="1564"/>
      <c r="F89" s="639" t="s">
        <v>78</v>
      </c>
      <c r="G89" s="714">
        <f>$E$88/3</f>
        <v>0.3968253968253968</v>
      </c>
      <c r="H89" s="818">
        <v>0</v>
      </c>
      <c r="I89" s="819">
        <v>0</v>
      </c>
      <c r="J89" s="1050">
        <f>I89-H89</f>
        <v>0</v>
      </c>
      <c r="K89" s="1051">
        <f>I89*(6/10)</f>
        <v>0</v>
      </c>
      <c r="L89" s="1052">
        <f>I89-K89</f>
        <v>0</v>
      </c>
      <c r="M89" s="805" t="str">
        <f>IF(K89&lt;&gt;0,J89/K89,"0%")</f>
        <v>0%</v>
      </c>
      <c r="N89" s="1479"/>
      <c r="O89" s="1482"/>
      <c r="P89" s="1485"/>
      <c r="Q89" s="1053" t="s">
        <v>188</v>
      </c>
      <c r="R89" s="115"/>
      <c r="S89" s="60" t="s">
        <v>369</v>
      </c>
    </row>
    <row r="90" spans="1:19" ht="26.45" customHeight="1" x14ac:dyDescent="0.45">
      <c r="A90" s="1492"/>
      <c r="B90" s="1550"/>
      <c r="C90" s="1553"/>
      <c r="D90" s="1563"/>
      <c r="E90" s="1564"/>
      <c r="F90" s="639" t="s">
        <v>79</v>
      </c>
      <c r="G90" s="714">
        <f>$E$88/3</f>
        <v>0.3968253968253968</v>
      </c>
      <c r="H90" s="823">
        <v>0</v>
      </c>
      <c r="I90" s="824">
        <v>0</v>
      </c>
      <c r="J90" s="1050">
        <f>I90-H90</f>
        <v>0</v>
      </c>
      <c r="K90" s="1054">
        <f>(I90)*(6/10)</f>
        <v>0</v>
      </c>
      <c r="L90" s="1055">
        <f>I90-K90</f>
        <v>0</v>
      </c>
      <c r="M90" s="805" t="str">
        <f>IF(H90=0,"0%",J90/K90)</f>
        <v>0%</v>
      </c>
      <c r="N90" s="1479"/>
      <c r="O90" s="1482"/>
      <c r="P90" s="1485"/>
      <c r="Q90" s="1056" t="s">
        <v>189</v>
      </c>
      <c r="R90" s="115"/>
      <c r="S90" s="60" t="s">
        <v>369</v>
      </c>
    </row>
    <row r="91" spans="1:19" ht="40.799999999999997" customHeight="1" thickBot="1" x14ac:dyDescent="0.5">
      <c r="A91" s="1492"/>
      <c r="B91" s="1551"/>
      <c r="C91" s="1554"/>
      <c r="D91" s="631" t="s">
        <v>161</v>
      </c>
      <c r="E91" s="612">
        <f>$C$87/3</f>
        <v>1.1904761904761905</v>
      </c>
      <c r="F91" s="715" t="s">
        <v>80</v>
      </c>
      <c r="G91" s="716">
        <f>E91/1</f>
        <v>1.1904761904761905</v>
      </c>
      <c r="H91" s="1255">
        <v>50</v>
      </c>
      <c r="I91" s="1256">
        <v>50</v>
      </c>
      <c r="J91" s="1057">
        <f>H91-I91</f>
        <v>0</v>
      </c>
      <c r="K91" s="1037">
        <f>(100-I91)*(6/10)</f>
        <v>30</v>
      </c>
      <c r="L91" s="1058">
        <f>I91+K91</f>
        <v>80</v>
      </c>
      <c r="M91" s="779">
        <f>IF(I91&gt;=60,(1+(H91-60)/60),(H91/L91))</f>
        <v>0.625</v>
      </c>
      <c r="N91" s="1480"/>
      <c r="O91" s="1483"/>
      <c r="P91" s="1461"/>
      <c r="Q91" s="1059" t="s">
        <v>95</v>
      </c>
      <c r="R91" s="116"/>
      <c r="S91" s="377" t="s">
        <v>394</v>
      </c>
    </row>
    <row r="92" spans="1:19" ht="14.65" thickBot="1" x14ac:dyDescent="0.5">
      <c r="B92" s="1322" t="s">
        <v>81</v>
      </c>
      <c r="C92" s="1323"/>
      <c r="D92" s="1323"/>
      <c r="E92" s="1323"/>
      <c r="F92" s="1324"/>
      <c r="G92" s="11"/>
      <c r="H92" s="1009"/>
      <c r="I92" s="1010"/>
      <c r="J92" s="1011"/>
      <c r="K92" s="1012"/>
      <c r="L92" s="1012"/>
      <c r="M92" s="1060"/>
      <c r="N92" s="760">
        <f>(N93+N97)/2</f>
        <v>0.34974858426088651</v>
      </c>
      <c r="O92" s="761">
        <f>(O93+O97)</f>
        <v>2.7327073207381369</v>
      </c>
      <c r="P92" s="762">
        <f>O92/14.285712</f>
        <v>0.19128954305799648</v>
      </c>
      <c r="Q92" s="921"/>
      <c r="R92" s="366"/>
      <c r="S92" s="22"/>
    </row>
    <row r="93" spans="1:19" ht="20.45" customHeight="1" thickBot="1" x14ac:dyDescent="0.5">
      <c r="B93" s="1466" t="s">
        <v>82</v>
      </c>
      <c r="C93" s="1467"/>
      <c r="D93" s="1467"/>
      <c r="E93" s="1467"/>
      <c r="F93" s="1468"/>
      <c r="G93" s="633"/>
      <c r="H93" s="991"/>
      <c r="I93" s="992"/>
      <c r="J93" s="831"/>
      <c r="K93" s="831"/>
      <c r="L93" s="831"/>
      <c r="M93" s="832"/>
      <c r="N93" s="760">
        <f>N94</f>
        <v>0.66666666666666663</v>
      </c>
      <c r="O93" s="761">
        <f>O94</f>
        <v>2.3809519999999997</v>
      </c>
      <c r="P93" s="762">
        <f>O93/3.571428</f>
        <v>0.66666666666666663</v>
      </c>
      <c r="Q93" s="905"/>
      <c r="R93" s="18"/>
      <c r="S93" s="17"/>
    </row>
    <row r="94" spans="1:19" ht="34.799999999999997" customHeight="1" thickBot="1" x14ac:dyDescent="0.5">
      <c r="A94" s="1451">
        <v>25</v>
      </c>
      <c r="B94" s="1469" t="s">
        <v>83</v>
      </c>
      <c r="C94" s="1565">
        <f>M5</f>
        <v>3.5714285714285716</v>
      </c>
      <c r="D94" s="1509" t="s">
        <v>214</v>
      </c>
      <c r="E94" s="660">
        <f>$C$94/3</f>
        <v>1.1904761904761905</v>
      </c>
      <c r="F94" s="635" t="s">
        <v>269</v>
      </c>
      <c r="G94" s="718">
        <f>E94/1</f>
        <v>1.1904761904761905</v>
      </c>
      <c r="H94" s="795">
        <v>100</v>
      </c>
      <c r="I94" s="796">
        <v>100</v>
      </c>
      <c r="J94" s="1062">
        <f>H94-I94</f>
        <v>0</v>
      </c>
      <c r="K94" s="1063">
        <f>(100-I94)*(6/10)</f>
        <v>0</v>
      </c>
      <c r="L94" s="1064">
        <f>I94+K94</f>
        <v>100</v>
      </c>
      <c r="M94" s="772" t="str">
        <f>IF(K94&lt;&gt;0,J94/K94,"100%")</f>
        <v>100%</v>
      </c>
      <c r="N94" s="1530">
        <f>(((G94/C94)*M94)+((G95/C94)*M95)+((G96/C94)*M96))</f>
        <v>0.66666666666666663</v>
      </c>
      <c r="O94" s="1484">
        <f>IF((((G94/C94)*M94)+((G95/C94)*M95)+((G96/C94)*M96))&gt;=1,3.571428,IF((((G94/C94)*M94)+((G95/C94)*M95)+((G96/C94)*M96))&lt;=0,0,(((G94/C94)*M94)+((G95/C94)*M95)+((G96/C94)*M96))*3.571428))</f>
        <v>2.3809519999999997</v>
      </c>
      <c r="P94" s="1460">
        <f>O94/3.571428</f>
        <v>0.66666666666666663</v>
      </c>
      <c r="Q94" s="1065" t="s">
        <v>190</v>
      </c>
      <c r="R94" s="67" t="s">
        <v>372</v>
      </c>
      <c r="S94" s="58"/>
    </row>
    <row r="95" spans="1:19" ht="39.6" customHeight="1" thickBot="1" x14ac:dyDescent="0.5">
      <c r="A95" s="1451"/>
      <c r="B95" s="1470"/>
      <c r="C95" s="1566"/>
      <c r="D95" s="1503"/>
      <c r="E95" s="719">
        <f t="shared" ref="E95:E96" si="31">$C$94/3</f>
        <v>1.1904761904761905</v>
      </c>
      <c r="F95" s="679" t="s">
        <v>270</v>
      </c>
      <c r="G95" s="714">
        <f>E95/1</f>
        <v>1.1904761904761905</v>
      </c>
      <c r="H95" s="1139"/>
      <c r="I95" s="1140"/>
      <c r="J95" s="1050">
        <f>IF(AND(I95&gt;1,(H95-I95=0)),(H95-1),(H95-I95))</f>
        <v>0</v>
      </c>
      <c r="K95" s="883">
        <f>IF(AND(I95&gt;=1,H95&gt;=1),"0",((1-I95)*(6/10)))</f>
        <v>0.6</v>
      </c>
      <c r="L95" s="1067">
        <f t="shared" ref="L95:L96" si="32">I95+K95</f>
        <v>0.6</v>
      </c>
      <c r="M95" s="805">
        <f>IF(I95&gt;=1,(1+(H95-1)/1),(J95/K95))</f>
        <v>0</v>
      </c>
      <c r="N95" s="1531"/>
      <c r="O95" s="1482"/>
      <c r="P95" s="1485"/>
      <c r="Q95" s="1068" t="s">
        <v>191</v>
      </c>
      <c r="R95" s="110"/>
      <c r="S95" s="130" t="s">
        <v>463</v>
      </c>
    </row>
    <row r="96" spans="1:19" ht="41.45" customHeight="1" thickBot="1" x14ac:dyDescent="0.5">
      <c r="A96" s="1451"/>
      <c r="B96" s="1521"/>
      <c r="C96" s="1567"/>
      <c r="D96" s="1510"/>
      <c r="E96" s="661">
        <f t="shared" si="31"/>
        <v>1.1904761904761905</v>
      </c>
      <c r="F96" s="643" t="s">
        <v>84</v>
      </c>
      <c r="G96" s="716">
        <f>E96/1</f>
        <v>1.1904761904761905</v>
      </c>
      <c r="H96" s="1239">
        <v>100</v>
      </c>
      <c r="I96" s="1204">
        <v>100</v>
      </c>
      <c r="J96" s="1057">
        <f>H96-I96</f>
        <v>0</v>
      </c>
      <c r="K96" s="1037">
        <f>(100-I96)*(6/10)</f>
        <v>0</v>
      </c>
      <c r="L96" s="1058">
        <f t="shared" si="32"/>
        <v>100</v>
      </c>
      <c r="M96" s="779" t="str">
        <f>IF(K96&lt;&gt;0,J96/K96,"100%")</f>
        <v>100%</v>
      </c>
      <c r="N96" s="1532"/>
      <c r="O96" s="1483"/>
      <c r="P96" s="1461"/>
      <c r="Q96" s="1070" t="s">
        <v>95</v>
      </c>
      <c r="R96" s="104"/>
      <c r="S96" s="229" t="s">
        <v>373</v>
      </c>
    </row>
    <row r="97" spans="1:19" ht="18" customHeight="1" thickBot="1" x14ac:dyDescent="0.5">
      <c r="B97" s="1568" t="s">
        <v>85</v>
      </c>
      <c r="C97" s="1569"/>
      <c r="D97" s="1569"/>
      <c r="E97" s="1569"/>
      <c r="F97" s="1570"/>
      <c r="G97" s="720"/>
      <c r="H97" s="1071"/>
      <c r="I97" s="1072"/>
      <c r="J97" s="1071"/>
      <c r="K97" s="1073"/>
      <c r="L97" s="1073"/>
      <c r="M97" s="1074"/>
      <c r="N97" s="1075">
        <f>(N98+N99+N100)/3</f>
        <v>3.2830501855106442E-2</v>
      </c>
      <c r="O97" s="1076">
        <f>(O98+O99+O100)</f>
        <v>0.35175532073813726</v>
      </c>
      <c r="P97" s="762">
        <f>O97/10.714284</f>
        <v>3.2830501855106442E-2</v>
      </c>
      <c r="Q97" s="1072"/>
      <c r="R97" s="372"/>
      <c r="S97" s="23"/>
    </row>
    <row r="98" spans="1:19" ht="29.45" customHeight="1" thickBot="1" x14ac:dyDescent="0.5">
      <c r="A98" s="21">
        <v>26</v>
      </c>
      <c r="B98" s="645" t="s">
        <v>86</v>
      </c>
      <c r="C98" s="646">
        <f>$M$5</f>
        <v>3.5714285714285716</v>
      </c>
      <c r="D98" s="645" t="s">
        <v>215</v>
      </c>
      <c r="E98" s="646">
        <f>C98/1</f>
        <v>3.5714285714285716</v>
      </c>
      <c r="F98" s="695" t="s">
        <v>291</v>
      </c>
      <c r="G98" s="646">
        <f>E98/1</f>
        <v>3.5714285714285716</v>
      </c>
      <c r="H98" s="1235"/>
      <c r="I98" s="1154"/>
      <c r="J98" s="1079">
        <f>IF(I98=H98,(H98-10),H98-I98)</f>
        <v>-10</v>
      </c>
      <c r="K98" s="866">
        <f>IF(I98&gt;=10,0,((10-I98)*(6/10)))</f>
        <v>6</v>
      </c>
      <c r="L98" s="982">
        <f>I98+K98</f>
        <v>6</v>
      </c>
      <c r="M98" s="779" t="str">
        <f>IF(H98=0,"0%",J98/K98)</f>
        <v>0%</v>
      </c>
      <c r="N98" s="983">
        <f>((G98/C98)*M98)</f>
        <v>0</v>
      </c>
      <c r="O98" s="854">
        <f>IF(((G98/C98)*M98)&gt;=1,3.571428,IF(((G98/C98)*M98)&lt;=0,0,((G98/C98)*M98)*3.571428))</f>
        <v>0</v>
      </c>
      <c r="P98" s="762">
        <f>O98/3.571428</f>
        <v>0</v>
      </c>
      <c r="Q98" s="1080" t="s">
        <v>95</v>
      </c>
      <c r="R98" s="117"/>
      <c r="S98" s="130" t="s">
        <v>463</v>
      </c>
    </row>
    <row r="99" spans="1:19" ht="35.25" thickBot="1" x14ac:dyDescent="0.5">
      <c r="A99" s="21">
        <v>27</v>
      </c>
      <c r="B99" s="645" t="s">
        <v>87</v>
      </c>
      <c r="C99" s="646">
        <f>$M$5</f>
        <v>3.5714285714285716</v>
      </c>
      <c r="D99" s="645" t="s">
        <v>216</v>
      </c>
      <c r="E99" s="646">
        <f>C99/1</f>
        <v>3.5714285714285716</v>
      </c>
      <c r="F99" s="695" t="s">
        <v>271</v>
      </c>
      <c r="G99" s="646">
        <f>E99/1</f>
        <v>3.5714285714285716</v>
      </c>
      <c r="H99" s="1237">
        <v>32.17</v>
      </c>
      <c r="I99" s="1238">
        <v>29.48</v>
      </c>
      <c r="J99" s="1079">
        <f>IF(I99=H99,(H99-75),H99-I99)</f>
        <v>2.6900000000000013</v>
      </c>
      <c r="K99" s="866">
        <f>IF(I99&gt;=75,0,((75-I99)*(6/10)))</f>
        <v>27.311999999999998</v>
      </c>
      <c r="L99" s="1006">
        <f>I99+K99</f>
        <v>56.792000000000002</v>
      </c>
      <c r="M99" s="1081">
        <f>IF(I99&gt;=75,(1+(H99-75)/75),(J99/K99))</f>
        <v>9.8491505565319326E-2</v>
      </c>
      <c r="N99" s="983">
        <f>((G99/C99)*M99)</f>
        <v>9.8491505565319326E-2</v>
      </c>
      <c r="O99" s="854">
        <f>IF(((G99/C99)*M99)&gt;=1,3.571428,IF(((G99/C99)*M99)&lt;=0,0,((G99/C99)*M99)*3.571428))</f>
        <v>0.35175532073813726</v>
      </c>
      <c r="P99" s="762">
        <f>O99/3.571428</f>
        <v>9.8491505565319326E-2</v>
      </c>
      <c r="Q99" s="1080" t="s">
        <v>192</v>
      </c>
      <c r="R99" s="154" t="s">
        <v>364</v>
      </c>
      <c r="S99" s="22"/>
    </row>
    <row r="100" spans="1:19" ht="30.75" thickBot="1" x14ac:dyDescent="0.5">
      <c r="A100" s="1451">
        <v>28</v>
      </c>
      <c r="B100" s="1571" t="s">
        <v>88</v>
      </c>
      <c r="C100" s="1573">
        <f>M5</f>
        <v>3.5714285714285716</v>
      </c>
      <c r="D100" s="1571" t="s">
        <v>217</v>
      </c>
      <c r="E100" s="1573">
        <f>C100/1</f>
        <v>3.5714285714285716</v>
      </c>
      <c r="F100" s="674" t="s">
        <v>89</v>
      </c>
      <c r="G100" s="604">
        <f>$E$100/2</f>
        <v>1.7857142857142858</v>
      </c>
      <c r="H100" s="1120"/>
      <c r="I100" s="1112"/>
      <c r="J100" s="1082">
        <f>IF(I100=H100,(25-H100),I100-H100)</f>
        <v>25</v>
      </c>
      <c r="K100" s="927">
        <f>IF(I100&lt;=25,0,((0.25*I100)*(6/10)))</f>
        <v>0</v>
      </c>
      <c r="L100" s="1083">
        <f>I100-K100</f>
        <v>0</v>
      </c>
      <c r="M100" s="772" t="str">
        <f>IF(H100=0,"0%",J100/K100)</f>
        <v>0%</v>
      </c>
      <c r="N100" s="1576">
        <f>((G100/$C$100)*M100)+((G101/$C$100)*M101)</f>
        <v>0</v>
      </c>
      <c r="O100" s="1458">
        <f>IF((((G100/C100)*M100)+((G101/C100)*M101))&gt;=1,3.57148,IF((((G100/C100)*M100)+((G101/C100)*M101))&lt;=0,0, (((G100/C100)*M100)+((G101/C100)*M101))*3.571428))</f>
        <v>0</v>
      </c>
      <c r="P100" s="1460">
        <f>O100/3.571428</f>
        <v>0</v>
      </c>
      <c r="Q100" s="1084" t="s">
        <v>193</v>
      </c>
      <c r="R100" s="155"/>
      <c r="S100" s="130" t="s">
        <v>463</v>
      </c>
    </row>
    <row r="101" spans="1:19" ht="38.450000000000003" customHeight="1" thickBot="1" x14ac:dyDescent="0.5">
      <c r="A101" s="1451"/>
      <c r="B101" s="1572"/>
      <c r="C101" s="1574"/>
      <c r="D101" s="1572"/>
      <c r="E101" s="1575"/>
      <c r="F101" s="643" t="s">
        <v>90</v>
      </c>
      <c r="G101" s="612">
        <f>$E$100/2</f>
        <v>1.7857142857142858</v>
      </c>
      <c r="H101" s="1127"/>
      <c r="I101" s="1128"/>
      <c r="J101" s="1085">
        <f>IF(I101=H101,(H101-25),H101-I101)</f>
        <v>-25</v>
      </c>
      <c r="K101" s="810">
        <f>IF(I101&gt;=25,0,((25-I101)*(6/10)))</f>
        <v>15</v>
      </c>
      <c r="L101" s="1086">
        <f t="shared" ref="L101" si="33">K101+I101</f>
        <v>15</v>
      </c>
      <c r="M101" s="779" t="str">
        <f>IF(H101=0,"0%",J101/K101)</f>
        <v>0%</v>
      </c>
      <c r="N101" s="1577"/>
      <c r="O101" s="1459"/>
      <c r="P101" s="1461"/>
      <c r="Q101" s="1087" t="s">
        <v>95</v>
      </c>
      <c r="R101" s="118"/>
      <c r="S101" s="130" t="s">
        <v>463</v>
      </c>
    </row>
    <row r="102" spans="1:19" ht="34.25" customHeight="1" thickBot="1" x14ac:dyDescent="0.5">
      <c r="B102" s="721" t="s">
        <v>194</v>
      </c>
      <c r="C102" s="722">
        <f>C11+C13+C15+C19+C24+C33+C34+C35+C36+C38+C41+C44+C48+C51+C53+C61+C68+C71+C73+C75+C78+C81+C83+C87+C94+C98+C99+C100</f>
        <v>99.999999999999972</v>
      </c>
      <c r="D102" s="723"/>
      <c r="E102" s="722">
        <f>E11+E12+E13+E14+E15+E19+E20+E21+E22+E24+E25+E28+E31+E33+E34+E35+E36+E38+E39+E41+E42+E44+E45+E48+E49++E51+E53+E54+E55+E56+E57+E61+E62+E63+E64+E68+E71+E73+E75+E78+E81++E82+E83+E84+E85+E87+E88+E91+E94+E95+E96+E98+E99+E100</f>
        <v>100.00714285714285</v>
      </c>
      <c r="F102" s="724"/>
      <c r="G102" s="722">
        <f>G11+G12+G13+G14+G15+G16+G17+G19+G20+G21+G22+G24+G25+G26+G27+G28+G29+G30+G31+G33+G34+G35+G36+G38+G39+G41+G42+G44+G45+G48+G49+G51+G53+G54+G55+G56+G57+G58+G61+G62+G63+G64+G65+G66+G68+G71+G73+G75+G78+G81+G82+G83+G84+G85+G87+G88+G89+G90+G91+G94+G95+G96+G98+G99+G100+G101</f>
        <v>100.00714285714285</v>
      </c>
      <c r="H102" s="1178"/>
      <c r="I102" s="1179"/>
      <c r="J102" s="1178"/>
      <c r="K102" s="1180"/>
      <c r="L102" s="1181"/>
      <c r="M102" s="1182"/>
      <c r="N102" s="1183"/>
      <c r="O102" s="1184"/>
      <c r="P102" s="1184"/>
      <c r="Q102" s="1185"/>
      <c r="R102" s="24"/>
      <c r="S102" s="25"/>
    </row>
    <row r="104" spans="1:19" ht="15.75" x14ac:dyDescent="0.5">
      <c r="B104" s="26"/>
    </row>
    <row r="107" spans="1:19" ht="15.75" x14ac:dyDescent="0.5">
      <c r="B107" s="26"/>
    </row>
    <row r="108" spans="1:19" x14ac:dyDescent="0.45">
      <c r="B108" s="27"/>
    </row>
    <row r="109" spans="1:19" x14ac:dyDescent="0.45">
      <c r="B109" s="27"/>
    </row>
    <row r="111" spans="1:19" x14ac:dyDescent="0.45">
      <c r="E111"/>
      <c r="F111" s="725" t="s">
        <v>196</v>
      </c>
    </row>
    <row r="112" spans="1:19" x14ac:dyDescent="0.45">
      <c r="E112" s="726">
        <v>1</v>
      </c>
      <c r="F112" s="726" t="s">
        <v>197</v>
      </c>
    </row>
    <row r="113" spans="5:6" x14ac:dyDescent="0.45">
      <c r="E113" s="726">
        <v>2</v>
      </c>
      <c r="F113" s="726" t="s">
        <v>227</v>
      </c>
    </row>
    <row r="114" spans="5:6" x14ac:dyDescent="0.45">
      <c r="E114" s="726">
        <v>3</v>
      </c>
      <c r="F114" s="726" t="s">
        <v>228</v>
      </c>
    </row>
    <row r="115" spans="5:6" x14ac:dyDescent="0.45">
      <c r="E115" s="726">
        <v>4</v>
      </c>
      <c r="F115" s="726" t="s">
        <v>229</v>
      </c>
    </row>
    <row r="116" spans="5:6" x14ac:dyDescent="0.45">
      <c r="E116" s="726">
        <v>5</v>
      </c>
      <c r="F116" s="726" t="s">
        <v>198</v>
      </c>
    </row>
    <row r="117" spans="5:6" x14ac:dyDescent="0.45">
      <c r="E117" s="726">
        <v>6</v>
      </c>
      <c r="F117" s="726" t="s">
        <v>230</v>
      </c>
    </row>
    <row r="118" spans="5:6" x14ac:dyDescent="0.45">
      <c r="E118" s="726">
        <v>7</v>
      </c>
      <c r="F118" s="726" t="s">
        <v>231</v>
      </c>
    </row>
    <row r="119" spans="5:6" x14ac:dyDescent="0.45">
      <c r="E119" s="726">
        <v>8</v>
      </c>
      <c r="F119" s="726" t="s">
        <v>199</v>
      </c>
    </row>
    <row r="120" spans="5:6" x14ac:dyDescent="0.45">
      <c r="E120" s="726">
        <v>9</v>
      </c>
      <c r="F120" s="726" t="s">
        <v>200</v>
      </c>
    </row>
    <row r="121" spans="5:6" x14ac:dyDescent="0.45">
      <c r="E121" s="726">
        <v>10</v>
      </c>
      <c r="F121" s="726" t="s">
        <v>201</v>
      </c>
    </row>
    <row r="122" spans="5:6" x14ac:dyDescent="0.45">
      <c r="E122" s="726">
        <v>11</v>
      </c>
      <c r="F122" s="726" t="s">
        <v>232</v>
      </c>
    </row>
    <row r="123" spans="5:6" x14ac:dyDescent="0.45">
      <c r="E123" s="726">
        <v>12</v>
      </c>
      <c r="F123" s="726" t="s">
        <v>202</v>
      </c>
    </row>
    <row r="124" spans="5:6" x14ac:dyDescent="0.45">
      <c r="E124" s="726">
        <f t="shared" ref="E124:E145" si="34">E123+1</f>
        <v>13</v>
      </c>
      <c r="F124" s="726" t="s">
        <v>203</v>
      </c>
    </row>
    <row r="125" spans="5:6" x14ac:dyDescent="0.45">
      <c r="E125" s="726">
        <v>14</v>
      </c>
      <c r="F125" s="726" t="s">
        <v>233</v>
      </c>
    </row>
    <row r="126" spans="5:6" x14ac:dyDescent="0.45">
      <c r="E126" s="726">
        <v>15</v>
      </c>
      <c r="F126" s="726" t="s">
        <v>234</v>
      </c>
    </row>
    <row r="127" spans="5:6" x14ac:dyDescent="0.45">
      <c r="E127" s="726">
        <v>16</v>
      </c>
      <c r="F127" s="726" t="s">
        <v>213</v>
      </c>
    </row>
    <row r="128" spans="5:6" x14ac:dyDescent="0.45">
      <c r="E128" s="726">
        <v>17</v>
      </c>
      <c r="F128" s="726" t="s">
        <v>235</v>
      </c>
    </row>
    <row r="129" spans="5:6" x14ac:dyDescent="0.45">
      <c r="E129" s="726">
        <v>18</v>
      </c>
      <c r="F129" s="726" t="s">
        <v>263</v>
      </c>
    </row>
    <row r="130" spans="5:6" x14ac:dyDescent="0.45">
      <c r="E130" s="726">
        <v>19</v>
      </c>
      <c r="F130" s="726" t="s">
        <v>204</v>
      </c>
    </row>
    <row r="131" spans="5:6" x14ac:dyDescent="0.45">
      <c r="E131" s="726">
        <v>20</v>
      </c>
      <c r="F131" s="726" t="s">
        <v>236</v>
      </c>
    </row>
    <row r="132" spans="5:6" x14ac:dyDescent="0.45">
      <c r="E132" s="726">
        <v>21</v>
      </c>
      <c r="F132" s="726" t="s">
        <v>237</v>
      </c>
    </row>
    <row r="133" spans="5:6" x14ac:dyDescent="0.45">
      <c r="E133" s="726">
        <v>22</v>
      </c>
      <c r="F133" s="726" t="s">
        <v>238</v>
      </c>
    </row>
    <row r="134" spans="5:6" x14ac:dyDescent="0.45">
      <c r="E134" s="726">
        <v>23</v>
      </c>
      <c r="F134" s="726" t="s">
        <v>205</v>
      </c>
    </row>
    <row r="135" spans="5:6" x14ac:dyDescent="0.45">
      <c r="E135" s="726">
        <v>24</v>
      </c>
      <c r="F135" s="726" t="s">
        <v>239</v>
      </c>
    </row>
    <row r="136" spans="5:6" x14ac:dyDescent="0.45">
      <c r="E136" s="726">
        <v>25</v>
      </c>
      <c r="F136" s="726" t="s">
        <v>240</v>
      </c>
    </row>
    <row r="137" spans="5:6" x14ac:dyDescent="0.45">
      <c r="E137" s="726">
        <v>26</v>
      </c>
      <c r="F137" s="726" t="s">
        <v>241</v>
      </c>
    </row>
    <row r="138" spans="5:6" x14ac:dyDescent="0.45">
      <c r="E138" s="726">
        <v>27</v>
      </c>
      <c r="F138" s="726" t="s">
        <v>206</v>
      </c>
    </row>
    <row r="139" spans="5:6" x14ac:dyDescent="0.45">
      <c r="E139" s="726">
        <v>28</v>
      </c>
      <c r="F139" s="726" t="s">
        <v>242</v>
      </c>
    </row>
    <row r="140" spans="5:6" x14ac:dyDescent="0.45">
      <c r="E140" s="726">
        <v>29</v>
      </c>
      <c r="F140" s="726" t="s">
        <v>243</v>
      </c>
    </row>
    <row r="141" spans="5:6" x14ac:dyDescent="0.45">
      <c r="E141" s="726">
        <v>30</v>
      </c>
      <c r="F141" s="726" t="s">
        <v>244</v>
      </c>
    </row>
    <row r="142" spans="5:6" x14ac:dyDescent="0.45">
      <c r="E142" s="726">
        <v>31</v>
      </c>
      <c r="F142" s="726" t="s">
        <v>245</v>
      </c>
    </row>
    <row r="143" spans="5:6" x14ac:dyDescent="0.45">
      <c r="E143" s="726">
        <v>32</v>
      </c>
      <c r="F143" s="726" t="s">
        <v>246</v>
      </c>
    </row>
    <row r="144" spans="5:6" x14ac:dyDescent="0.45">
      <c r="E144" s="726">
        <v>33</v>
      </c>
      <c r="F144" s="726" t="s">
        <v>207</v>
      </c>
    </row>
    <row r="145" spans="5:6" x14ac:dyDescent="0.45">
      <c r="E145" s="726">
        <f t="shared" si="34"/>
        <v>34</v>
      </c>
      <c r="F145" s="726" t="s">
        <v>208</v>
      </c>
    </row>
    <row r="146" spans="5:6" x14ac:dyDescent="0.45">
      <c r="E146" s="726">
        <v>35</v>
      </c>
      <c r="F146" s="726" t="s">
        <v>247</v>
      </c>
    </row>
    <row r="147" spans="5:6" x14ac:dyDescent="0.45">
      <c r="E147" s="726">
        <v>36</v>
      </c>
      <c r="F147" s="726" t="s">
        <v>248</v>
      </c>
    </row>
    <row r="148" spans="5:6" x14ac:dyDescent="0.45">
      <c r="E148" s="726">
        <v>36</v>
      </c>
      <c r="F148" s="726" t="s">
        <v>249</v>
      </c>
    </row>
    <row r="149" spans="5:6" x14ac:dyDescent="0.45">
      <c r="E149" s="726">
        <v>38</v>
      </c>
      <c r="F149" s="726" t="s">
        <v>250</v>
      </c>
    </row>
    <row r="150" spans="5:6" x14ac:dyDescent="0.45">
      <c r="E150" s="726">
        <v>39</v>
      </c>
      <c r="F150" s="726" t="s">
        <v>251</v>
      </c>
    </row>
    <row r="151" spans="5:6" x14ac:dyDescent="0.45">
      <c r="E151" s="726">
        <v>40</v>
      </c>
      <c r="F151" s="726" t="s">
        <v>209</v>
      </c>
    </row>
    <row r="152" spans="5:6" x14ac:dyDescent="0.45">
      <c r="E152" s="726">
        <v>41</v>
      </c>
      <c r="F152" s="726" t="s">
        <v>264</v>
      </c>
    </row>
    <row r="153" spans="5:6" x14ac:dyDescent="0.45">
      <c r="E153" s="726">
        <v>42</v>
      </c>
      <c r="F153" s="726" t="s">
        <v>252</v>
      </c>
    </row>
    <row r="154" spans="5:6" x14ac:dyDescent="0.45">
      <c r="E154" s="726">
        <v>43</v>
      </c>
      <c r="F154" s="726" t="s">
        <v>253</v>
      </c>
    </row>
    <row r="155" spans="5:6" x14ac:dyDescent="0.45">
      <c r="E155" s="726">
        <v>44</v>
      </c>
      <c r="F155" s="726" t="s">
        <v>254</v>
      </c>
    </row>
    <row r="156" spans="5:6" x14ac:dyDescent="0.45">
      <c r="E156" s="726">
        <v>45</v>
      </c>
      <c r="F156" s="726" t="s">
        <v>210</v>
      </c>
    </row>
    <row r="157" spans="5:6" x14ac:dyDescent="0.45">
      <c r="E157" s="726">
        <v>46</v>
      </c>
      <c r="F157" s="726" t="s">
        <v>255</v>
      </c>
    </row>
    <row r="158" spans="5:6" x14ac:dyDescent="0.45">
      <c r="E158" s="726">
        <v>47</v>
      </c>
      <c r="F158" s="726" t="s">
        <v>211</v>
      </c>
    </row>
    <row r="159" spans="5:6" x14ac:dyDescent="0.45">
      <c r="E159" s="726">
        <v>48</v>
      </c>
      <c r="F159" s="726" t="s">
        <v>256</v>
      </c>
    </row>
    <row r="160" spans="5:6" x14ac:dyDescent="0.45">
      <c r="E160" s="726">
        <v>49</v>
      </c>
      <c r="F160" s="726" t="s">
        <v>257</v>
      </c>
    </row>
    <row r="161" spans="5:6" x14ac:dyDescent="0.45">
      <c r="E161" s="726">
        <v>50</v>
      </c>
      <c r="F161" s="726" t="s">
        <v>260</v>
      </c>
    </row>
    <row r="162" spans="5:6" x14ac:dyDescent="0.45">
      <c r="E162" s="726">
        <v>51</v>
      </c>
      <c r="F162" s="726" t="s">
        <v>258</v>
      </c>
    </row>
    <row r="163" spans="5:6" x14ac:dyDescent="0.45">
      <c r="E163" s="726">
        <v>52</v>
      </c>
      <c r="F163" s="726" t="s">
        <v>212</v>
      </c>
    </row>
    <row r="164" spans="5:6" x14ac:dyDescent="0.45">
      <c r="E164" s="726">
        <v>53</v>
      </c>
      <c r="F164" s="726" t="s">
        <v>259</v>
      </c>
    </row>
    <row r="165" spans="5:6" x14ac:dyDescent="0.45">
      <c r="E165" s="726">
        <v>54</v>
      </c>
      <c r="F165" s="726" t="s">
        <v>261</v>
      </c>
    </row>
    <row r="166" spans="5:6" x14ac:dyDescent="0.45">
      <c r="E166" s="726">
        <v>55</v>
      </c>
      <c r="F166" s="726" t="s">
        <v>262</v>
      </c>
    </row>
    <row r="167" spans="5:6" x14ac:dyDescent="0.45">
      <c r="E167"/>
      <c r="F167"/>
    </row>
    <row r="168" spans="5:6" x14ac:dyDescent="0.45">
      <c r="E168"/>
      <c r="F168"/>
    </row>
  </sheetData>
  <sheetProtection algorithmName="SHA-512" hashValue="ReU448d+ztqDtRHG+/H8F8zkeZ1B5DCjQt+ElKjSYragPAZqGLj73HOFDjj8/HU3Zn7H1FzxH6+YnP71d5jY2g==" saltValue="3nqRAUVsVO0p621jshVVDw=="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5">
      <colorScale>
        <cfvo type="num" val="0"/>
        <cfvo type="num" val="50"/>
        <cfvo type="num" val="100"/>
        <color rgb="FFFF0000"/>
        <color rgb="FFFFFF00"/>
        <color rgb="FF92FB4B"/>
      </colorScale>
    </cfRule>
  </conditionalFormatting>
  <conditionalFormatting sqref="N19:N22 N38:N39 N53 N11:N14">
    <cfRule type="colorScale" priority="134">
      <colorScale>
        <cfvo type="num" val="0"/>
        <cfvo type="num" val="0.6"/>
        <cfvo type="num" val="1"/>
        <color rgb="FFFF0000"/>
        <color rgb="FFFFFF00"/>
        <color rgb="FF92FB4B"/>
      </colorScale>
    </cfRule>
  </conditionalFormatting>
  <conditionalFormatting sqref="N15:N17">
    <cfRule type="colorScale" priority="133">
      <colorScale>
        <cfvo type="num" val="0"/>
        <cfvo type="num" val="0.6"/>
        <cfvo type="num" val="1"/>
        <color rgb="FFFF0000"/>
        <color rgb="FFFFFF00"/>
        <color rgb="FF92FB4B"/>
      </colorScale>
    </cfRule>
  </conditionalFormatting>
  <conditionalFormatting sqref="N24:N27">
    <cfRule type="colorScale" priority="132">
      <colorScale>
        <cfvo type="num" val="0"/>
        <cfvo type="num" val="0.6"/>
        <cfvo type="num" val="1"/>
        <color rgb="FFFF0000"/>
        <color rgb="FFFFFF00"/>
        <color rgb="FF92FB4B"/>
      </colorScale>
    </cfRule>
  </conditionalFormatting>
  <conditionalFormatting sqref="N33:N36">
    <cfRule type="colorScale" priority="131">
      <colorScale>
        <cfvo type="num" val="0"/>
        <cfvo type="num" val="0.6"/>
        <cfvo type="num" val="1"/>
        <color rgb="FFFF0000"/>
        <color rgb="FFFFFF00"/>
        <color rgb="FF92FB4B"/>
      </colorScale>
    </cfRule>
  </conditionalFormatting>
  <conditionalFormatting sqref="N41:N42">
    <cfRule type="colorScale" priority="130">
      <colorScale>
        <cfvo type="num" val="0"/>
        <cfvo type="num" val="0.6"/>
        <cfvo type="num" val="1"/>
        <color rgb="FFFF0000"/>
        <color rgb="FFFFFF00"/>
        <color rgb="FF92FB4B"/>
      </colorScale>
    </cfRule>
  </conditionalFormatting>
  <conditionalFormatting sqref="N44:N45">
    <cfRule type="colorScale" priority="129">
      <colorScale>
        <cfvo type="num" val="0"/>
        <cfvo type="num" val="0.6"/>
        <cfvo type="num" val="1"/>
        <color rgb="FFFF0000"/>
        <color rgb="FFFFFF00"/>
        <color rgb="FF92FB4B"/>
      </colorScale>
    </cfRule>
  </conditionalFormatting>
  <conditionalFormatting sqref="N48:N49">
    <cfRule type="colorScale" priority="128">
      <colorScale>
        <cfvo type="num" val="0"/>
        <cfvo type="num" val="0.6"/>
        <cfvo type="num" val="1"/>
        <color rgb="FFFF0000"/>
        <color rgb="FFFFFF00"/>
        <color rgb="FF92FB4B"/>
      </colorScale>
    </cfRule>
  </conditionalFormatting>
  <conditionalFormatting sqref="N61">
    <cfRule type="colorScale" priority="127">
      <colorScale>
        <cfvo type="num" val="0"/>
        <cfvo type="num" val="0.6"/>
        <cfvo type="num" val="1"/>
        <color rgb="FFFF0000"/>
        <color rgb="FFFFFF00"/>
        <color rgb="FF92FB4B"/>
      </colorScale>
    </cfRule>
  </conditionalFormatting>
  <conditionalFormatting sqref="N78">
    <cfRule type="colorScale" priority="123">
      <colorScale>
        <cfvo type="num" val="0"/>
        <cfvo type="num" val="0.6"/>
        <cfvo type="num" val="1"/>
        <color rgb="FFFF0000"/>
        <color rgb="FFFFFF00"/>
        <color rgb="FF92FB4B"/>
      </colorScale>
    </cfRule>
  </conditionalFormatting>
  <conditionalFormatting sqref="N68">
    <cfRule type="colorScale" priority="126">
      <colorScale>
        <cfvo type="num" val="0"/>
        <cfvo type="num" val="0.6"/>
        <cfvo type="num" val="1"/>
        <color rgb="FFFF0000"/>
        <color rgb="FFFFFF00"/>
        <color rgb="FF92FB4B"/>
      </colorScale>
    </cfRule>
  </conditionalFormatting>
  <conditionalFormatting sqref="N71">
    <cfRule type="colorScale" priority="125">
      <colorScale>
        <cfvo type="num" val="0"/>
        <cfvo type="num" val="0.6"/>
        <cfvo type="num" val="1"/>
        <color rgb="FFFF0000"/>
        <color rgb="FFFFFF00"/>
        <color rgb="FF92FB4B"/>
      </colorScale>
    </cfRule>
  </conditionalFormatting>
  <conditionalFormatting sqref="N73">
    <cfRule type="colorScale" priority="124">
      <colorScale>
        <cfvo type="num" val="0"/>
        <cfvo type="num" val="0.6"/>
        <cfvo type="num" val="1"/>
        <color rgb="FFFF0000"/>
        <color rgb="FFFFFF00"/>
        <color rgb="FF92FB4B"/>
      </colorScale>
    </cfRule>
  </conditionalFormatting>
  <conditionalFormatting sqref="N81">
    <cfRule type="colorScale" priority="122">
      <colorScale>
        <cfvo type="num" val="0"/>
        <cfvo type="num" val="0.6"/>
        <cfvo type="num" val="1"/>
        <color rgb="FFFF0000"/>
        <color rgb="FFFFFF00"/>
        <color rgb="FF92FB4B"/>
      </colorScale>
    </cfRule>
  </conditionalFormatting>
  <conditionalFormatting sqref="N87">
    <cfRule type="colorScale" priority="121">
      <colorScale>
        <cfvo type="num" val="0"/>
        <cfvo type="num" val="0.6"/>
        <cfvo type="num" val="1"/>
        <color rgb="FFFF0000"/>
        <color rgb="FFFFFF00"/>
        <color rgb="FF92FB4B"/>
      </colorScale>
    </cfRule>
  </conditionalFormatting>
  <conditionalFormatting sqref="N94">
    <cfRule type="colorScale" priority="120">
      <colorScale>
        <cfvo type="num" val="0"/>
        <cfvo type="num" val="0.6"/>
        <cfvo type="num" val="1"/>
        <color rgb="FFFF0000"/>
        <color rgb="FFFFFF00"/>
        <color rgb="FF92FB4B"/>
      </colorScale>
    </cfRule>
  </conditionalFormatting>
  <conditionalFormatting sqref="N98:N99">
    <cfRule type="colorScale" priority="119">
      <colorScale>
        <cfvo type="num" val="0"/>
        <cfvo type="num" val="0.6"/>
        <cfvo type="num" val="1"/>
        <color rgb="FFFF0000"/>
        <color rgb="FFFFFF00"/>
        <color rgb="FF92FB4B"/>
      </colorScale>
    </cfRule>
  </conditionalFormatting>
  <conditionalFormatting sqref="N100:N101">
    <cfRule type="colorScale" priority="118">
      <colorScale>
        <cfvo type="num" val="0"/>
        <cfvo type="num" val="0.6"/>
        <cfvo type="num" val="1"/>
        <color rgb="FFFF0000"/>
        <color rgb="FFFFFF00"/>
        <color rgb="FF92FB4B"/>
      </colorScale>
    </cfRule>
  </conditionalFormatting>
  <conditionalFormatting sqref="N51">
    <cfRule type="colorScale" priority="117">
      <colorScale>
        <cfvo type="num" val="0"/>
        <cfvo type="num" val="0.6"/>
        <cfvo type="num" val="1"/>
        <color rgb="FFFF0000"/>
        <color rgb="FFFFFF00"/>
        <color rgb="FF92FB4B"/>
      </colorScale>
    </cfRule>
  </conditionalFormatting>
  <conditionalFormatting sqref="N83">
    <cfRule type="colorScale" priority="116">
      <colorScale>
        <cfvo type="num" val="0"/>
        <cfvo type="num" val="0.6"/>
        <cfvo type="num" val="1"/>
        <color rgb="FFFF0000"/>
        <color rgb="FFFFFF00"/>
        <color rgb="FF92FB4B"/>
      </colorScale>
    </cfRule>
  </conditionalFormatting>
  <conditionalFormatting sqref="N75">
    <cfRule type="colorScale" priority="115">
      <colorScale>
        <cfvo type="num" val="0"/>
        <cfvo type="num" val="0.6"/>
        <cfvo type="num" val="1"/>
        <color rgb="FFFF0000"/>
        <color rgb="FFFFFF00"/>
        <color rgb="FF92FB4B"/>
      </colorScale>
    </cfRule>
  </conditionalFormatting>
  <conditionalFormatting sqref="N9">
    <cfRule type="colorScale" priority="114">
      <colorScale>
        <cfvo type="num" val="0"/>
        <cfvo type="num" val="0.6"/>
        <cfvo type="num" val="1"/>
        <color rgb="FFFF0000"/>
        <color rgb="FFFFFF00"/>
        <color rgb="FF92FB4B"/>
      </colorScale>
    </cfRule>
  </conditionalFormatting>
  <conditionalFormatting sqref="N10">
    <cfRule type="colorScale" priority="113">
      <colorScale>
        <cfvo type="num" val="0"/>
        <cfvo type="num" val="0.6"/>
        <cfvo type="num" val="1"/>
        <color rgb="FFFF0000"/>
        <color rgb="FFFFFF00"/>
        <color rgb="FF92FB4B"/>
      </colorScale>
    </cfRule>
  </conditionalFormatting>
  <conditionalFormatting sqref="N18">
    <cfRule type="colorScale" priority="112">
      <colorScale>
        <cfvo type="num" val="0"/>
        <cfvo type="num" val="0.6"/>
        <cfvo type="num" val="1"/>
        <color rgb="FFFF0000"/>
        <color rgb="FFFFFF00"/>
        <color rgb="FF92FB4B"/>
      </colorScale>
    </cfRule>
  </conditionalFormatting>
  <conditionalFormatting sqref="N23">
    <cfRule type="colorScale" priority="111">
      <colorScale>
        <cfvo type="num" val="0"/>
        <cfvo type="num" val="0.6"/>
        <cfvo type="num" val="1"/>
        <color rgb="FFFF0000"/>
        <color rgb="FFFFFF00"/>
        <color rgb="FF92FB4B"/>
      </colorScale>
    </cfRule>
  </conditionalFormatting>
  <conditionalFormatting sqref="N32">
    <cfRule type="colorScale" priority="110">
      <colorScale>
        <cfvo type="num" val="0"/>
        <cfvo type="num" val="0.6"/>
        <cfvo type="num" val="1"/>
        <color rgb="FFFF0000"/>
        <color rgb="FFFFFF00"/>
        <color rgb="FF92FB4B"/>
      </colorScale>
    </cfRule>
  </conditionalFormatting>
  <conditionalFormatting sqref="N37">
    <cfRule type="colorScale" priority="109">
      <colorScale>
        <cfvo type="num" val="0"/>
        <cfvo type="num" val="0.6"/>
        <cfvo type="num" val="1"/>
        <color rgb="FFFF0000"/>
        <color rgb="FFFFFF00"/>
        <color rgb="FF92FB4B"/>
      </colorScale>
    </cfRule>
  </conditionalFormatting>
  <conditionalFormatting sqref="N40">
    <cfRule type="colorScale" priority="108">
      <colorScale>
        <cfvo type="num" val="0"/>
        <cfvo type="num" val="0.6"/>
        <cfvo type="num" val="1"/>
        <color rgb="FFFF0000"/>
        <color rgb="FFFFFF00"/>
        <color rgb="FF92FB4B"/>
      </colorScale>
    </cfRule>
  </conditionalFormatting>
  <conditionalFormatting sqref="N43">
    <cfRule type="colorScale" priority="107">
      <colorScale>
        <cfvo type="num" val="0"/>
        <cfvo type="num" val="0.6"/>
        <cfvo type="num" val="1"/>
        <color rgb="FFFF0000"/>
        <color rgb="FFFFFF00"/>
        <color rgb="FF92FB4B"/>
      </colorScale>
    </cfRule>
  </conditionalFormatting>
  <conditionalFormatting sqref="N46">
    <cfRule type="colorScale" priority="106">
      <colorScale>
        <cfvo type="num" val="0"/>
        <cfvo type="num" val="0.6"/>
        <cfvo type="num" val="1"/>
        <color rgb="FFFF0000"/>
        <color rgb="FFFFFF00"/>
        <color rgb="FF92FB4B"/>
      </colorScale>
    </cfRule>
  </conditionalFormatting>
  <conditionalFormatting sqref="N47">
    <cfRule type="colorScale" priority="105">
      <colorScale>
        <cfvo type="num" val="0"/>
        <cfvo type="num" val="0.6"/>
        <cfvo type="num" val="1"/>
        <color rgb="FFFF0000"/>
        <color rgb="FFFFFF00"/>
        <color rgb="FF92FB4B"/>
      </colorScale>
    </cfRule>
  </conditionalFormatting>
  <conditionalFormatting sqref="N50">
    <cfRule type="colorScale" priority="104">
      <colorScale>
        <cfvo type="num" val="0"/>
        <cfvo type="num" val="0.6"/>
        <cfvo type="num" val="1"/>
        <color rgb="FFFF0000"/>
        <color rgb="FFFFFF00"/>
        <color rgb="FF92FB4B"/>
      </colorScale>
    </cfRule>
  </conditionalFormatting>
  <conditionalFormatting sqref="N52">
    <cfRule type="colorScale" priority="103">
      <colorScale>
        <cfvo type="num" val="0"/>
        <cfvo type="num" val="0.6"/>
        <cfvo type="num" val="1"/>
        <color rgb="FFFF0000"/>
        <color rgb="FFFFFF00"/>
        <color rgb="FF92FB4B"/>
      </colorScale>
    </cfRule>
  </conditionalFormatting>
  <conditionalFormatting sqref="N59">
    <cfRule type="colorScale" priority="102">
      <colorScale>
        <cfvo type="num" val="0"/>
        <cfvo type="num" val="0.6"/>
        <cfvo type="num" val="1"/>
        <color rgb="FFFF0000"/>
        <color rgb="FFFFFF00"/>
        <color rgb="FF92FB4B"/>
      </colorScale>
    </cfRule>
  </conditionalFormatting>
  <conditionalFormatting sqref="N60">
    <cfRule type="colorScale" priority="101">
      <colorScale>
        <cfvo type="num" val="0"/>
        <cfvo type="num" val="0.6"/>
        <cfvo type="num" val="1"/>
        <color rgb="FFFF0000"/>
        <color rgb="FFFFFF00"/>
        <color rgb="FF92FB4B"/>
      </colorScale>
    </cfRule>
  </conditionalFormatting>
  <conditionalFormatting sqref="N67">
    <cfRule type="colorScale" priority="100">
      <colorScale>
        <cfvo type="num" val="0"/>
        <cfvo type="num" val="0.6"/>
        <cfvo type="num" val="1"/>
        <color rgb="FFFF0000"/>
        <color rgb="FFFFFF00"/>
        <color rgb="FF92FB4B"/>
      </colorScale>
    </cfRule>
  </conditionalFormatting>
  <conditionalFormatting sqref="N69">
    <cfRule type="colorScale" priority="99">
      <colorScale>
        <cfvo type="num" val="0"/>
        <cfvo type="num" val="0.6"/>
        <cfvo type="num" val="1"/>
        <color rgb="FFFF0000"/>
        <color rgb="FFFFFF00"/>
        <color rgb="FF92FB4B"/>
      </colorScale>
    </cfRule>
  </conditionalFormatting>
  <conditionalFormatting sqref="N70">
    <cfRule type="colorScale" priority="98">
      <colorScale>
        <cfvo type="num" val="0"/>
        <cfvo type="num" val="0.6"/>
        <cfvo type="num" val="1"/>
        <color rgb="FFFF0000"/>
        <color rgb="FFFFFF00"/>
        <color rgb="FF92FB4B"/>
      </colorScale>
    </cfRule>
  </conditionalFormatting>
  <conditionalFormatting sqref="N72">
    <cfRule type="colorScale" priority="97">
      <colorScale>
        <cfvo type="num" val="0"/>
        <cfvo type="num" val="0.6"/>
        <cfvo type="num" val="1"/>
        <color rgb="FFFF0000"/>
        <color rgb="FFFFFF00"/>
        <color rgb="FF92FB4B"/>
      </colorScale>
    </cfRule>
  </conditionalFormatting>
  <conditionalFormatting sqref="N74">
    <cfRule type="colorScale" priority="96">
      <colorScale>
        <cfvo type="num" val="0"/>
        <cfvo type="num" val="0.6"/>
        <cfvo type="num" val="1"/>
        <color rgb="FFFF0000"/>
        <color rgb="FFFFFF00"/>
        <color rgb="FF92FB4B"/>
      </colorScale>
    </cfRule>
  </conditionalFormatting>
  <conditionalFormatting sqref="N76">
    <cfRule type="colorScale" priority="95">
      <colorScale>
        <cfvo type="num" val="0"/>
        <cfvo type="num" val="0.6"/>
        <cfvo type="num" val="1"/>
        <color rgb="FFFF0000"/>
        <color rgb="FFFFFF00"/>
        <color rgb="FF92FB4B"/>
      </colorScale>
    </cfRule>
  </conditionalFormatting>
  <conditionalFormatting sqref="N77">
    <cfRule type="colorScale" priority="94">
      <colorScale>
        <cfvo type="num" val="0"/>
        <cfvo type="num" val="0.6"/>
        <cfvo type="num" val="1"/>
        <color rgb="FFFF0000"/>
        <color rgb="FFFFFF00"/>
        <color rgb="FF92FB4B"/>
      </colorScale>
    </cfRule>
  </conditionalFormatting>
  <conditionalFormatting sqref="N79">
    <cfRule type="colorScale" priority="93">
      <colorScale>
        <cfvo type="num" val="0"/>
        <cfvo type="num" val="0.6"/>
        <cfvo type="num" val="1"/>
        <color rgb="FFFF0000"/>
        <color rgb="FFFFFF00"/>
        <color rgb="FF92FB4B"/>
      </colorScale>
    </cfRule>
  </conditionalFormatting>
  <conditionalFormatting sqref="N80">
    <cfRule type="colorScale" priority="92">
      <colorScale>
        <cfvo type="num" val="0"/>
        <cfvo type="num" val="0.6"/>
        <cfvo type="num" val="1"/>
        <color rgb="FFFF0000"/>
        <color rgb="FFFFFF00"/>
        <color rgb="FF92FB4B"/>
      </colorScale>
    </cfRule>
  </conditionalFormatting>
  <conditionalFormatting sqref="N86">
    <cfRule type="colorScale" priority="91">
      <colorScale>
        <cfvo type="num" val="0"/>
        <cfvo type="num" val="0.6"/>
        <cfvo type="num" val="1"/>
        <color rgb="FFFF0000"/>
        <color rgb="FFFFFF00"/>
        <color rgb="FF92FB4B"/>
      </colorScale>
    </cfRule>
  </conditionalFormatting>
  <conditionalFormatting sqref="N92">
    <cfRule type="colorScale" priority="90">
      <colorScale>
        <cfvo type="num" val="0"/>
        <cfvo type="num" val="0.6"/>
        <cfvo type="num" val="1"/>
        <color rgb="FFFF0000"/>
        <color rgb="FFFFFF00"/>
        <color rgb="FF92FB4B"/>
      </colorScale>
    </cfRule>
  </conditionalFormatting>
  <conditionalFormatting sqref="N93">
    <cfRule type="colorScale" priority="89">
      <colorScale>
        <cfvo type="num" val="0"/>
        <cfvo type="num" val="0.6"/>
        <cfvo type="num" val="1"/>
        <color rgb="FFFF0000"/>
        <color rgb="FFFFFF00"/>
        <color rgb="FF92FB4B"/>
      </colorScale>
    </cfRule>
  </conditionalFormatting>
  <conditionalFormatting sqref="N97">
    <cfRule type="colorScale" priority="88">
      <colorScale>
        <cfvo type="num" val="0"/>
        <cfvo type="num" val="0.6"/>
        <cfvo type="num" val="1"/>
        <color rgb="FFFF0000"/>
        <color rgb="FFFFFF00"/>
        <color rgb="FF92FB4B"/>
      </colorScale>
    </cfRule>
  </conditionalFormatting>
  <conditionalFormatting sqref="N4">
    <cfRule type="colorScale" priority="87">
      <colorScale>
        <cfvo type="num" val="0"/>
        <cfvo type="num" val="0.6"/>
        <cfvo type="num" val="1"/>
        <color rgb="FFFF0000"/>
        <color rgb="FFFFFF00"/>
        <color rgb="FF92FB4B"/>
      </colorScale>
    </cfRule>
  </conditionalFormatting>
  <conditionalFormatting sqref="P4">
    <cfRule type="colorScale" priority="86">
      <colorScale>
        <cfvo type="num" val="0"/>
        <cfvo type="num" val="0.6"/>
        <cfvo type="num" val="1"/>
        <color rgb="FFFF0000"/>
        <color rgb="FFFFFF00"/>
        <color rgb="FF92FB4B"/>
      </colorScale>
    </cfRule>
  </conditionalFormatting>
  <conditionalFormatting sqref="P9">
    <cfRule type="colorScale" priority="85">
      <colorScale>
        <cfvo type="num" val="0"/>
        <cfvo type="num" val="0.6"/>
        <cfvo type="num" val="1"/>
        <color rgb="FFFF0000"/>
        <color rgb="FFFFFF00"/>
        <color rgb="FF92FB4B"/>
      </colorScale>
    </cfRule>
  </conditionalFormatting>
  <conditionalFormatting sqref="P10">
    <cfRule type="colorScale" priority="84">
      <colorScale>
        <cfvo type="num" val="0"/>
        <cfvo type="num" val="0.6"/>
        <cfvo type="num" val="1"/>
        <color rgb="FFFF0000"/>
        <color rgb="FFFFFF00"/>
        <color rgb="FF92FB4B"/>
      </colorScale>
    </cfRule>
  </conditionalFormatting>
  <conditionalFormatting sqref="P11">
    <cfRule type="colorScale" priority="83">
      <colorScale>
        <cfvo type="num" val="0"/>
        <cfvo type="num" val="0.6"/>
        <cfvo type="num" val="1"/>
        <color rgb="FFFF0000"/>
        <color rgb="FFFFFF00"/>
        <color rgb="FF92FB4B"/>
      </colorScale>
    </cfRule>
  </conditionalFormatting>
  <conditionalFormatting sqref="P13">
    <cfRule type="colorScale" priority="82">
      <colorScale>
        <cfvo type="num" val="0"/>
        <cfvo type="num" val="0.6"/>
        <cfvo type="num" val="1"/>
        <color rgb="FFFF0000"/>
        <color rgb="FFFFFF00"/>
        <color rgb="FF92FB4B"/>
      </colorScale>
    </cfRule>
  </conditionalFormatting>
  <conditionalFormatting sqref="P15">
    <cfRule type="colorScale" priority="81">
      <colorScale>
        <cfvo type="num" val="0"/>
        <cfvo type="num" val="0.6"/>
        <cfvo type="num" val="1"/>
        <color rgb="FFFF0000"/>
        <color rgb="FFFFFF00"/>
        <color rgb="FF92FB4B"/>
      </colorScale>
    </cfRule>
  </conditionalFormatting>
  <conditionalFormatting sqref="P23">
    <cfRule type="colorScale" priority="80">
      <colorScale>
        <cfvo type="num" val="0"/>
        <cfvo type="num" val="0.6"/>
        <cfvo type="num" val="1"/>
        <color rgb="FFFF0000"/>
        <color rgb="FFFFFF00"/>
        <color rgb="FF92FB4B"/>
      </colorScale>
    </cfRule>
  </conditionalFormatting>
  <conditionalFormatting sqref="P32">
    <cfRule type="colorScale" priority="79">
      <colorScale>
        <cfvo type="num" val="0"/>
        <cfvo type="num" val="0.6"/>
        <cfvo type="num" val="1"/>
        <color rgb="FFFF0000"/>
        <color rgb="FFFFFF00"/>
        <color rgb="FF92FB4B"/>
      </colorScale>
    </cfRule>
  </conditionalFormatting>
  <conditionalFormatting sqref="P33">
    <cfRule type="colorScale" priority="78">
      <colorScale>
        <cfvo type="num" val="0"/>
        <cfvo type="num" val="0.6"/>
        <cfvo type="num" val="1"/>
        <color rgb="FFFF0000"/>
        <color rgb="FFFFFF00"/>
        <color rgb="FF92FB4B"/>
      </colorScale>
    </cfRule>
  </conditionalFormatting>
  <conditionalFormatting sqref="P34">
    <cfRule type="colorScale" priority="77">
      <colorScale>
        <cfvo type="num" val="0"/>
        <cfvo type="num" val="0.6"/>
        <cfvo type="num" val="1"/>
        <color rgb="FFFF0000"/>
        <color rgb="FFFFFF00"/>
        <color rgb="FF92FB4B"/>
      </colorScale>
    </cfRule>
  </conditionalFormatting>
  <conditionalFormatting sqref="P35">
    <cfRule type="colorScale" priority="76">
      <colorScale>
        <cfvo type="num" val="0"/>
        <cfvo type="num" val="0.6"/>
        <cfvo type="num" val="1"/>
        <color rgb="FFFF0000"/>
        <color rgb="FFFFFF00"/>
        <color rgb="FF92FB4B"/>
      </colorScale>
    </cfRule>
  </conditionalFormatting>
  <conditionalFormatting sqref="P36">
    <cfRule type="colorScale" priority="75">
      <colorScale>
        <cfvo type="num" val="0"/>
        <cfvo type="num" val="0.6"/>
        <cfvo type="num" val="1"/>
        <color rgb="FFFF0000"/>
        <color rgb="FFFFFF00"/>
        <color rgb="FF92FB4B"/>
      </colorScale>
    </cfRule>
  </conditionalFormatting>
  <conditionalFormatting sqref="P37">
    <cfRule type="colorScale" priority="74">
      <colorScale>
        <cfvo type="num" val="0"/>
        <cfvo type="num" val="0.6"/>
        <cfvo type="num" val="1"/>
        <color rgb="FFFF0000"/>
        <color rgb="FFFFFF00"/>
        <color rgb="FF92FB4B"/>
      </colorScale>
    </cfRule>
  </conditionalFormatting>
  <conditionalFormatting sqref="P38">
    <cfRule type="colorScale" priority="73">
      <colorScale>
        <cfvo type="num" val="0"/>
        <cfvo type="num" val="0.6"/>
        <cfvo type="num" val="1"/>
        <color rgb="FFFF0000"/>
        <color rgb="FFFFFF00"/>
        <color rgb="FF92FB4B"/>
      </colorScale>
    </cfRule>
  </conditionalFormatting>
  <conditionalFormatting sqref="P40">
    <cfRule type="colorScale" priority="72">
      <colorScale>
        <cfvo type="num" val="0"/>
        <cfvo type="num" val="0.6"/>
        <cfvo type="num" val="1"/>
        <color rgb="FFFF0000"/>
        <color rgb="FFFFFF00"/>
        <color rgb="FF92FB4B"/>
      </colorScale>
    </cfRule>
  </conditionalFormatting>
  <conditionalFormatting sqref="P41">
    <cfRule type="colorScale" priority="71">
      <colorScale>
        <cfvo type="num" val="0"/>
        <cfvo type="num" val="0.6"/>
        <cfvo type="num" val="1"/>
        <color rgb="FFFF0000"/>
        <color rgb="FFFFFF00"/>
        <color rgb="FF92FB4B"/>
      </colorScale>
    </cfRule>
  </conditionalFormatting>
  <conditionalFormatting sqref="P43">
    <cfRule type="colorScale" priority="70">
      <colorScale>
        <cfvo type="num" val="0"/>
        <cfvo type="num" val="0.6"/>
        <cfvo type="num" val="1"/>
        <color rgb="FFFF0000"/>
        <color rgb="FFFFFF00"/>
        <color rgb="FF92FB4B"/>
      </colorScale>
    </cfRule>
  </conditionalFormatting>
  <conditionalFormatting sqref="P44">
    <cfRule type="colorScale" priority="69">
      <colorScale>
        <cfvo type="num" val="0"/>
        <cfvo type="num" val="0.6"/>
        <cfvo type="num" val="1"/>
        <color rgb="FFFF0000"/>
        <color rgb="FFFFFF00"/>
        <color rgb="FF92FB4B"/>
      </colorScale>
    </cfRule>
  </conditionalFormatting>
  <conditionalFormatting sqref="P46">
    <cfRule type="colorScale" priority="68">
      <colorScale>
        <cfvo type="num" val="0"/>
        <cfvo type="num" val="0.6"/>
        <cfvo type="num" val="1"/>
        <color rgb="FFFF0000"/>
        <color rgb="FFFFFF00"/>
        <color rgb="FF92FB4B"/>
      </colorScale>
    </cfRule>
  </conditionalFormatting>
  <conditionalFormatting sqref="P47">
    <cfRule type="colorScale" priority="67">
      <colorScale>
        <cfvo type="num" val="0"/>
        <cfvo type="num" val="0.6"/>
        <cfvo type="num" val="1"/>
        <color rgb="FFFF0000"/>
        <color rgb="FFFFFF00"/>
        <color rgb="FF92FB4B"/>
      </colorScale>
    </cfRule>
  </conditionalFormatting>
  <conditionalFormatting sqref="P48">
    <cfRule type="colorScale" priority="66">
      <colorScale>
        <cfvo type="num" val="0"/>
        <cfvo type="num" val="0.6"/>
        <cfvo type="num" val="1"/>
        <color rgb="FFFF0000"/>
        <color rgb="FFFFFF00"/>
        <color rgb="FF92FB4B"/>
      </colorScale>
    </cfRule>
  </conditionalFormatting>
  <conditionalFormatting sqref="P50">
    <cfRule type="colorScale" priority="65">
      <colorScale>
        <cfvo type="num" val="0"/>
        <cfvo type="num" val="0.6"/>
        <cfvo type="num" val="1"/>
        <color rgb="FFFF0000"/>
        <color rgb="FFFFFF00"/>
        <color rgb="FF92FB4B"/>
      </colorScale>
    </cfRule>
  </conditionalFormatting>
  <conditionalFormatting sqref="P51">
    <cfRule type="colorScale" priority="64">
      <colorScale>
        <cfvo type="num" val="0"/>
        <cfvo type="num" val="0.6"/>
        <cfvo type="num" val="1"/>
        <color rgb="FFFF0000"/>
        <color rgb="FFFFFF00"/>
        <color rgb="FF92FB4B"/>
      </colorScale>
    </cfRule>
  </conditionalFormatting>
  <conditionalFormatting sqref="P52">
    <cfRule type="colorScale" priority="63">
      <colorScale>
        <cfvo type="num" val="0"/>
        <cfvo type="num" val="0.6"/>
        <cfvo type="num" val="1"/>
        <color rgb="FFFF0000"/>
        <color rgb="FFFFFF00"/>
        <color rgb="FF92FB4B"/>
      </colorScale>
    </cfRule>
  </conditionalFormatting>
  <conditionalFormatting sqref="P18">
    <cfRule type="colorScale" priority="62">
      <colorScale>
        <cfvo type="num" val="0"/>
        <cfvo type="num" val="0.6"/>
        <cfvo type="num" val="1"/>
        <color rgb="FFFF0000"/>
        <color rgb="FFFFFF00"/>
        <color rgb="FF92FB4B"/>
      </colorScale>
    </cfRule>
  </conditionalFormatting>
  <conditionalFormatting sqref="P19">
    <cfRule type="colorScale" priority="61">
      <colorScale>
        <cfvo type="num" val="0"/>
        <cfvo type="num" val="0.6"/>
        <cfvo type="num" val="1"/>
        <color rgb="FFFF0000"/>
        <color rgb="FFFFFF00"/>
        <color rgb="FF92FB4B"/>
      </colorScale>
    </cfRule>
  </conditionalFormatting>
  <conditionalFormatting sqref="P24">
    <cfRule type="colorScale" priority="60">
      <colorScale>
        <cfvo type="num" val="0"/>
        <cfvo type="num" val="0.6"/>
        <cfvo type="num" val="1"/>
        <color rgb="FFFF0000"/>
        <color rgb="FFFFFF00"/>
        <color rgb="FF92FB4B"/>
      </colorScale>
    </cfRule>
  </conditionalFormatting>
  <conditionalFormatting sqref="P53">
    <cfRule type="colorScale" priority="59">
      <colorScale>
        <cfvo type="num" val="0"/>
        <cfvo type="num" val="0.6"/>
        <cfvo type="num" val="1"/>
        <color rgb="FFFF0000"/>
        <color rgb="FFFFFF00"/>
        <color rgb="FF92FB4B"/>
      </colorScale>
    </cfRule>
  </conditionalFormatting>
  <conditionalFormatting sqref="P59">
    <cfRule type="colorScale" priority="58">
      <colorScale>
        <cfvo type="num" val="0"/>
        <cfvo type="num" val="0.6"/>
        <cfvo type="num" val="1"/>
        <color rgb="FFFF0000"/>
        <color rgb="FFFFFF00"/>
        <color rgb="FF92FB4B"/>
      </colorScale>
    </cfRule>
  </conditionalFormatting>
  <conditionalFormatting sqref="P60">
    <cfRule type="colorScale" priority="57">
      <colorScale>
        <cfvo type="num" val="0"/>
        <cfvo type="num" val="0.6"/>
        <cfvo type="num" val="1"/>
        <color rgb="FFFF0000"/>
        <color rgb="FFFFFF00"/>
        <color rgb="FF92FB4B"/>
      </colorScale>
    </cfRule>
  </conditionalFormatting>
  <conditionalFormatting sqref="P61">
    <cfRule type="colorScale" priority="56">
      <colorScale>
        <cfvo type="num" val="0"/>
        <cfvo type="num" val="0.6"/>
        <cfvo type="num" val="1"/>
        <color rgb="FFFF0000"/>
        <color rgb="FFFFFF00"/>
        <color rgb="FF92FB4B"/>
      </colorScale>
    </cfRule>
  </conditionalFormatting>
  <conditionalFormatting sqref="P67">
    <cfRule type="colorScale" priority="55">
      <colorScale>
        <cfvo type="num" val="0"/>
        <cfvo type="num" val="0.6"/>
        <cfvo type="num" val="1"/>
        <color rgb="FFFF0000"/>
        <color rgb="FFFFFF00"/>
        <color rgb="FF92FB4B"/>
      </colorScale>
    </cfRule>
  </conditionalFormatting>
  <conditionalFormatting sqref="P68">
    <cfRule type="colorScale" priority="54">
      <colorScale>
        <cfvo type="num" val="0"/>
        <cfvo type="num" val="0.6"/>
        <cfvo type="num" val="1"/>
        <color rgb="FFFF0000"/>
        <color rgb="FFFFFF00"/>
        <color rgb="FF92FB4B"/>
      </colorScale>
    </cfRule>
  </conditionalFormatting>
  <conditionalFormatting sqref="P69">
    <cfRule type="colorScale" priority="53">
      <colorScale>
        <cfvo type="num" val="0"/>
        <cfvo type="num" val="0.6"/>
        <cfvo type="num" val="1"/>
        <color rgb="FFFF0000"/>
        <color rgb="FFFFFF00"/>
        <color rgb="FF92FB4B"/>
      </colorScale>
    </cfRule>
  </conditionalFormatting>
  <conditionalFormatting sqref="P70">
    <cfRule type="colorScale" priority="52">
      <colorScale>
        <cfvo type="num" val="0"/>
        <cfvo type="num" val="0.6"/>
        <cfvo type="num" val="1"/>
        <color rgb="FFFF0000"/>
        <color rgb="FFFFFF00"/>
        <color rgb="FF92FB4B"/>
      </colorScale>
    </cfRule>
  </conditionalFormatting>
  <conditionalFormatting sqref="P71">
    <cfRule type="colorScale" priority="51">
      <colorScale>
        <cfvo type="num" val="0"/>
        <cfvo type="num" val="0.6"/>
        <cfvo type="num" val="1"/>
        <color rgb="FFFF0000"/>
        <color rgb="FFFFFF00"/>
        <color rgb="FF92FB4B"/>
      </colorScale>
    </cfRule>
  </conditionalFormatting>
  <conditionalFormatting sqref="P72">
    <cfRule type="colorScale" priority="50">
      <colorScale>
        <cfvo type="num" val="0"/>
        <cfvo type="num" val="0.6"/>
        <cfvo type="num" val="1"/>
        <color rgb="FFFF0000"/>
        <color rgb="FFFFFF00"/>
        <color rgb="FF92FB4B"/>
      </colorScale>
    </cfRule>
  </conditionalFormatting>
  <conditionalFormatting sqref="P73">
    <cfRule type="colorScale" priority="49">
      <colorScale>
        <cfvo type="num" val="0"/>
        <cfvo type="num" val="0.6"/>
        <cfvo type="num" val="1"/>
        <color rgb="FFFF0000"/>
        <color rgb="FFFFFF00"/>
        <color rgb="FF92FB4B"/>
      </colorScale>
    </cfRule>
  </conditionalFormatting>
  <conditionalFormatting sqref="P74">
    <cfRule type="colorScale" priority="48">
      <colorScale>
        <cfvo type="num" val="0"/>
        <cfvo type="num" val="0.6"/>
        <cfvo type="num" val="1"/>
        <color rgb="FFFF0000"/>
        <color rgb="FFFFFF00"/>
        <color rgb="FF92FB4B"/>
      </colorScale>
    </cfRule>
  </conditionalFormatting>
  <conditionalFormatting sqref="P75">
    <cfRule type="colorScale" priority="47">
      <colorScale>
        <cfvo type="num" val="0"/>
        <cfvo type="num" val="0.6"/>
        <cfvo type="num" val="1"/>
        <color rgb="FFFF0000"/>
        <color rgb="FFFFFF00"/>
        <color rgb="FF92FB4B"/>
      </colorScale>
    </cfRule>
  </conditionalFormatting>
  <conditionalFormatting sqref="P76">
    <cfRule type="colorScale" priority="46">
      <colorScale>
        <cfvo type="num" val="0"/>
        <cfvo type="num" val="0.6"/>
        <cfvo type="num" val="1"/>
        <color rgb="FFFF0000"/>
        <color rgb="FFFFFF00"/>
        <color rgb="FF92FB4B"/>
      </colorScale>
    </cfRule>
  </conditionalFormatting>
  <conditionalFormatting sqref="P77">
    <cfRule type="colorScale" priority="45">
      <colorScale>
        <cfvo type="num" val="0"/>
        <cfvo type="num" val="0.6"/>
        <cfvo type="num" val="1"/>
        <color rgb="FFFF0000"/>
        <color rgb="FFFFFF00"/>
        <color rgb="FF92FB4B"/>
      </colorScale>
    </cfRule>
  </conditionalFormatting>
  <conditionalFormatting sqref="P78">
    <cfRule type="colorScale" priority="44">
      <colorScale>
        <cfvo type="num" val="0"/>
        <cfvo type="num" val="0.6"/>
        <cfvo type="num" val="1"/>
        <color rgb="FFFF0000"/>
        <color rgb="FFFFFF00"/>
        <color rgb="FF92FB4B"/>
      </colorScale>
    </cfRule>
  </conditionalFormatting>
  <conditionalFormatting sqref="P79">
    <cfRule type="colorScale" priority="43">
      <colorScale>
        <cfvo type="num" val="0"/>
        <cfvo type="num" val="0.6"/>
        <cfvo type="num" val="1"/>
        <color rgb="FFFF0000"/>
        <color rgb="FFFFFF00"/>
        <color rgb="FF92FB4B"/>
      </colorScale>
    </cfRule>
  </conditionalFormatting>
  <conditionalFormatting sqref="P80">
    <cfRule type="colorScale" priority="42">
      <colorScale>
        <cfvo type="num" val="0"/>
        <cfvo type="num" val="0.6"/>
        <cfvo type="num" val="1"/>
        <color rgb="FFFF0000"/>
        <color rgb="FFFFFF00"/>
        <color rgb="FF92FB4B"/>
      </colorScale>
    </cfRule>
  </conditionalFormatting>
  <conditionalFormatting sqref="P81">
    <cfRule type="colorScale" priority="41">
      <colorScale>
        <cfvo type="num" val="0"/>
        <cfvo type="num" val="0.6"/>
        <cfvo type="num" val="1"/>
        <color rgb="FFFF0000"/>
        <color rgb="FFFFFF00"/>
        <color rgb="FF92FB4B"/>
      </colorScale>
    </cfRule>
  </conditionalFormatting>
  <conditionalFormatting sqref="P83">
    <cfRule type="colorScale" priority="40">
      <colorScale>
        <cfvo type="num" val="0"/>
        <cfvo type="num" val="0.6"/>
        <cfvo type="num" val="1"/>
        <color rgb="FFFF0000"/>
        <color rgb="FFFFFF00"/>
        <color rgb="FF92FB4B"/>
      </colorScale>
    </cfRule>
  </conditionalFormatting>
  <conditionalFormatting sqref="P86">
    <cfRule type="colorScale" priority="39">
      <colorScale>
        <cfvo type="num" val="0"/>
        <cfvo type="num" val="0.6"/>
        <cfvo type="num" val="1"/>
        <color rgb="FFFF0000"/>
        <color rgb="FFFFFF00"/>
        <color rgb="FF92FB4B"/>
      </colorScale>
    </cfRule>
  </conditionalFormatting>
  <conditionalFormatting sqref="P87">
    <cfRule type="colorScale" priority="38">
      <colorScale>
        <cfvo type="num" val="0"/>
        <cfvo type="num" val="0.6"/>
        <cfvo type="num" val="1"/>
        <color rgb="FFFF0000"/>
        <color rgb="FFFFFF00"/>
        <color rgb="FF92FB4B"/>
      </colorScale>
    </cfRule>
  </conditionalFormatting>
  <conditionalFormatting sqref="P92">
    <cfRule type="colorScale" priority="37">
      <colorScale>
        <cfvo type="num" val="0"/>
        <cfvo type="num" val="0.6"/>
        <cfvo type="num" val="1"/>
        <color rgb="FFFF0000"/>
        <color rgb="FFFFFF00"/>
        <color rgb="FF92FB4B"/>
      </colorScale>
    </cfRule>
  </conditionalFormatting>
  <conditionalFormatting sqref="P93">
    <cfRule type="colorScale" priority="36">
      <colorScale>
        <cfvo type="num" val="0"/>
        <cfvo type="num" val="0.6"/>
        <cfvo type="num" val="1"/>
        <color rgb="FFFF0000"/>
        <color rgb="FFFFFF00"/>
        <color rgb="FF92FB4B"/>
      </colorScale>
    </cfRule>
  </conditionalFormatting>
  <conditionalFormatting sqref="P94">
    <cfRule type="colorScale" priority="35">
      <colorScale>
        <cfvo type="num" val="0"/>
        <cfvo type="num" val="0.6"/>
        <cfvo type="num" val="1"/>
        <color rgb="FFFF0000"/>
        <color rgb="FFFFFF00"/>
        <color rgb="FF92FB4B"/>
      </colorScale>
    </cfRule>
  </conditionalFormatting>
  <conditionalFormatting sqref="P97">
    <cfRule type="colorScale" priority="34">
      <colorScale>
        <cfvo type="num" val="0"/>
        <cfvo type="num" val="0.6"/>
        <cfvo type="num" val="1"/>
        <color rgb="FFFF0000"/>
        <color rgb="FFFFFF00"/>
        <color rgb="FF92FB4B"/>
      </colorScale>
    </cfRule>
  </conditionalFormatting>
  <conditionalFormatting sqref="P98">
    <cfRule type="colorScale" priority="33">
      <colorScale>
        <cfvo type="num" val="0"/>
        <cfvo type="num" val="0.6"/>
        <cfvo type="num" val="1"/>
        <color rgb="FFFF0000"/>
        <color rgb="FFFFFF00"/>
        <color rgb="FF92FB4B"/>
      </colorScale>
    </cfRule>
  </conditionalFormatting>
  <conditionalFormatting sqref="P99">
    <cfRule type="colorScale" priority="32">
      <colorScale>
        <cfvo type="num" val="0"/>
        <cfvo type="num" val="0.6"/>
        <cfvo type="num" val="1"/>
        <color rgb="FFFF0000"/>
        <color rgb="FFFFFF00"/>
        <color rgb="FF92FB4B"/>
      </colorScale>
    </cfRule>
  </conditionalFormatting>
  <conditionalFormatting sqref="P100">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CD27E051-F23C-4005-B513-B52A7B231E9E}">
      <formula1>$F$112:$F$166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C208B-926F-439A-A491-21AF8F51F991}">
  <dimension ref="A1:AA168"/>
  <sheetViews>
    <sheetView topLeftCell="B1" zoomScale="60" zoomScaleNormal="60" workbookViewId="0">
      <selection activeCell="O11" sqref="O11:O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555"/>
      <c r="R1" s="3"/>
      <c r="S1" s="4"/>
      <c r="U1" s="556"/>
      <c r="V1" s="556"/>
      <c r="W1" s="556"/>
      <c r="X1" s="556"/>
      <c r="Y1" s="556"/>
      <c r="Z1" s="556"/>
      <c r="AA1" s="556"/>
    </row>
    <row r="2" spans="1:27" ht="30" x14ac:dyDescent="1.1000000000000001">
      <c r="B2" s="557"/>
      <c r="C2" s="558"/>
      <c r="D2" s="559" t="s">
        <v>286</v>
      </c>
      <c r="E2" s="558"/>
      <c r="F2" s="560"/>
      <c r="G2" s="560"/>
      <c r="H2" s="560"/>
      <c r="I2" s="560"/>
      <c r="J2" s="560"/>
      <c r="K2" s="560"/>
      <c r="L2" s="560"/>
      <c r="M2" s="560"/>
      <c r="N2" s="560"/>
      <c r="O2" s="560"/>
      <c r="P2" s="560"/>
      <c r="Q2" s="558"/>
      <c r="R2" s="560"/>
      <c r="S2" s="6"/>
    </row>
    <row r="3" spans="1:27" ht="14.65" thickBot="1" x14ac:dyDescent="0.5">
      <c r="B3" s="561"/>
      <c r="C3" s="562"/>
      <c r="D3" s="562"/>
      <c r="E3" s="562"/>
      <c r="F3" s="563"/>
      <c r="G3" s="563"/>
      <c r="H3" s="563"/>
      <c r="I3" s="563"/>
      <c r="J3" s="563"/>
      <c r="K3" s="563"/>
      <c r="L3" s="563"/>
      <c r="M3" s="563"/>
      <c r="N3" s="563"/>
      <c r="O3" s="563"/>
      <c r="P3" s="563"/>
      <c r="Q3" s="562"/>
      <c r="R3" s="563"/>
      <c r="S3" s="7"/>
    </row>
    <row r="4" spans="1:27" ht="26.45" customHeight="1" thickBot="1" x14ac:dyDescent="0.5">
      <c r="B4" s="561"/>
      <c r="C4" s="562"/>
      <c r="D4" s="564" t="s">
        <v>195</v>
      </c>
      <c r="E4" s="562"/>
      <c r="F4" s="8" t="s">
        <v>257</v>
      </c>
      <c r="G4" s="563"/>
      <c r="H4" s="563"/>
      <c r="I4" s="563"/>
      <c r="J4" s="563"/>
      <c r="K4" s="1434" t="s">
        <v>464</v>
      </c>
      <c r="L4" s="1578"/>
      <c r="M4" s="1579"/>
      <c r="N4" s="1092">
        <f>(N9+N46+N59+N69+N76+N79+N92)/7</f>
        <v>0.20085171011343009</v>
      </c>
      <c r="O4" s="1093">
        <f>(O9+O46+O59+O69+O76+O79+O92)</f>
        <v>24.182639818864253</v>
      </c>
      <c r="P4" s="1092">
        <f>O4/100</f>
        <v>0.24182639818864252</v>
      </c>
      <c r="Q4" s="562"/>
      <c r="R4" s="563"/>
      <c r="S4" s="7"/>
    </row>
    <row r="5" spans="1:27" ht="18.399999999999999" thickBot="1" x14ac:dyDescent="0.6">
      <c r="B5" s="1437"/>
      <c r="C5" s="1438"/>
      <c r="D5" s="1438"/>
      <c r="E5" s="1438"/>
      <c r="F5" s="1438"/>
      <c r="G5" s="1438"/>
      <c r="H5" s="1438"/>
      <c r="I5" s="1438"/>
      <c r="J5" s="1438"/>
      <c r="K5" s="1438"/>
      <c r="L5" s="66"/>
      <c r="M5" s="565">
        <f>100/28</f>
        <v>3.5714285714285716</v>
      </c>
      <c r="N5" s="9"/>
      <c r="O5" s="456"/>
      <c r="P5" s="456"/>
      <c r="Q5" s="566"/>
      <c r="R5" s="9"/>
      <c r="S5" s="10"/>
    </row>
    <row r="6" spans="1:27" ht="33.6" customHeight="1" thickBot="1" x14ac:dyDescent="0.5">
      <c r="B6" s="1439"/>
      <c r="C6" s="1440"/>
      <c r="D6" s="1440"/>
      <c r="E6" s="1440"/>
      <c r="F6" s="1441"/>
      <c r="G6" s="567"/>
      <c r="H6" s="567"/>
      <c r="I6" s="567"/>
      <c r="J6" s="567"/>
      <c r="K6" s="567"/>
      <c r="L6" s="567"/>
      <c r="M6" s="567"/>
      <c r="N6" s="568"/>
      <c r="O6" s="569"/>
      <c r="P6" s="569"/>
      <c r="Q6" s="568"/>
      <c r="R6" s="12"/>
      <c r="S6" s="13"/>
    </row>
    <row r="7" spans="1:27" ht="55.8" customHeight="1" thickBot="1" x14ac:dyDescent="0.5">
      <c r="B7" s="1580"/>
      <c r="C7" s="1581"/>
      <c r="D7" s="1581"/>
      <c r="E7" s="1581"/>
      <c r="F7" s="1582"/>
      <c r="G7" s="570"/>
      <c r="H7" s="571" t="s">
        <v>218</v>
      </c>
      <c r="I7" s="572" t="s">
        <v>219</v>
      </c>
      <c r="J7" s="573" t="s">
        <v>91</v>
      </c>
      <c r="K7" s="574" t="s">
        <v>107</v>
      </c>
      <c r="L7" s="574" t="s">
        <v>104</v>
      </c>
      <c r="M7" s="574" t="s">
        <v>105</v>
      </c>
      <c r="N7" s="572" t="s">
        <v>106</v>
      </c>
      <c r="O7" s="572" t="s">
        <v>465</v>
      </c>
      <c r="P7" s="575" t="s">
        <v>466</v>
      </c>
      <c r="Q7" s="576" t="s">
        <v>93</v>
      </c>
      <c r="R7" s="577" t="s">
        <v>110</v>
      </c>
      <c r="S7" s="578" t="s">
        <v>103</v>
      </c>
    </row>
    <row r="8" spans="1:27" ht="25.25" customHeight="1" thickBot="1" x14ac:dyDescent="0.5">
      <c r="B8" s="579" t="s">
        <v>2</v>
      </c>
      <c r="C8" s="579" t="s">
        <v>92</v>
      </c>
      <c r="D8" s="579" t="s">
        <v>3</v>
      </c>
      <c r="E8" s="579" t="s">
        <v>94</v>
      </c>
      <c r="F8" s="579" t="s">
        <v>102</v>
      </c>
      <c r="G8" s="579" t="s">
        <v>96</v>
      </c>
      <c r="H8" s="580"/>
      <c r="I8" s="581"/>
      <c r="J8" s="580"/>
      <c r="K8" s="582"/>
      <c r="L8" s="582"/>
      <c r="M8" s="579"/>
      <c r="N8" s="583"/>
      <c r="O8" s="584"/>
      <c r="P8" s="585"/>
      <c r="Q8" s="581"/>
      <c r="R8" s="583"/>
      <c r="S8" s="583"/>
      <c r="V8" s="586" t="s">
        <v>151</v>
      </c>
      <c r="W8" s="587"/>
      <c r="X8" s="587"/>
      <c r="Y8" s="587"/>
      <c r="Z8" s="588"/>
    </row>
    <row r="9" spans="1:27" s="144" customFormat="1" ht="25.25" customHeight="1" thickBot="1" x14ac:dyDescent="0.5">
      <c r="B9" s="1445" t="s">
        <v>0</v>
      </c>
      <c r="C9" s="1446"/>
      <c r="D9" s="1446"/>
      <c r="E9" s="1446"/>
      <c r="F9" s="1447"/>
      <c r="G9" s="589"/>
      <c r="H9" s="756"/>
      <c r="I9" s="757"/>
      <c r="J9" s="758"/>
      <c r="K9" s="758"/>
      <c r="L9" s="758"/>
      <c r="M9" s="759"/>
      <c r="N9" s="760">
        <f>(N10+N18+N23+N32+N37+N40+N43)/7</f>
        <v>-0.19168977552885785</v>
      </c>
      <c r="O9" s="761">
        <f>(O10+O18+O23+O32+O37+O40+O43)</f>
        <v>1.505650431408398</v>
      </c>
      <c r="P9" s="762">
        <f>O9/42.857136</f>
        <v>3.5131849020625133E-2</v>
      </c>
      <c r="Q9" s="758"/>
      <c r="R9" s="590"/>
      <c r="S9" s="590"/>
      <c r="U9" s="591"/>
      <c r="V9" s="592"/>
      <c r="W9" s="593"/>
      <c r="X9" s="593"/>
      <c r="Y9" s="593"/>
      <c r="Z9" s="594"/>
      <c r="AA9" s="591"/>
    </row>
    <row r="10" spans="1:27" s="96" customFormat="1" ht="25.25" customHeight="1" thickBot="1" x14ac:dyDescent="0.5">
      <c r="B10" s="1583" t="s">
        <v>1</v>
      </c>
      <c r="C10" s="1584"/>
      <c r="D10" s="1584"/>
      <c r="E10" s="1584"/>
      <c r="F10" s="1585"/>
      <c r="G10" s="595"/>
      <c r="H10" s="763"/>
      <c r="I10" s="764"/>
      <c r="J10" s="765"/>
      <c r="K10" s="765"/>
      <c r="L10" s="765"/>
      <c r="M10" s="766"/>
      <c r="N10" s="760">
        <f>(N11+N13+N15)/3</f>
        <v>-1.17162371094252</v>
      </c>
      <c r="O10" s="761">
        <f>(O11+O13+O15)</f>
        <v>1.3371288405797093</v>
      </c>
      <c r="P10" s="762">
        <f>O10/10.714284</f>
        <v>0.12479871175523342</v>
      </c>
      <c r="Q10" s="765"/>
      <c r="R10" s="596"/>
      <c r="S10" s="596"/>
      <c r="U10" s="597"/>
      <c r="V10" s="598"/>
      <c r="W10" s="599"/>
      <c r="X10" s="599"/>
      <c r="Y10" s="599"/>
      <c r="Z10" s="600"/>
      <c r="AA10" s="597"/>
    </row>
    <row r="11" spans="1:27" ht="27.6" customHeight="1" x14ac:dyDescent="0.45">
      <c r="A11" s="1492">
        <v>1</v>
      </c>
      <c r="B11" s="1592" t="s">
        <v>4</v>
      </c>
      <c r="C11" s="1594">
        <f>M5</f>
        <v>3.5714285714285716</v>
      </c>
      <c r="D11" s="601" t="s">
        <v>111</v>
      </c>
      <c r="E11" s="602">
        <f>$C$11/2</f>
        <v>1.7857142857142858</v>
      </c>
      <c r="F11" s="603" t="s">
        <v>5</v>
      </c>
      <c r="G11" s="604">
        <f>E11/1</f>
        <v>1.7857142857142858</v>
      </c>
      <c r="H11" s="767">
        <v>1560</v>
      </c>
      <c r="I11" s="768">
        <v>1210</v>
      </c>
      <c r="J11" s="769">
        <f>(H11-I11)</f>
        <v>350</v>
      </c>
      <c r="K11" s="770">
        <f>(0.3*I11)*6/10</f>
        <v>217.8</v>
      </c>
      <c r="L11" s="771">
        <f>I11+K11</f>
        <v>1427.8</v>
      </c>
      <c r="M11" s="772">
        <f>IF(K11&lt;&gt;0,J11/K11,"0%")</f>
        <v>1.6069788797061524</v>
      </c>
      <c r="N11" s="1588">
        <f>(((G11/C11)*M11)+((G12/C11)*M12))</f>
        <v>-3.7308242856371199</v>
      </c>
      <c r="O11" s="1481">
        <f>IF((((G11/C11)*M11)+((G12/C11)*M12))&gt;=1,3.57148,IF((((G11/C11)*M11)+((G12/C11)*M12))&lt;=0,0, (((G11/C11)*M11)+((G12/C11)*M12))*3.571428))</f>
        <v>0</v>
      </c>
      <c r="P11" s="1460">
        <f>O11/3.571428</f>
        <v>0</v>
      </c>
      <c r="Q11" s="773" t="s">
        <v>97</v>
      </c>
      <c r="R11" s="239" t="s">
        <v>501</v>
      </c>
      <c r="S11" s="519"/>
      <c r="V11" s="605" t="s">
        <v>109</v>
      </c>
      <c r="W11" s="606" t="e">
        <f>#REF!</f>
        <v>#REF!</v>
      </c>
      <c r="X11" s="607"/>
      <c r="Y11" s="607"/>
      <c r="Z11" s="608"/>
    </row>
    <row r="12" spans="1:27" ht="27" customHeight="1" thickBot="1" x14ac:dyDescent="0.5">
      <c r="A12" s="1492"/>
      <c r="B12" s="1593"/>
      <c r="C12" s="1595"/>
      <c r="D12" s="609" t="s">
        <v>112</v>
      </c>
      <c r="E12" s="610">
        <f>$C$11/2</f>
        <v>1.7857142857142858</v>
      </c>
      <c r="F12" s="611" t="s">
        <v>281</v>
      </c>
      <c r="G12" s="612">
        <f>E12/1</f>
        <v>1.7857142857142858</v>
      </c>
      <c r="H12" s="774">
        <v>32.1</v>
      </c>
      <c r="I12" s="775">
        <v>13.6</v>
      </c>
      <c r="J12" s="776">
        <f>I12-H12</f>
        <v>-18.5</v>
      </c>
      <c r="K12" s="777">
        <f>(0.25*I12)*(6/10)</f>
        <v>2.04</v>
      </c>
      <c r="L12" s="778">
        <f>I12-K12</f>
        <v>11.559999999999999</v>
      </c>
      <c r="M12" s="793">
        <f>IF(K12&lt;&gt;0,J12/K12,"0%")</f>
        <v>-9.0686274509803919</v>
      </c>
      <c r="N12" s="1589"/>
      <c r="O12" s="1590"/>
      <c r="P12" s="1591"/>
      <c r="Q12" s="780" t="s">
        <v>98</v>
      </c>
      <c r="R12" s="734" t="s">
        <v>545</v>
      </c>
      <c r="S12" s="512" t="s">
        <v>376</v>
      </c>
      <c r="V12" s="613">
        <v>0.02</v>
      </c>
      <c r="W12" s="614" t="e">
        <f>(W11-(W11*V12))</f>
        <v>#REF!</v>
      </c>
      <c r="X12" s="614" t="e">
        <f>W11-(V12*W11)</f>
        <v>#REF!</v>
      </c>
      <c r="Y12" s="607"/>
      <c r="Z12" s="608"/>
    </row>
    <row r="13" spans="1:27" ht="32.450000000000003" customHeight="1" x14ac:dyDescent="0.45">
      <c r="A13" s="1492">
        <v>2</v>
      </c>
      <c r="B13" s="1586" t="s">
        <v>6</v>
      </c>
      <c r="C13" s="1587">
        <f>M5</f>
        <v>3.5714285714285716</v>
      </c>
      <c r="D13" s="615" t="s">
        <v>273</v>
      </c>
      <c r="E13" s="616">
        <f>$C$13/2</f>
        <v>1.7857142857142858</v>
      </c>
      <c r="F13" s="617" t="s">
        <v>7</v>
      </c>
      <c r="G13" s="618">
        <f>E13/1</f>
        <v>1.7857142857142858</v>
      </c>
      <c r="H13" s="1186"/>
      <c r="I13" s="1187">
        <v>33</v>
      </c>
      <c r="J13" s="783">
        <f>IF(I13=H13,(5-H13),I13-H13)</f>
        <v>33</v>
      </c>
      <c r="K13" s="784">
        <f>IF(I13&lt;=5,0,((I13-5)*(6/10)))</f>
        <v>16.8</v>
      </c>
      <c r="L13" s="785">
        <f>I13-K13</f>
        <v>16.2</v>
      </c>
      <c r="M13" s="772" t="str">
        <f>IF(H13=0,"0%",J13/K13)</f>
        <v>0%</v>
      </c>
      <c r="N13" s="1588">
        <f>(((G13/C13)*M13)+((G14/C13)*M14))</f>
        <v>-0.15844298245614039</v>
      </c>
      <c r="O13" s="1481">
        <f>IF((((G13/C13)*M13)+((G14/C13)*M14))&gt;=1,3.57148,IF((((G13/C13)*M13)+((G14/C13)*M14))&lt;=0,0, (((G13/C13)*M13)+((G14/C13)*M14))*3.571428))</f>
        <v>0</v>
      </c>
      <c r="P13" s="1460">
        <f>O13/3.571428</f>
        <v>0</v>
      </c>
      <c r="Q13" s="1188" t="s">
        <v>99</v>
      </c>
      <c r="R13" s="735" t="s">
        <v>501</v>
      </c>
      <c r="S13" s="736" t="s">
        <v>496</v>
      </c>
      <c r="V13" s="613">
        <v>0.02</v>
      </c>
      <c r="W13" s="614" t="e">
        <f>(#REF!-(#REF!*V13))</f>
        <v>#REF!</v>
      </c>
      <c r="X13" s="614" t="e">
        <f>(W11-(V12*W11))-((W11-(V12*W11))*0.02)-(((W11-(V12*W11))-((W11-(V12*W11))*0.02))*0.02)-(((W11-(V12*W11))-((W11-(V12*W11))*0.02)-(((W11-(V12*W11))-((W11-(V12*W11))*0.02))*0.02))*0.02)</f>
        <v>#REF!</v>
      </c>
      <c r="Y13" s="619" t="e">
        <f>(W11-W14)/W11</f>
        <v>#REF!</v>
      </c>
      <c r="Z13" s="608"/>
    </row>
    <row r="14" spans="1:27" ht="33" customHeight="1" thickBot="1" x14ac:dyDescent="0.5">
      <c r="A14" s="1492"/>
      <c r="B14" s="1494"/>
      <c r="C14" s="1496"/>
      <c r="D14" s="609" t="s">
        <v>274</v>
      </c>
      <c r="E14" s="620">
        <f>$C$13/2</f>
        <v>1.7857142857142858</v>
      </c>
      <c r="F14" s="621" t="s">
        <v>8</v>
      </c>
      <c r="G14" s="622">
        <f>E14/1</f>
        <v>1.7857142857142858</v>
      </c>
      <c r="H14" s="1189">
        <v>62.22</v>
      </c>
      <c r="I14" s="1190">
        <v>68</v>
      </c>
      <c r="J14" s="790">
        <f>H14-I14</f>
        <v>-5.7800000000000011</v>
      </c>
      <c r="K14" s="791">
        <f>(0.95*(100-I14))*6/10</f>
        <v>18.239999999999998</v>
      </c>
      <c r="L14" s="792">
        <f>K14+I14</f>
        <v>86.24</v>
      </c>
      <c r="M14" s="793">
        <f>IF(H14=0,"0%",J14/K14)</f>
        <v>-0.31688596491228077</v>
      </c>
      <c r="N14" s="1589"/>
      <c r="O14" s="1590"/>
      <c r="P14" s="1591"/>
      <c r="Q14" s="1191" t="s">
        <v>100</v>
      </c>
      <c r="R14" s="734"/>
      <c r="S14" s="512"/>
      <c r="V14" s="623">
        <v>0.02</v>
      </c>
      <c r="W14" s="624" t="e">
        <f>(#REF!-(#REF!*V14))</f>
        <v>#REF!</v>
      </c>
      <c r="X14" s="62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625" t="e">
        <f>W11-X14</f>
        <v>#REF!</v>
      </c>
      <c r="Z14" s="626"/>
    </row>
    <row r="15" spans="1:27" ht="22.25" customHeight="1" x14ac:dyDescent="0.45">
      <c r="A15" s="1492">
        <v>3</v>
      </c>
      <c r="B15" s="1586" t="s">
        <v>9</v>
      </c>
      <c r="C15" s="1587">
        <f>M5</f>
        <v>3.5714285714285716</v>
      </c>
      <c r="D15" s="1586" t="s">
        <v>113</v>
      </c>
      <c r="E15" s="1605">
        <f>$C$15/1</f>
        <v>3.5714285714285716</v>
      </c>
      <c r="F15" s="627" t="s">
        <v>221</v>
      </c>
      <c r="G15" s="628">
        <f>$E$15/3</f>
        <v>1.1904761904761905</v>
      </c>
      <c r="H15" s="1111"/>
      <c r="I15" s="1143">
        <v>44.9</v>
      </c>
      <c r="J15" s="797">
        <f>H15-I15</f>
        <v>-44.9</v>
      </c>
      <c r="K15" s="798">
        <f>(0.5*I15)*6/10</f>
        <v>13.469999999999999</v>
      </c>
      <c r="L15" s="771">
        <f>I15+K15</f>
        <v>58.37</v>
      </c>
      <c r="M15" s="772" t="str">
        <f>IF(H15=0,"0%",J15/K15)</f>
        <v>0%</v>
      </c>
      <c r="N15" s="1606">
        <f>(((G15/C15)*M15)+((G16/C15)*M16)+((G17/C15)*M17))</f>
        <v>0.37439613526570026</v>
      </c>
      <c r="O15" s="1484">
        <f>IF((((G15/C15)*M15)+((G16/C15)*M16)+((G17/C15)*M17))&gt;=1,3.571428,IF((((G15/C15)*M15)+((G16/C15)*M16)+((G17/C15)*M17))&lt;=0,0,(((G15/C15)*M15)+((G16/C15)*M16)+((G17/C15)*M17))*3.571428))</f>
        <v>1.3371288405797093</v>
      </c>
      <c r="P15" s="1460">
        <f>O15/3.571428</f>
        <v>0.37439613526570026</v>
      </c>
      <c r="Q15" s="1192" t="s">
        <v>101</v>
      </c>
      <c r="R15" s="99" t="s">
        <v>378</v>
      </c>
      <c r="S15" s="737" t="s">
        <v>546</v>
      </c>
    </row>
    <row r="16" spans="1:27" ht="23.25" x14ac:dyDescent="0.45">
      <c r="A16" s="1492"/>
      <c r="B16" s="1493"/>
      <c r="C16" s="1495"/>
      <c r="D16" s="1493"/>
      <c r="E16" s="1495"/>
      <c r="F16" s="629" t="s">
        <v>220</v>
      </c>
      <c r="G16" s="630">
        <f t="shared" ref="G16:G17" si="0">$E$15/3</f>
        <v>1.1904761904761905</v>
      </c>
      <c r="H16" s="1144"/>
      <c r="I16" s="1145"/>
      <c r="J16" s="802">
        <f>H16-I16</f>
        <v>0</v>
      </c>
      <c r="K16" s="803">
        <f>(0.5*I16)*6/10</f>
        <v>0</v>
      </c>
      <c r="L16" s="804">
        <f t="shared" ref="L16:L17" si="1">I16+K16</f>
        <v>0</v>
      </c>
      <c r="M16" s="805" t="str">
        <f>IF(K16&lt;&gt;0,J16/K16,"0%")</f>
        <v>0%</v>
      </c>
      <c r="N16" s="1607"/>
      <c r="O16" s="1602"/>
      <c r="P16" s="1604"/>
      <c r="Q16" s="1193" t="s">
        <v>95</v>
      </c>
      <c r="R16" s="685" t="s">
        <v>502</v>
      </c>
      <c r="S16" s="540" t="s">
        <v>463</v>
      </c>
    </row>
    <row r="17" spans="1:19" ht="25.25" customHeight="1" thickBot="1" x14ac:dyDescent="0.5">
      <c r="A17" s="1492"/>
      <c r="B17" s="1494"/>
      <c r="C17" s="1496"/>
      <c r="D17" s="1494"/>
      <c r="E17" s="1496"/>
      <c r="F17" s="631" t="s">
        <v>10</v>
      </c>
      <c r="G17" s="632">
        <f t="shared" si="0"/>
        <v>1.1904761904761905</v>
      </c>
      <c r="H17" s="807">
        <v>36.9</v>
      </c>
      <c r="I17" s="808">
        <v>27.6</v>
      </c>
      <c r="J17" s="809">
        <f>H17-I17</f>
        <v>9.2999999999999972</v>
      </c>
      <c r="K17" s="810">
        <f>(0.5*I17)*6/10</f>
        <v>8.2800000000000011</v>
      </c>
      <c r="L17" s="778">
        <f t="shared" si="1"/>
        <v>35.880000000000003</v>
      </c>
      <c r="M17" s="779">
        <f>IF(K17&lt;&gt;0,J17/K17,"0%")</f>
        <v>1.1231884057971009</v>
      </c>
      <c r="N17" s="1608"/>
      <c r="O17" s="1603"/>
      <c r="P17" s="1591"/>
      <c r="Q17" s="1194" t="s">
        <v>162</v>
      </c>
      <c r="R17" s="95" t="s">
        <v>378</v>
      </c>
      <c r="S17" s="738" t="s">
        <v>376</v>
      </c>
    </row>
    <row r="18" spans="1:19" ht="21.4" customHeight="1" thickBot="1" x14ac:dyDescent="0.7">
      <c r="A18" s="14"/>
      <c r="B18" s="1486" t="s">
        <v>11</v>
      </c>
      <c r="C18" s="1487"/>
      <c r="D18" s="1487"/>
      <c r="E18" s="1487"/>
      <c r="F18" s="1488"/>
      <c r="G18" s="633"/>
      <c r="H18" s="1195"/>
      <c r="I18" s="1196"/>
      <c r="J18" s="813"/>
      <c r="K18" s="813"/>
      <c r="L18" s="813"/>
      <c r="M18" s="814"/>
      <c r="N18" s="760">
        <f>N19</f>
        <v>4.4617874727771928E-2</v>
      </c>
      <c r="O18" s="761">
        <f>O19</f>
        <v>0.15934952710325703</v>
      </c>
      <c r="P18" s="762">
        <f>O18/3.571428</f>
        <v>4.4617874727771928E-2</v>
      </c>
      <c r="Q18" s="813"/>
      <c r="R18" s="258"/>
      <c r="S18" s="259"/>
    </row>
    <row r="19" spans="1:19" ht="34.25" customHeight="1" thickBot="1" x14ac:dyDescent="0.5">
      <c r="A19" s="1492">
        <v>4</v>
      </c>
      <c r="B19" s="1596" t="s">
        <v>12</v>
      </c>
      <c r="C19" s="1597">
        <f>M5</f>
        <v>3.5714285714285716</v>
      </c>
      <c r="D19" s="635" t="s">
        <v>114</v>
      </c>
      <c r="E19" s="604">
        <f>$C$19/4</f>
        <v>0.8928571428571429</v>
      </c>
      <c r="F19" s="636" t="s">
        <v>222</v>
      </c>
      <c r="G19" s="628">
        <f>E19/1</f>
        <v>0.8928571428571429</v>
      </c>
      <c r="H19" s="1197">
        <v>40.200000000000003</v>
      </c>
      <c r="I19" s="1198">
        <v>40</v>
      </c>
      <c r="J19" s="815">
        <f>H19-I19</f>
        <v>0.20000000000000284</v>
      </c>
      <c r="K19" s="798">
        <f>(2*I19)*6/10</f>
        <v>48</v>
      </c>
      <c r="L19" s="816">
        <f t="shared" ref="L19:L22" si="2">K19+I19</f>
        <v>88</v>
      </c>
      <c r="M19" s="772">
        <f>IF(K19&lt;&gt;0,J19/K19,"0%")</f>
        <v>4.1666666666667256E-3</v>
      </c>
      <c r="N19" s="1588">
        <f>(((G19/C19)*M19)+((G20/C19)*M20)+((G21/C19)*M21)+((G22/C19)*M22))</f>
        <v>4.4617874727771928E-2</v>
      </c>
      <c r="O19" s="1481">
        <f>IF((((G19/C19)*M19)+((G20/C19)*M20)+((G21/C19)*M21)+((G22/C19)*M22))&gt;=1,3.571428,IF((((G19/C19)*M19)+((G20/C19)*M20)+((G21/C19)*M21)+((G22/C19)*M22))&lt;=0,0,((((G19/C19)*M19)+((G20/C19)*M20)+((G21/C19)*M21)+((G22/C19)*M22))*3.571428)))</f>
        <v>0.15934952710325703</v>
      </c>
      <c r="P19" s="1460">
        <f>O19/3.571428</f>
        <v>4.4617874727771928E-2</v>
      </c>
      <c r="Q19" s="817" t="s">
        <v>163</v>
      </c>
      <c r="R19" s="429" t="s">
        <v>378</v>
      </c>
      <c r="S19" s="166" t="s">
        <v>376</v>
      </c>
    </row>
    <row r="20" spans="1:19" ht="39" customHeight="1" thickBot="1" x14ac:dyDescent="0.5">
      <c r="A20" s="1492"/>
      <c r="B20" s="1555"/>
      <c r="C20" s="1598"/>
      <c r="D20" s="637" t="s">
        <v>152</v>
      </c>
      <c r="E20" s="638">
        <f>($C$19/4)</f>
        <v>0.8928571428571429</v>
      </c>
      <c r="F20" s="639" t="s">
        <v>265</v>
      </c>
      <c r="G20" s="630">
        <f>E20/1</f>
        <v>0.8928571428571429</v>
      </c>
      <c r="H20" s="1199">
        <v>79</v>
      </c>
      <c r="I20" s="1200">
        <v>76.400000000000006</v>
      </c>
      <c r="J20" s="820">
        <f t="shared" ref="J20:J24" si="3">H20-I20</f>
        <v>2.5999999999999943</v>
      </c>
      <c r="K20" s="803">
        <f>(100-I20)*(6/10)</f>
        <v>14.159999999999997</v>
      </c>
      <c r="L20" s="821">
        <f t="shared" si="2"/>
        <v>90.56</v>
      </c>
      <c r="M20" s="805">
        <f>IF(K20&lt;&gt;0,J20/K20,"0%")</f>
        <v>0.18361581920903919</v>
      </c>
      <c r="N20" s="1600"/>
      <c r="O20" s="1601"/>
      <c r="P20" s="1604"/>
      <c r="Q20" s="822" t="s">
        <v>164</v>
      </c>
      <c r="R20" s="429" t="s">
        <v>378</v>
      </c>
      <c r="S20" s="166" t="s">
        <v>379</v>
      </c>
    </row>
    <row r="21" spans="1:19" ht="56.45" customHeight="1" thickBot="1" x14ac:dyDescent="0.5">
      <c r="A21" s="1492"/>
      <c r="B21" s="1555"/>
      <c r="C21" s="1598"/>
      <c r="D21" s="637" t="s">
        <v>153</v>
      </c>
      <c r="E21" s="638">
        <f t="shared" ref="E21:E22" si="4">($C$19/4)</f>
        <v>0.8928571428571429</v>
      </c>
      <c r="F21" s="639" t="s">
        <v>155</v>
      </c>
      <c r="G21" s="630">
        <f>E21/1</f>
        <v>0.8928571428571429</v>
      </c>
      <c r="H21" s="1201"/>
      <c r="I21" s="1202"/>
      <c r="J21" s="820">
        <f t="shared" si="3"/>
        <v>0</v>
      </c>
      <c r="K21" s="803">
        <f>(0.3*I21)*6/10</f>
        <v>0</v>
      </c>
      <c r="L21" s="821">
        <f t="shared" si="2"/>
        <v>0</v>
      </c>
      <c r="M21" s="805" t="str">
        <f>IF(K21&lt;&gt;0,J21/K21,"0%")</f>
        <v>0%</v>
      </c>
      <c r="N21" s="1600"/>
      <c r="O21" s="1601"/>
      <c r="P21" s="1604"/>
      <c r="Q21" s="822" t="s">
        <v>165</v>
      </c>
      <c r="R21" s="430" t="s">
        <v>390</v>
      </c>
      <c r="S21" s="130" t="s">
        <v>463</v>
      </c>
    </row>
    <row r="22" spans="1:19" ht="36.6" customHeight="1" thickBot="1" x14ac:dyDescent="0.5">
      <c r="A22" s="1492"/>
      <c r="B22" s="1556"/>
      <c r="C22" s="1599"/>
      <c r="D22" s="621" t="s">
        <v>154</v>
      </c>
      <c r="E22" s="640">
        <f t="shared" si="4"/>
        <v>0.8928571428571429</v>
      </c>
      <c r="F22" s="641" t="s">
        <v>156</v>
      </c>
      <c r="G22" s="642">
        <f>E22/1</f>
        <v>0.8928571428571429</v>
      </c>
      <c r="H22" s="1203">
        <v>28</v>
      </c>
      <c r="I22" s="1204">
        <v>28.4</v>
      </c>
      <c r="J22" s="827">
        <f t="shared" si="3"/>
        <v>-0.39999999999999858</v>
      </c>
      <c r="K22" s="810">
        <f>(100-I22)*(6/10)</f>
        <v>42.959999999999994</v>
      </c>
      <c r="L22" s="828">
        <f t="shared" si="2"/>
        <v>71.359999999999985</v>
      </c>
      <c r="M22" s="779">
        <f>IF(K22&lt;&gt;0,J22/K22,"100%")</f>
        <v>-9.3109869646182172E-3</v>
      </c>
      <c r="N22" s="1589"/>
      <c r="O22" s="1590"/>
      <c r="P22" s="1591"/>
      <c r="Q22" s="829" t="s">
        <v>95</v>
      </c>
      <c r="R22" s="145" t="s">
        <v>377</v>
      </c>
      <c r="S22" s="166" t="s">
        <v>379</v>
      </c>
    </row>
    <row r="23" spans="1:19" ht="20.45" customHeight="1" thickBot="1" x14ac:dyDescent="0.5">
      <c r="B23" s="1486" t="s">
        <v>13</v>
      </c>
      <c r="C23" s="1487"/>
      <c r="D23" s="1487"/>
      <c r="E23" s="1487"/>
      <c r="F23" s="1488"/>
      <c r="G23" s="633"/>
      <c r="H23" s="1195"/>
      <c r="I23" s="1196"/>
      <c r="J23" s="830"/>
      <c r="K23" s="831"/>
      <c r="L23" s="831"/>
      <c r="M23" s="814"/>
      <c r="N23" s="760">
        <f>N24</f>
        <v>2.568178254029399E-3</v>
      </c>
      <c r="O23" s="761">
        <f>O24</f>
        <v>9.1720637254317089E-3</v>
      </c>
      <c r="P23" s="762">
        <f>O23/3.571428</f>
        <v>2.568178254029399E-3</v>
      </c>
      <c r="Q23" s="813"/>
      <c r="R23" s="261"/>
      <c r="S23" s="261"/>
    </row>
    <row r="24" spans="1:19" ht="36" customHeight="1" x14ac:dyDescent="0.45">
      <c r="A24" s="1492">
        <v>5</v>
      </c>
      <c r="B24" s="1596" t="s">
        <v>14</v>
      </c>
      <c r="C24" s="1597">
        <f>M5</f>
        <v>3.5714285714285716</v>
      </c>
      <c r="D24" s="635" t="s">
        <v>115</v>
      </c>
      <c r="E24" s="604">
        <f>$C$24/4</f>
        <v>0.8928571428571429</v>
      </c>
      <c r="F24" s="635" t="s">
        <v>280</v>
      </c>
      <c r="G24" s="604">
        <f>E24/1</f>
        <v>0.8928571428571429</v>
      </c>
      <c r="H24" s="1111"/>
      <c r="I24" s="1112"/>
      <c r="J24" s="833">
        <f t="shared" si="3"/>
        <v>0</v>
      </c>
      <c r="K24" s="798">
        <f>(0.3*I24)*6/10</f>
        <v>0</v>
      </c>
      <c r="L24" s="816">
        <f>K24+I24</f>
        <v>0</v>
      </c>
      <c r="M24" s="772" t="str">
        <f t="shared" ref="M24:M30" si="5">IF(K24&lt;&gt;0,J24/K24,"0%")</f>
        <v>0%</v>
      </c>
      <c r="N24" s="1588">
        <f>(((G24/C24)*M24)+((G25/C24)*M25)+ ((G26/C24)*M26)+((G27/C24)*M27)+((G28/C24)*M28)+((G29/C24)*M29)+((G30/C24)*M30)+((G31/C24)*M31))</f>
        <v>2.568178254029399E-3</v>
      </c>
      <c r="O24" s="1481">
        <f>IF((((G24/C24)*M24)+((G25/C24)*M25)+ ((G26/C24)*M26)+((G27/C24)*M27)+((G28/C24)*M28)+((G29/C24)*M29)+((G30/C24)*M30)+((G31/C24)*M31))&gt;=1,3.571428,IF((((G24/C24)*M24)+((G25/C24)*M25)+ ((G26/C24)*M26)+((G27/C24)*M27)+((G28/C24)*M28)+((G29/C24)*M29)+((G30/C24)*M30)+((G31/C24)*M31))&lt;=0,0,((((G24/C24)*M24)+((G25/C24)*M25)+ ((G26/C24)*M26)+((G27/C24)*M27)+((G28/C24)*M28)+((G29/C24)*M29)+((G30/C24)*M30)+((G31/C24)*M31))*3.571428)))</f>
        <v>9.1720637254317089E-3</v>
      </c>
      <c r="P24" s="1460">
        <f>O24/3.571428</f>
        <v>2.568178254029399E-3</v>
      </c>
      <c r="Q24" s="773" t="s">
        <v>166</v>
      </c>
      <c r="R24" s="148"/>
      <c r="S24" s="739" t="s">
        <v>463</v>
      </c>
    </row>
    <row r="25" spans="1:19" ht="19.8" customHeight="1" x14ac:dyDescent="0.45">
      <c r="A25" s="1492"/>
      <c r="B25" s="1555"/>
      <c r="C25" s="1598"/>
      <c r="D25" s="1517" t="s">
        <v>158</v>
      </c>
      <c r="E25" s="1613">
        <v>0.9</v>
      </c>
      <c r="F25" s="637" t="s">
        <v>15</v>
      </c>
      <c r="G25" s="638">
        <f>$E$25/3</f>
        <v>0.3</v>
      </c>
      <c r="H25" s="1199">
        <v>114</v>
      </c>
      <c r="I25" s="1200">
        <v>114.172</v>
      </c>
      <c r="J25" s="837">
        <f t="shared" ref="J25:J30" si="6">I25-H25</f>
        <v>0.17199999999999704</v>
      </c>
      <c r="K25" s="803">
        <f>(0.5*I25)*6/10</f>
        <v>34.251599999999996</v>
      </c>
      <c r="L25" s="821">
        <f t="shared" ref="L25:L30" si="7">I25-K25</f>
        <v>79.920400000000001</v>
      </c>
      <c r="M25" s="805">
        <f t="shared" si="5"/>
        <v>5.0216632215720454E-3</v>
      </c>
      <c r="N25" s="1600"/>
      <c r="O25" s="1601"/>
      <c r="P25" s="1604"/>
      <c r="Q25" s="1113" t="s">
        <v>167</v>
      </c>
      <c r="R25" s="146" t="s">
        <v>380</v>
      </c>
      <c r="S25" s="740" t="s">
        <v>381</v>
      </c>
    </row>
    <row r="26" spans="1:19" ht="19.8" customHeight="1" x14ac:dyDescent="0.45">
      <c r="A26" s="1492"/>
      <c r="B26" s="1555"/>
      <c r="C26" s="1598"/>
      <c r="D26" s="1612"/>
      <c r="E26" s="1598"/>
      <c r="F26" s="637" t="s">
        <v>16</v>
      </c>
      <c r="G26" s="638">
        <f t="shared" ref="G26:G27" si="8">$E$25/3</f>
        <v>0.3</v>
      </c>
      <c r="H26" s="880">
        <v>51.7</v>
      </c>
      <c r="I26" s="1205">
        <v>33</v>
      </c>
      <c r="J26" s="837">
        <f t="shared" si="6"/>
        <v>-18.700000000000003</v>
      </c>
      <c r="K26" s="803">
        <f>(0.8*I26)*6/10</f>
        <v>15.84</v>
      </c>
      <c r="L26" s="821">
        <f t="shared" si="7"/>
        <v>17.16</v>
      </c>
      <c r="M26" s="805">
        <f>IF(H26=0,"0%",J26/K26)</f>
        <v>-1.1805555555555558</v>
      </c>
      <c r="N26" s="1600"/>
      <c r="O26" s="1601"/>
      <c r="P26" s="1604"/>
      <c r="Q26" s="1113" t="s">
        <v>168</v>
      </c>
      <c r="R26" s="146" t="s">
        <v>547</v>
      </c>
      <c r="S26" s="374" t="s">
        <v>548</v>
      </c>
    </row>
    <row r="27" spans="1:19" ht="19.8" customHeight="1" x14ac:dyDescent="0.45">
      <c r="A27" s="1492"/>
      <c r="B27" s="1555"/>
      <c r="C27" s="1598"/>
      <c r="D27" s="1516"/>
      <c r="E27" s="1614"/>
      <c r="F27" s="637" t="s">
        <v>17</v>
      </c>
      <c r="G27" s="638">
        <f t="shared" si="8"/>
        <v>0.3</v>
      </c>
      <c r="H27" s="880">
        <v>70.5</v>
      </c>
      <c r="I27" s="1205">
        <v>68</v>
      </c>
      <c r="J27" s="837">
        <f t="shared" si="6"/>
        <v>-2.5</v>
      </c>
      <c r="K27" s="803">
        <f>(0.5*I27)*(6/10)</f>
        <v>20.399999999999999</v>
      </c>
      <c r="L27" s="821">
        <f t="shared" si="7"/>
        <v>47.6</v>
      </c>
      <c r="M27" s="805">
        <f>IF(H27=0,"0%",J27/K27)</f>
        <v>-0.12254901960784315</v>
      </c>
      <c r="N27" s="1600"/>
      <c r="O27" s="1601"/>
      <c r="P27" s="1604"/>
      <c r="Q27" s="1113" t="s">
        <v>169</v>
      </c>
      <c r="R27" s="146" t="s">
        <v>549</v>
      </c>
      <c r="S27" s="374" t="s">
        <v>550</v>
      </c>
    </row>
    <row r="28" spans="1:19" ht="30.6" customHeight="1" x14ac:dyDescent="0.45">
      <c r="A28" s="21"/>
      <c r="B28" s="1555"/>
      <c r="C28" s="1598"/>
      <c r="D28" s="1517" t="s">
        <v>116</v>
      </c>
      <c r="E28" s="1613">
        <f t="shared" ref="E28:E31" si="9">$C$24/4</f>
        <v>0.8928571428571429</v>
      </c>
      <c r="F28" s="637" t="s">
        <v>148</v>
      </c>
      <c r="G28" s="638">
        <f>$E$28/3</f>
        <v>0.29761904761904762</v>
      </c>
      <c r="H28" s="1199">
        <v>0.13</v>
      </c>
      <c r="I28" s="1200">
        <v>0.14000000000000001</v>
      </c>
      <c r="J28" s="837">
        <f t="shared" si="6"/>
        <v>1.0000000000000009E-2</v>
      </c>
      <c r="K28" s="803">
        <f>(0.5*I28)*(6/10)</f>
        <v>4.2000000000000003E-2</v>
      </c>
      <c r="L28" s="821">
        <f t="shared" si="7"/>
        <v>9.8000000000000004E-2</v>
      </c>
      <c r="M28" s="805">
        <f t="shared" si="5"/>
        <v>0.2380952380952383</v>
      </c>
      <c r="N28" s="1600"/>
      <c r="O28" s="1601"/>
      <c r="P28" s="1604"/>
      <c r="Q28" s="1113" t="s">
        <v>170</v>
      </c>
      <c r="R28" s="146" t="s">
        <v>380</v>
      </c>
      <c r="S28" s="232"/>
    </row>
    <row r="29" spans="1:19" ht="20.45" customHeight="1" x14ac:dyDescent="0.45">
      <c r="A29" s="21"/>
      <c r="B29" s="1555"/>
      <c r="C29" s="1598"/>
      <c r="D29" s="1612"/>
      <c r="E29" s="1598"/>
      <c r="F29" s="637" t="s">
        <v>149</v>
      </c>
      <c r="G29" s="638">
        <f t="shared" ref="G29:G30" si="10">$E$28/3</f>
        <v>0.29761904761904762</v>
      </c>
      <c r="H29" s="1199">
        <v>50</v>
      </c>
      <c r="I29" s="1200">
        <v>160</v>
      </c>
      <c r="J29" s="837">
        <f t="shared" si="6"/>
        <v>110</v>
      </c>
      <c r="K29" s="803">
        <f>(0.5*I29)*(6/10)</f>
        <v>48</v>
      </c>
      <c r="L29" s="821">
        <f t="shared" si="7"/>
        <v>112</v>
      </c>
      <c r="M29" s="805">
        <f t="shared" si="5"/>
        <v>2.2916666666666665</v>
      </c>
      <c r="N29" s="1600"/>
      <c r="O29" s="1601"/>
      <c r="P29" s="1604"/>
      <c r="Q29" s="1113" t="s">
        <v>171</v>
      </c>
      <c r="R29" s="146" t="s">
        <v>380</v>
      </c>
      <c r="S29" s="740" t="s">
        <v>381</v>
      </c>
    </row>
    <row r="30" spans="1:19" ht="20.45" customHeight="1" x14ac:dyDescent="0.45">
      <c r="A30" s="21"/>
      <c r="B30" s="1555"/>
      <c r="C30" s="1598"/>
      <c r="D30" s="1516"/>
      <c r="E30" s="1614"/>
      <c r="F30" s="637" t="s">
        <v>150</v>
      </c>
      <c r="G30" s="638">
        <f t="shared" si="10"/>
        <v>0.29761904761904762</v>
      </c>
      <c r="H30" s="1199">
        <v>38</v>
      </c>
      <c r="I30" s="1200">
        <v>28</v>
      </c>
      <c r="J30" s="837">
        <f t="shared" si="6"/>
        <v>-10</v>
      </c>
      <c r="K30" s="803">
        <f>(0.5*I30)*(6/10)</f>
        <v>8.4</v>
      </c>
      <c r="L30" s="821">
        <f t="shared" si="7"/>
        <v>19.600000000000001</v>
      </c>
      <c r="M30" s="805">
        <f t="shared" si="5"/>
        <v>-1.1904761904761905</v>
      </c>
      <c r="N30" s="1600"/>
      <c r="O30" s="1601"/>
      <c r="P30" s="1604"/>
      <c r="Q30" s="1113" t="s">
        <v>172</v>
      </c>
      <c r="R30" s="146"/>
      <c r="S30" s="740" t="s">
        <v>381</v>
      </c>
    </row>
    <row r="31" spans="1:19" ht="34.9" customHeight="1" thickBot="1" x14ac:dyDescent="0.5">
      <c r="A31" s="21"/>
      <c r="B31" s="1556"/>
      <c r="C31" s="1599"/>
      <c r="D31" s="643" t="s">
        <v>117</v>
      </c>
      <c r="E31" s="612">
        <f t="shared" si="9"/>
        <v>0.8928571428571429</v>
      </c>
      <c r="F31" s="644" t="s">
        <v>223</v>
      </c>
      <c r="G31" s="612">
        <f>E31/1</f>
        <v>0.8928571428571429</v>
      </c>
      <c r="H31" s="1127">
        <v>15.5</v>
      </c>
      <c r="I31" s="1128"/>
      <c r="J31" s="839">
        <f t="shared" ref="J31" si="11">H31-I31</f>
        <v>15.5</v>
      </c>
      <c r="K31" s="810">
        <f>(100-I31)*(6/10)</f>
        <v>60</v>
      </c>
      <c r="L31" s="828">
        <f>K31+I31</f>
        <v>60</v>
      </c>
      <c r="M31" s="779" t="str">
        <f>IF(I31=0,"0%",J31/K31)</f>
        <v>0%</v>
      </c>
      <c r="N31" s="1589"/>
      <c r="O31" s="1590"/>
      <c r="P31" s="1591"/>
      <c r="Q31" s="780" t="s">
        <v>95</v>
      </c>
      <c r="R31" s="161" t="s">
        <v>503</v>
      </c>
      <c r="S31" s="231" t="s">
        <v>504</v>
      </c>
    </row>
    <row r="32" spans="1:19" ht="20.45" customHeight="1" thickBot="1" x14ac:dyDescent="0.5">
      <c r="B32" s="1486" t="s">
        <v>18</v>
      </c>
      <c r="C32" s="1487"/>
      <c r="D32" s="1487"/>
      <c r="E32" s="1487"/>
      <c r="F32" s="1488"/>
      <c r="G32" s="633"/>
      <c r="H32" s="1206"/>
      <c r="I32" s="1207"/>
      <c r="J32" s="843"/>
      <c r="K32" s="844"/>
      <c r="L32" s="845"/>
      <c r="M32" s="1208"/>
      <c r="N32" s="760">
        <f>(N33+N34+N35+N36)/4</f>
        <v>-0.21739077074128627</v>
      </c>
      <c r="O32" s="761">
        <f>(O33+O34+O35+O36)</f>
        <v>0</v>
      </c>
      <c r="P32" s="762">
        <f>O32/14.285712</f>
        <v>0</v>
      </c>
      <c r="Q32" s="813"/>
      <c r="R32" s="258"/>
      <c r="S32" s="259"/>
    </row>
    <row r="33" spans="1:19" ht="33.6" customHeight="1" thickBot="1" x14ac:dyDescent="0.5">
      <c r="A33" s="21">
        <v>6</v>
      </c>
      <c r="B33" s="645" t="s">
        <v>19</v>
      </c>
      <c r="C33" s="646">
        <f>$M$5</f>
        <v>3.5714285714285716</v>
      </c>
      <c r="D33" s="647" t="s">
        <v>287</v>
      </c>
      <c r="E33" s="648">
        <f>C33/1</f>
        <v>3.5714285714285716</v>
      </c>
      <c r="F33" s="645" t="s">
        <v>288</v>
      </c>
      <c r="G33" s="646">
        <f>E33/1</f>
        <v>3.5714285714285716</v>
      </c>
      <c r="H33" s="1077">
        <v>5.7</v>
      </c>
      <c r="I33" s="1078">
        <v>3.6</v>
      </c>
      <c r="J33" s="849">
        <f>IF(H33&lt;7,(H33-7),(H33-I33))</f>
        <v>-1.2999999999999998</v>
      </c>
      <c r="K33" s="850">
        <f>IF((7-H33&gt;=0),(7-H33),0)</f>
        <v>1.2999999999999998</v>
      </c>
      <c r="L33" s="851">
        <f>IF((I33&lt;7),7,I33)</f>
        <v>7</v>
      </c>
      <c r="M33" s="852">
        <f>IF(K33&lt;&gt;0,J33/7,(1+((H33-I33)/I33)))</f>
        <v>-0.18571428571428569</v>
      </c>
      <c r="N33" s="853">
        <f>((G33/C33)*M33)</f>
        <v>-0.18571428571428569</v>
      </c>
      <c r="O33" s="854">
        <f>IF(((G33/C33)*M33)&gt;=1,3.571428,IF(((G33/C33)*M33)&lt;=0,0,((G33/C33)*M33)*3.571428))</f>
        <v>0</v>
      </c>
      <c r="P33" s="762">
        <f>O33/3.571428</f>
        <v>0</v>
      </c>
      <c r="Q33" s="855" t="s">
        <v>97</v>
      </c>
      <c r="R33" s="262" t="s">
        <v>382</v>
      </c>
      <c r="S33" s="741" t="s">
        <v>383</v>
      </c>
    </row>
    <row r="34" spans="1:19" ht="51" customHeight="1" thickBot="1" x14ac:dyDescent="0.5">
      <c r="A34" s="21">
        <v>7</v>
      </c>
      <c r="B34" s="645" t="s">
        <v>20</v>
      </c>
      <c r="C34" s="646">
        <f t="shared" ref="C34:C36" si="12">$M$5</f>
        <v>3.5714285714285716</v>
      </c>
      <c r="D34" s="645" t="s">
        <v>118</v>
      </c>
      <c r="E34" s="648">
        <f t="shared" ref="E34:E36" si="13">C34/1</f>
        <v>3.5714285714285716</v>
      </c>
      <c r="F34" s="645" t="s">
        <v>21</v>
      </c>
      <c r="G34" s="646">
        <f>E34/1</f>
        <v>3.5714285714285716</v>
      </c>
      <c r="H34" s="1209">
        <v>5.6</v>
      </c>
      <c r="I34" s="1210">
        <v>7</v>
      </c>
      <c r="J34" s="858">
        <f>H34-I34</f>
        <v>-1.4000000000000004</v>
      </c>
      <c r="K34" s="859">
        <f>(0.5*I34)*(6/10)</f>
        <v>2.1</v>
      </c>
      <c r="L34" s="860">
        <f>K34+I34</f>
        <v>9.1</v>
      </c>
      <c r="M34" s="852">
        <f>IF(K34&lt;&gt;0,J34/K34,"0%")</f>
        <v>-0.66666666666666685</v>
      </c>
      <c r="N34" s="853">
        <f>((G34/C34)*M34)</f>
        <v>-0.66666666666666685</v>
      </c>
      <c r="O34" s="854">
        <f>IF(((G34/C34)*M34)&gt;=1,3.571428,IF(((G34/C34)*M34)&lt;=0,0,((G34/C34)*M34)*3.571428))</f>
        <v>0</v>
      </c>
      <c r="P34" s="762">
        <f t="shared" ref="P34:P36" si="14">O34/3.571428</f>
        <v>0</v>
      </c>
      <c r="Q34" s="855" t="s">
        <v>173</v>
      </c>
      <c r="R34" s="162" t="s">
        <v>384</v>
      </c>
      <c r="S34" s="741" t="s">
        <v>383</v>
      </c>
    </row>
    <row r="35" spans="1:19" ht="40.799999999999997" customHeight="1" thickBot="1" x14ac:dyDescent="0.5">
      <c r="A35" s="21">
        <v>8</v>
      </c>
      <c r="B35" s="645" t="s">
        <v>22</v>
      </c>
      <c r="C35" s="646">
        <f t="shared" si="12"/>
        <v>3.5714285714285716</v>
      </c>
      <c r="D35" s="645" t="s">
        <v>119</v>
      </c>
      <c r="E35" s="648">
        <f t="shared" si="13"/>
        <v>3.5714285714285716</v>
      </c>
      <c r="F35" s="645" t="s">
        <v>23</v>
      </c>
      <c r="G35" s="646">
        <f>E35/1</f>
        <v>3.5714285714285716</v>
      </c>
      <c r="H35" s="994">
        <v>0.02</v>
      </c>
      <c r="I35" s="999">
        <v>0.03</v>
      </c>
      <c r="J35" s="861">
        <f>H35-I35</f>
        <v>-9.9999999999999985E-3</v>
      </c>
      <c r="K35" s="862">
        <f>IF((I35&gt;=1),0,((1-I35)*0.6))</f>
        <v>0.58199999999999996</v>
      </c>
      <c r="L35" s="851">
        <f>I35+K35</f>
        <v>0.61199999999999999</v>
      </c>
      <c r="M35" s="852">
        <f>IF(K35&lt;&gt;0,J35/K35,"0%")</f>
        <v>-1.7182130584192438E-2</v>
      </c>
      <c r="N35" s="853">
        <f>((G35/C35)*M35)</f>
        <v>-1.7182130584192438E-2</v>
      </c>
      <c r="O35" s="854">
        <f>IF(((G35/C35)*M35)&gt;=1,3.571428,IF(((G35/C35)*M35)&lt;=0,0,((G35/C35)*M35)*3.571428))</f>
        <v>0</v>
      </c>
      <c r="P35" s="762">
        <f t="shared" si="14"/>
        <v>0</v>
      </c>
      <c r="Q35" s="855" t="s">
        <v>174</v>
      </c>
      <c r="R35" s="103" t="s">
        <v>375</v>
      </c>
      <c r="S35" s="282"/>
    </row>
    <row r="36" spans="1:19" ht="32.450000000000003" customHeight="1" thickBot="1" x14ac:dyDescent="0.5">
      <c r="A36" s="21">
        <v>9</v>
      </c>
      <c r="B36" s="645" t="s">
        <v>24</v>
      </c>
      <c r="C36" s="646">
        <f t="shared" si="12"/>
        <v>3.5714285714285716</v>
      </c>
      <c r="D36" s="645" t="s">
        <v>275</v>
      </c>
      <c r="E36" s="648">
        <f t="shared" si="13"/>
        <v>3.5714285714285716</v>
      </c>
      <c r="F36" s="650" t="s">
        <v>25</v>
      </c>
      <c r="G36" s="646">
        <f>E36/1</f>
        <v>3.5714285714285716</v>
      </c>
      <c r="H36" s="1157"/>
      <c r="I36" s="1154"/>
      <c r="J36" s="865">
        <f>H36-I36</f>
        <v>0</v>
      </c>
      <c r="K36" s="866">
        <f>(1*I36)*(6/10)</f>
        <v>0</v>
      </c>
      <c r="L36" s="867">
        <f>I36+K36</f>
        <v>0</v>
      </c>
      <c r="M36" s="852" t="str">
        <f>IF(K36&lt;&gt;0,J36/K36,"0%")</f>
        <v>0%</v>
      </c>
      <c r="N36" s="853">
        <f>((G36/C36)*M36)</f>
        <v>0</v>
      </c>
      <c r="O36" s="854">
        <f>IF(((G36/C36)*M36)&gt;=1,3.571428,IF(((G36/C36)*M36)&lt;=0,0,((G36/C36)*M36)*3.571428))</f>
        <v>0</v>
      </c>
      <c r="P36" s="762">
        <f t="shared" si="14"/>
        <v>0</v>
      </c>
      <c r="Q36" s="868" t="s">
        <v>175</v>
      </c>
      <c r="R36" s="263"/>
      <c r="S36" s="130" t="s">
        <v>463</v>
      </c>
    </row>
    <row r="37" spans="1:19" ht="30.6" customHeight="1" thickBot="1" x14ac:dyDescent="0.5">
      <c r="B37" s="1609" t="s">
        <v>26</v>
      </c>
      <c r="C37" s="1610"/>
      <c r="D37" s="1610"/>
      <c r="E37" s="1610"/>
      <c r="F37" s="1611"/>
      <c r="G37" s="651"/>
      <c r="H37" s="1211"/>
      <c r="I37" s="1212"/>
      <c r="J37" s="870"/>
      <c r="K37" s="871"/>
      <c r="L37" s="871"/>
      <c r="M37" s="872"/>
      <c r="N37" s="760">
        <f>N38</f>
        <v>0</v>
      </c>
      <c r="O37" s="761">
        <f>O38</f>
        <v>0</v>
      </c>
      <c r="P37" s="762">
        <f>O37/3.571428</f>
        <v>0</v>
      </c>
      <c r="Q37" s="873"/>
      <c r="R37" s="258"/>
      <c r="S37" s="259"/>
    </row>
    <row r="38" spans="1:19" ht="25.8" customHeight="1" thickBot="1" x14ac:dyDescent="0.5">
      <c r="A38" s="1492">
        <v>10</v>
      </c>
      <c r="B38" s="1596" t="s">
        <v>27</v>
      </c>
      <c r="C38" s="1597">
        <f>M5</f>
        <v>3.5714285714285716</v>
      </c>
      <c r="D38" s="627" t="s">
        <v>120</v>
      </c>
      <c r="E38" s="604">
        <f>$C$38/2</f>
        <v>1.7857142857142858</v>
      </c>
      <c r="F38" s="652" t="s">
        <v>224</v>
      </c>
      <c r="G38" s="604">
        <f>E38/1</f>
        <v>1.7857142857142858</v>
      </c>
      <c r="H38" s="1213"/>
      <c r="I38" s="1214"/>
      <c r="J38" s="876">
        <f>H38-I38</f>
        <v>0</v>
      </c>
      <c r="K38" s="877">
        <f>(1*I38)*(6/10)</f>
        <v>0</v>
      </c>
      <c r="L38" s="878">
        <f>I38+K38</f>
        <v>0</v>
      </c>
      <c r="M38" s="772" t="str">
        <f>IF(K38&lt;&gt;0,J38/K38,"0%")</f>
        <v>0%</v>
      </c>
      <c r="N38" s="1606">
        <f>(((G38/C38)*M38)+((G39/C38)*M39))</f>
        <v>0</v>
      </c>
      <c r="O38" s="1481">
        <f>IF((((G38/C38)*M38)+((G39/C38)*M39))&gt;=1,3.57148,IF((((G38/C38)*M38)+((G39/C38)*M39))&lt;=0,0, (((G38/C38)*M38)+((G39/C38)*M39))*3.571428))</f>
        <v>0</v>
      </c>
      <c r="P38" s="1460">
        <f>O38/3.571428</f>
        <v>0</v>
      </c>
      <c r="Q38" s="879" t="s">
        <v>176</v>
      </c>
      <c r="R38" s="264"/>
      <c r="S38" s="130" t="s">
        <v>463</v>
      </c>
    </row>
    <row r="39" spans="1:19" ht="35.25" thickBot="1" x14ac:dyDescent="0.5">
      <c r="A39" s="1492"/>
      <c r="B39" s="1556"/>
      <c r="C39" s="1599"/>
      <c r="D39" s="629" t="s">
        <v>157</v>
      </c>
      <c r="E39" s="612">
        <f>$C$38/2</f>
        <v>1.7857142857142858</v>
      </c>
      <c r="F39" s="653" t="s">
        <v>225</v>
      </c>
      <c r="G39" s="638">
        <f>E39/1</f>
        <v>1.7857142857142858</v>
      </c>
      <c r="H39" s="1139"/>
      <c r="I39" s="1140"/>
      <c r="J39" s="882">
        <f>H39-I39</f>
        <v>0</v>
      </c>
      <c r="K39" s="883">
        <f>IF(AND(I39&gt;=10,H39&gt;=I39),0,((10-H39)*(6/10)))</f>
        <v>6</v>
      </c>
      <c r="L39" s="884">
        <f>I39+K39</f>
        <v>6</v>
      </c>
      <c r="M39" s="779">
        <f>IF(K39&lt;&gt;0,J39/K39,"0%")</f>
        <v>0</v>
      </c>
      <c r="N39" s="1608"/>
      <c r="O39" s="1590"/>
      <c r="P39" s="1591"/>
      <c r="Q39" s="885" t="s">
        <v>95</v>
      </c>
      <c r="R39" s="265"/>
      <c r="S39" s="130" t="s">
        <v>463</v>
      </c>
    </row>
    <row r="40" spans="1:19" ht="20.45" customHeight="1" thickBot="1" x14ac:dyDescent="0.5">
      <c r="B40" s="1512" t="s">
        <v>28</v>
      </c>
      <c r="C40" s="1513"/>
      <c r="D40" s="1513"/>
      <c r="E40" s="1513"/>
      <c r="F40" s="1515"/>
      <c r="G40" s="651"/>
      <c r="H40" s="997"/>
      <c r="I40" s="1215"/>
      <c r="J40" s="887"/>
      <c r="K40" s="888"/>
      <c r="L40" s="888"/>
      <c r="M40" s="889"/>
      <c r="N40" s="760">
        <f>N41</f>
        <v>0</v>
      </c>
      <c r="O40" s="761">
        <f>O41</f>
        <v>0</v>
      </c>
      <c r="P40" s="762">
        <f>O40/3.571428</f>
        <v>0</v>
      </c>
      <c r="Q40" s="890"/>
      <c r="R40" s="266"/>
      <c r="S40" s="261"/>
    </row>
    <row r="41" spans="1:19" ht="35.25" thickBot="1" x14ac:dyDescent="0.5">
      <c r="A41" s="1492">
        <v>11</v>
      </c>
      <c r="B41" s="1615" t="s">
        <v>29</v>
      </c>
      <c r="C41" s="1597">
        <f>M5</f>
        <v>3.5714285714285716</v>
      </c>
      <c r="D41" s="654" t="s">
        <v>121</v>
      </c>
      <c r="E41" s="655">
        <f>$C$41/2</f>
        <v>1.7857142857142858</v>
      </c>
      <c r="F41" s="617" t="s">
        <v>30</v>
      </c>
      <c r="G41" s="656">
        <f>E41/1</f>
        <v>1.7857142857142858</v>
      </c>
      <c r="H41" s="1216"/>
      <c r="I41" s="1217"/>
      <c r="J41" s="893">
        <f>H41-I41</f>
        <v>0</v>
      </c>
      <c r="K41" s="894">
        <f>(0.5*I41)*(6/10)</f>
        <v>0</v>
      </c>
      <c r="L41" s="895">
        <f>I41+K41</f>
        <v>0</v>
      </c>
      <c r="M41" s="772" t="str">
        <f>IF(K41&lt;&gt;0,J41/K41,"0%")</f>
        <v>0%</v>
      </c>
      <c r="N41" s="1617">
        <f>(((G41/C41)*M41)+(G42/C41)*M42)</f>
        <v>0</v>
      </c>
      <c r="O41" s="1481">
        <f>IF((((G41/C41)*M41)+((G42/C41)*M42))&gt;=1,3.57148,IF((((G41/C41)*M41)+((G42/C41)*M42))&lt;=0,0, (((G41/C41)*M41)+((G42/C41)*M42))*3.571428))</f>
        <v>0</v>
      </c>
      <c r="P41" s="1460">
        <f>O41/3.571428</f>
        <v>0</v>
      </c>
      <c r="Q41" s="896" t="s">
        <v>177</v>
      </c>
      <c r="R41" s="148"/>
      <c r="S41" s="130" t="s">
        <v>463</v>
      </c>
    </row>
    <row r="42" spans="1:19" ht="23.65" thickBot="1" x14ac:dyDescent="0.5">
      <c r="A42" s="1492"/>
      <c r="B42" s="1616"/>
      <c r="C42" s="1599"/>
      <c r="D42" s="657" t="s">
        <v>122</v>
      </c>
      <c r="E42" s="640">
        <f>$C$41/2</f>
        <v>1.7857142857142858</v>
      </c>
      <c r="F42" s="621" t="s">
        <v>31</v>
      </c>
      <c r="G42" s="658">
        <f>E42/1</f>
        <v>1.7857142857142858</v>
      </c>
      <c r="H42" s="1218"/>
      <c r="I42" s="1219"/>
      <c r="J42" s="899">
        <f>H42-I42</f>
        <v>0</v>
      </c>
      <c r="K42" s="791">
        <f>(0.5*I42)*(6/10)</f>
        <v>0</v>
      </c>
      <c r="L42" s="900">
        <f>I42+K42</f>
        <v>0</v>
      </c>
      <c r="M42" s="779" t="str">
        <f>IF(K42&lt;&gt;0,J42/K42,"0%")</f>
        <v>0%</v>
      </c>
      <c r="N42" s="1618"/>
      <c r="O42" s="1590"/>
      <c r="P42" s="1591"/>
      <c r="Q42" s="896" t="s">
        <v>95</v>
      </c>
      <c r="R42" s="267"/>
      <c r="S42" s="130" t="s">
        <v>463</v>
      </c>
    </row>
    <row r="43" spans="1:19" ht="30.6" customHeight="1" thickBot="1" x14ac:dyDescent="0.5">
      <c r="B43" s="1486" t="s">
        <v>32</v>
      </c>
      <c r="C43" s="1487"/>
      <c r="D43" s="1487"/>
      <c r="E43" s="1487"/>
      <c r="F43" s="1488"/>
      <c r="G43" s="633"/>
      <c r="H43" s="991"/>
      <c r="I43" s="992"/>
      <c r="J43" s="902"/>
      <c r="K43" s="903"/>
      <c r="L43" s="903"/>
      <c r="M43" s="832"/>
      <c r="N43" s="760">
        <f>N44</f>
        <v>0</v>
      </c>
      <c r="O43" s="761">
        <f>O44</f>
        <v>0</v>
      </c>
      <c r="P43" s="762">
        <f>O43/3.571428</f>
        <v>0</v>
      </c>
      <c r="Q43" s="905"/>
      <c r="R43" s="261"/>
      <c r="S43" s="261"/>
    </row>
    <row r="44" spans="1:19" ht="37.799999999999997" customHeight="1" thickBot="1" x14ac:dyDescent="0.5">
      <c r="A44" s="1492">
        <v>12</v>
      </c>
      <c r="B44" s="1615" t="s">
        <v>33</v>
      </c>
      <c r="C44" s="1597">
        <f>M5</f>
        <v>3.5714285714285716</v>
      </c>
      <c r="D44" s="635" t="s">
        <v>123</v>
      </c>
      <c r="E44" s="660">
        <f>C44/2</f>
        <v>1.7857142857142858</v>
      </c>
      <c r="F44" s="635" t="s">
        <v>34</v>
      </c>
      <c r="G44" s="604">
        <f>$E$44/1</f>
        <v>1.7857142857142858</v>
      </c>
      <c r="H44" s="1120"/>
      <c r="I44" s="1112"/>
      <c r="J44" s="908">
        <f>IF(I44=H44,(H44-30),H44-I44)</f>
        <v>-30</v>
      </c>
      <c r="K44" s="798">
        <f>IF(I44&gt;=30,0,((30-I44)*(6/10)))</f>
        <v>18</v>
      </c>
      <c r="L44" s="909">
        <f>I44+K44</f>
        <v>18</v>
      </c>
      <c r="M44" s="772" t="str">
        <f>IF(H44=0,"0%",J44/K44)</f>
        <v>0%</v>
      </c>
      <c r="N44" s="1606">
        <f>(((G44/C44)*M44)+((G45/C44)*M45))</f>
        <v>0</v>
      </c>
      <c r="O44" s="1481">
        <f>IF((((G44/C44)*M44)+((G45/C44)*M45))&gt;=1,3.57148,IF((((G44/C44)*M44)+((G45/C44)*M45))&lt;=0,0, (((G44/C44)*M44)+((G45/C44)*M45))*3.571428))</f>
        <v>0</v>
      </c>
      <c r="P44" s="1460">
        <f>O44/3.571428</f>
        <v>0</v>
      </c>
      <c r="Q44" s="799" t="s">
        <v>178</v>
      </c>
      <c r="R44" s="268"/>
      <c r="S44" s="130" t="s">
        <v>463</v>
      </c>
    </row>
    <row r="45" spans="1:19" ht="35.25" thickBot="1" x14ac:dyDescent="0.5">
      <c r="A45" s="1492"/>
      <c r="B45" s="1616"/>
      <c r="C45" s="1599"/>
      <c r="D45" s="643" t="s">
        <v>124</v>
      </c>
      <c r="E45" s="661">
        <f>(C44/2)</f>
        <v>1.7857142857142858</v>
      </c>
      <c r="F45" s="643" t="s">
        <v>35</v>
      </c>
      <c r="G45" s="612">
        <f>$E$45/1</f>
        <v>1.7857142857142858</v>
      </c>
      <c r="H45" s="1127"/>
      <c r="I45" s="1128"/>
      <c r="J45" s="912">
        <f>IF(I45=H45,(H45-17),H45-I45)</f>
        <v>-17</v>
      </c>
      <c r="K45" s="913">
        <f>IF(I45&gt;=17,0,((17-I45)*(6/10)))</f>
        <v>10.199999999999999</v>
      </c>
      <c r="L45" s="914">
        <f>I45+K45</f>
        <v>10.199999999999999</v>
      </c>
      <c r="M45" s="779">
        <f>IF(I45&gt;=17,(1+(H45-17)/17),(H45/17))</f>
        <v>0</v>
      </c>
      <c r="N45" s="1608"/>
      <c r="O45" s="1590"/>
      <c r="P45" s="1591"/>
      <c r="Q45" s="811" t="s">
        <v>179</v>
      </c>
      <c r="R45" s="269"/>
      <c r="S45" s="130" t="s">
        <v>463</v>
      </c>
    </row>
    <row r="46" spans="1:19" ht="30.6" customHeight="1" thickBot="1" x14ac:dyDescent="0.5">
      <c r="B46" s="1539" t="s">
        <v>36</v>
      </c>
      <c r="C46" s="1540"/>
      <c r="D46" s="1540"/>
      <c r="E46" s="1540"/>
      <c r="F46" s="1541"/>
      <c r="G46" s="662"/>
      <c r="H46" s="916"/>
      <c r="I46" s="917"/>
      <c r="J46" s="918"/>
      <c r="K46" s="919"/>
      <c r="L46" s="919"/>
      <c r="M46" s="920"/>
      <c r="N46" s="760">
        <f>(N47+N50+N52)/3</f>
        <v>0.90505145376486373</v>
      </c>
      <c r="O46" s="761">
        <f>(O47+O50+O52)</f>
        <v>7.4184180071421304</v>
      </c>
      <c r="P46" s="762">
        <f>O46/10.714284</f>
        <v>0.69238579144832557</v>
      </c>
      <c r="Q46" s="921"/>
      <c r="R46" s="270"/>
      <c r="S46" s="270"/>
    </row>
    <row r="47" spans="1:19" ht="20.45" customHeight="1" thickBot="1" x14ac:dyDescent="0.5">
      <c r="B47" s="1486" t="s">
        <v>37</v>
      </c>
      <c r="C47" s="1487"/>
      <c r="D47" s="1487"/>
      <c r="E47" s="1487"/>
      <c r="F47" s="1488"/>
      <c r="G47" s="663"/>
      <c r="H47" s="997"/>
      <c r="I47" s="1215"/>
      <c r="J47" s="922"/>
      <c r="K47" s="923"/>
      <c r="L47" s="923"/>
      <c r="M47" s="904"/>
      <c r="N47" s="760">
        <f>N48</f>
        <v>1.6380115469519443</v>
      </c>
      <c r="O47" s="761">
        <f>O48</f>
        <v>3.5714800000000002</v>
      </c>
      <c r="P47" s="762">
        <f>O47/3.571428</f>
        <v>1.0000145600023296</v>
      </c>
      <c r="Q47" s="905"/>
      <c r="R47" s="261"/>
      <c r="S47" s="261"/>
    </row>
    <row r="48" spans="1:19" ht="37.799999999999997" customHeight="1" thickBot="1" x14ac:dyDescent="0.5">
      <c r="A48" s="1492">
        <v>13</v>
      </c>
      <c r="B48" s="1615" t="s">
        <v>38</v>
      </c>
      <c r="C48" s="1597">
        <f>M5</f>
        <v>3.5714285714285716</v>
      </c>
      <c r="D48" s="635" t="s">
        <v>125</v>
      </c>
      <c r="E48" s="604">
        <f>$C$48/2</f>
        <v>1.7857142857142858</v>
      </c>
      <c r="F48" s="664" t="s">
        <v>289</v>
      </c>
      <c r="G48" s="604">
        <f>E48/1</f>
        <v>1.7857142857142858</v>
      </c>
      <c r="H48" s="1120"/>
      <c r="I48" s="1112"/>
      <c r="J48" s="926">
        <f>H48-I48</f>
        <v>0</v>
      </c>
      <c r="K48" s="927">
        <f>(0.5*I48)* (6/10)</f>
        <v>0</v>
      </c>
      <c r="L48" s="928">
        <f>I48-K48</f>
        <v>0</v>
      </c>
      <c r="M48" s="786" t="str">
        <f>IF(K48&lt;&gt;0,J48/K48,"0%")</f>
        <v>0%</v>
      </c>
      <c r="N48" s="1620">
        <f>(((G48/C48)*M48)+((G49/C48)*M49))</f>
        <v>1.6380115469519443</v>
      </c>
      <c r="O48" s="1481">
        <f>IF((((G48/C48)*M48)+((G49/C48)*M49))&gt;=1,3.57148,IF((((G48/C48)*M48)+((G49/C48)*M49))&lt;=0,0, (((G48/C48)*M48)+((G49/C48)*M49))*3.571428))</f>
        <v>3.5714800000000002</v>
      </c>
      <c r="P48" s="1460">
        <f>O48/3.571428</f>
        <v>1.0000145600023296</v>
      </c>
      <c r="Q48" s="834" t="s">
        <v>95</v>
      </c>
      <c r="R48" s="264"/>
      <c r="S48" s="130" t="s">
        <v>463</v>
      </c>
    </row>
    <row r="49" spans="1:19" ht="30.6" customHeight="1" thickBot="1" x14ac:dyDescent="0.5">
      <c r="A49" s="1492"/>
      <c r="B49" s="1616"/>
      <c r="C49" s="1599"/>
      <c r="D49" s="643" t="s">
        <v>126</v>
      </c>
      <c r="E49" s="612">
        <f>$C$48/2</f>
        <v>1.7857142857142858</v>
      </c>
      <c r="F49" s="643" t="s">
        <v>290</v>
      </c>
      <c r="G49" s="612">
        <f>E49/1</f>
        <v>1.7857142857142858</v>
      </c>
      <c r="H49" s="1220">
        <v>968</v>
      </c>
      <c r="I49" s="1221">
        <v>196.3</v>
      </c>
      <c r="J49" s="839">
        <f>H49-I49</f>
        <v>771.7</v>
      </c>
      <c r="K49" s="931">
        <f>(2*I49)*(6/10)</f>
        <v>235.56</v>
      </c>
      <c r="L49" s="932">
        <f>I49+K49</f>
        <v>431.86</v>
      </c>
      <c r="M49" s="779">
        <f>IF(K49&lt;&gt;0,J49/K49,"0%")</f>
        <v>3.2760230939038886</v>
      </c>
      <c r="N49" s="1621"/>
      <c r="O49" s="1590"/>
      <c r="P49" s="1591"/>
      <c r="Q49" s="840" t="s">
        <v>95</v>
      </c>
      <c r="R49" s="267" t="s">
        <v>375</v>
      </c>
      <c r="S49" s="229" t="s">
        <v>551</v>
      </c>
    </row>
    <row r="50" spans="1:19" ht="15" customHeight="1" thickBot="1" x14ac:dyDescent="0.5">
      <c r="B50" s="1486" t="s">
        <v>39</v>
      </c>
      <c r="C50" s="1487"/>
      <c r="D50" s="1487"/>
      <c r="E50" s="1487"/>
      <c r="F50" s="1488"/>
      <c r="G50" s="666"/>
      <c r="H50" s="1222"/>
      <c r="I50" s="1223"/>
      <c r="J50" s="934"/>
      <c r="K50" s="934"/>
      <c r="L50" s="934"/>
      <c r="M50" s="935"/>
      <c r="N50" s="760">
        <f>N51</f>
        <v>0.83333333333333337</v>
      </c>
      <c r="O50" s="761">
        <f>O51</f>
        <v>2.9761900000000003</v>
      </c>
      <c r="P50" s="762">
        <f>O50/3.571428</f>
        <v>0.83333333333333337</v>
      </c>
      <c r="Q50" s="936"/>
      <c r="R50" s="271"/>
      <c r="S50" s="271"/>
    </row>
    <row r="51" spans="1:19" ht="30.6" customHeight="1" thickBot="1" x14ac:dyDescent="0.5">
      <c r="A51" s="20">
        <v>14</v>
      </c>
      <c r="B51" s="667" t="s">
        <v>226</v>
      </c>
      <c r="C51" s="668">
        <f>M5</f>
        <v>3.5714285714285716</v>
      </c>
      <c r="D51" s="669" t="s">
        <v>272</v>
      </c>
      <c r="E51" s="670">
        <f>C51</f>
        <v>3.5714285714285716</v>
      </c>
      <c r="F51" s="671" t="s">
        <v>266</v>
      </c>
      <c r="G51" s="672">
        <f>E51/1</f>
        <v>3.5714285714285716</v>
      </c>
      <c r="H51" s="1224">
        <v>50</v>
      </c>
      <c r="I51" s="1225">
        <v>0</v>
      </c>
      <c r="J51" s="939">
        <f>H51-I51</f>
        <v>50</v>
      </c>
      <c r="K51" s="940">
        <f>(100-I51)*(6/10)</f>
        <v>60</v>
      </c>
      <c r="L51" s="941">
        <f>I51+K51</f>
        <v>60</v>
      </c>
      <c r="M51" s="793">
        <f>IF(K51&lt;&gt;0,J51/K51,"100%")</f>
        <v>0.83333333333333337</v>
      </c>
      <c r="N51" s="853">
        <f>((G51/C51)*M51)</f>
        <v>0.83333333333333337</v>
      </c>
      <c r="O51" s="854">
        <f>IF(((G51/C51)*M51)&gt;=1,3.571428,IF(((G51/C51)*M51)&lt;=0,0,((G51/C51)*M51)*3.571428))</f>
        <v>2.9761900000000003</v>
      </c>
      <c r="P51" s="762">
        <f>O51/3.571428</f>
        <v>0.83333333333333337</v>
      </c>
      <c r="Q51" s="942" t="s">
        <v>95</v>
      </c>
      <c r="R51" s="272"/>
      <c r="S51" s="376" t="s">
        <v>393</v>
      </c>
    </row>
    <row r="52" spans="1:19" ht="20.45" customHeight="1" thickBot="1" x14ac:dyDescent="0.5">
      <c r="B52" s="1486" t="s">
        <v>40</v>
      </c>
      <c r="C52" s="1487"/>
      <c r="D52" s="1487"/>
      <c r="E52" s="1487"/>
      <c r="F52" s="1488"/>
      <c r="G52" s="663"/>
      <c r="H52" s="997"/>
      <c r="I52" s="1215"/>
      <c r="J52" s="922"/>
      <c r="K52" s="923"/>
      <c r="L52" s="923"/>
      <c r="M52" s="832"/>
      <c r="N52" s="760">
        <f>N53</f>
        <v>0.24380948100931338</v>
      </c>
      <c r="O52" s="761">
        <f>O53</f>
        <v>0.87074800714213008</v>
      </c>
      <c r="P52" s="762">
        <f>O52/3.571428</f>
        <v>0.24380948100931338</v>
      </c>
      <c r="Q52" s="943"/>
      <c r="R52" s="271"/>
      <c r="S52" s="271"/>
    </row>
    <row r="53" spans="1:19" ht="43.8" customHeight="1" thickBot="1" x14ac:dyDescent="0.5">
      <c r="A53" s="1492">
        <v>15</v>
      </c>
      <c r="B53" s="1596" t="s">
        <v>108</v>
      </c>
      <c r="C53" s="1597">
        <f>M5</f>
        <v>3.5714285714285716</v>
      </c>
      <c r="D53" s="674" t="s">
        <v>127</v>
      </c>
      <c r="E53" s="675">
        <f>$C$53/5</f>
        <v>0.7142857142857143</v>
      </c>
      <c r="F53" s="676" t="s">
        <v>41</v>
      </c>
      <c r="G53" s="628">
        <f>E53/1</f>
        <v>0.7142857142857143</v>
      </c>
      <c r="H53" s="1226"/>
      <c r="I53" s="1227"/>
      <c r="J53" s="815">
        <f>H53-I53</f>
        <v>0</v>
      </c>
      <c r="K53" s="927">
        <f>(100-I53)*(6/10)</f>
        <v>60</v>
      </c>
      <c r="L53" s="878">
        <f t="shared" ref="L53:L58" si="15">I53+K53</f>
        <v>60</v>
      </c>
      <c r="M53" s="772">
        <f t="shared" ref="M53:M55" si="16">IF(K53&lt;&gt;0,J53/K53,"0%")</f>
        <v>0</v>
      </c>
      <c r="N53" s="1617">
        <f>(((G53/C53)*M53)+((G54/C53)*M54)+((G55/C53)*M55)+((G56/C53)*M56)+((G57/C53)*M57)+((G58/C53)*M58))</f>
        <v>0.24380948100931338</v>
      </c>
      <c r="O53" s="1533">
        <f>IF((((G53/C53)*M53)+((G54/C53)*M54)+((G55/C53)*M55)+((G56/C53)*M56)+((G57/C53)*M57)+((G58/C53)*M58))&gt;=1,3.571428,IF((((G53/C53)*M53)+((G54/C53)*M54)+((G55/C53)*M55)+((G56/C53)*M56)+((G57/C53)*M57)+((G58/C53)*M58))&lt;=0,0,((((G53/C53)*M53)+((G54/C53)*M54)+((G55/C53)*M55)+((G56/C53)*M56)+((G57/C53)*M57)+((G58/C53)*M58))*3.571428)))</f>
        <v>0.87074800714213008</v>
      </c>
      <c r="P53" s="1460">
        <f>O53/3.571428</f>
        <v>0.24380948100931338</v>
      </c>
      <c r="Q53" s="946" t="s">
        <v>95</v>
      </c>
      <c r="R53" s="273"/>
      <c r="S53" s="130" t="s">
        <v>463</v>
      </c>
    </row>
    <row r="54" spans="1:19" ht="35.450000000000003" customHeight="1" thickBot="1" x14ac:dyDescent="0.5">
      <c r="A54" s="1492"/>
      <c r="B54" s="1555"/>
      <c r="C54" s="1598"/>
      <c r="D54" s="679" t="s">
        <v>128</v>
      </c>
      <c r="E54" s="680">
        <f t="shared" ref="E54:E57" si="17">$C$53/5</f>
        <v>0.7142857142857143</v>
      </c>
      <c r="F54" s="681" t="s">
        <v>42</v>
      </c>
      <c r="G54" s="630">
        <f>E54/1</f>
        <v>0.7142857142857143</v>
      </c>
      <c r="H54" s="1139"/>
      <c r="I54" s="1140"/>
      <c r="J54" s="820">
        <f>H54-I54</f>
        <v>0</v>
      </c>
      <c r="K54" s="883">
        <f>(100-I54)*(6/6)</f>
        <v>100</v>
      </c>
      <c r="L54" s="884">
        <f>I54+K54</f>
        <v>100</v>
      </c>
      <c r="M54" s="805">
        <f t="shared" si="16"/>
        <v>0</v>
      </c>
      <c r="N54" s="1619"/>
      <c r="O54" s="1622"/>
      <c r="P54" s="1604"/>
      <c r="Q54" s="949" t="s">
        <v>95</v>
      </c>
      <c r="R54" s="274"/>
      <c r="S54" s="130" t="s">
        <v>463</v>
      </c>
    </row>
    <row r="55" spans="1:19" ht="34.25" customHeight="1" thickBot="1" x14ac:dyDescent="0.5">
      <c r="A55" s="1492"/>
      <c r="B55" s="1555"/>
      <c r="C55" s="1598"/>
      <c r="D55" s="679" t="s">
        <v>129</v>
      </c>
      <c r="E55" s="680">
        <f t="shared" si="17"/>
        <v>0.7142857142857143</v>
      </c>
      <c r="F55" s="681" t="s">
        <v>43</v>
      </c>
      <c r="G55" s="630">
        <f>E55/1</f>
        <v>0.7142857142857143</v>
      </c>
      <c r="H55" s="1139"/>
      <c r="I55" s="1140"/>
      <c r="J55" s="820">
        <f>H55-I55</f>
        <v>0</v>
      </c>
      <c r="K55" s="883">
        <f>(100-I55)*(6/10)</f>
        <v>60</v>
      </c>
      <c r="L55" s="884">
        <f t="shared" si="15"/>
        <v>60</v>
      </c>
      <c r="M55" s="805">
        <f t="shared" si="16"/>
        <v>0</v>
      </c>
      <c r="N55" s="1619"/>
      <c r="O55" s="1622"/>
      <c r="P55" s="1604"/>
      <c r="Q55" s="949" t="s">
        <v>95</v>
      </c>
      <c r="R55" s="274"/>
      <c r="S55" s="130" t="s">
        <v>463</v>
      </c>
    </row>
    <row r="56" spans="1:19" ht="37.25" customHeight="1" thickBot="1" x14ac:dyDescent="0.5">
      <c r="A56" s="1492"/>
      <c r="B56" s="1555"/>
      <c r="C56" s="1598"/>
      <c r="D56" s="679" t="s">
        <v>130</v>
      </c>
      <c r="E56" s="680">
        <f t="shared" si="17"/>
        <v>0.7142857142857143</v>
      </c>
      <c r="F56" s="681" t="s">
        <v>44</v>
      </c>
      <c r="G56" s="630">
        <f>E56/1</f>
        <v>0.7142857142857143</v>
      </c>
      <c r="H56" s="1228">
        <v>15540.57</v>
      </c>
      <c r="I56" s="1229">
        <v>10287.17</v>
      </c>
      <c r="J56" s="820">
        <f>H56-I56</f>
        <v>5253.4</v>
      </c>
      <c r="K56" s="953">
        <f>(0.5*I56)*(6/7)</f>
        <v>4408.7871428571425</v>
      </c>
      <c r="L56" s="884">
        <f t="shared" si="15"/>
        <v>14695.957142857143</v>
      </c>
      <c r="M56" s="805">
        <f>IF(K56&lt;&gt;0,J56/K56,"0%")</f>
        <v>1.1915748775740396</v>
      </c>
      <c r="N56" s="1619"/>
      <c r="O56" s="1622"/>
      <c r="P56" s="1604"/>
      <c r="Q56" s="949" t="s">
        <v>101</v>
      </c>
      <c r="R56" s="274" t="s">
        <v>384</v>
      </c>
      <c r="S56" s="130" t="s">
        <v>376</v>
      </c>
    </row>
    <row r="57" spans="1:19" ht="22.8" customHeight="1" thickBot="1" x14ac:dyDescent="0.5">
      <c r="A57" s="1492"/>
      <c r="B57" s="1555"/>
      <c r="C57" s="1598"/>
      <c r="D57" s="1535" t="s">
        <v>131</v>
      </c>
      <c r="E57" s="1624">
        <f t="shared" si="17"/>
        <v>0.7142857142857143</v>
      </c>
      <c r="F57" s="681" t="s">
        <v>45</v>
      </c>
      <c r="G57" s="630">
        <f>$E$57/2</f>
        <v>0.35714285714285715</v>
      </c>
      <c r="H57" s="1230">
        <v>84.6</v>
      </c>
      <c r="I57" s="1200">
        <v>81.900000000000006</v>
      </c>
      <c r="J57" s="820">
        <f t="shared" ref="J57:J58" si="18">H57-I57</f>
        <v>2.6999999999999886</v>
      </c>
      <c r="K57" s="955">
        <f>(1*I57)*(6/10)</f>
        <v>49.14</v>
      </c>
      <c r="L57" s="884">
        <f t="shared" si="15"/>
        <v>131.04000000000002</v>
      </c>
      <c r="M57" s="805">
        <f>IF(K57&lt;&gt;0,J57/K57,"0%")</f>
        <v>5.4945054945054715E-2</v>
      </c>
      <c r="N57" s="1619"/>
      <c r="O57" s="1622"/>
      <c r="P57" s="1604"/>
      <c r="Q57" s="949" t="s">
        <v>180</v>
      </c>
      <c r="R57" s="274" t="s">
        <v>384</v>
      </c>
      <c r="S57" s="100" t="s">
        <v>379</v>
      </c>
    </row>
    <row r="58" spans="1:19" ht="15" customHeight="1" thickBot="1" x14ac:dyDescent="0.5">
      <c r="A58" s="1492"/>
      <c r="B58" s="1556"/>
      <c r="C58" s="1599"/>
      <c r="D58" s="1536"/>
      <c r="E58" s="1625"/>
      <c r="F58" s="611" t="s">
        <v>46</v>
      </c>
      <c r="G58" s="632">
        <f>$E$57/2</f>
        <v>0.35714285714285715</v>
      </c>
      <c r="H58" s="1114"/>
      <c r="I58" s="1128"/>
      <c r="J58" s="827">
        <f t="shared" si="18"/>
        <v>0</v>
      </c>
      <c r="K58" s="931">
        <f>(1*I58)*(6/10)</f>
        <v>0</v>
      </c>
      <c r="L58" s="956">
        <f t="shared" si="15"/>
        <v>0</v>
      </c>
      <c r="M58" s="779" t="str">
        <f>IF(K58&lt;&gt;0,J58/K58,"0%")</f>
        <v>0%</v>
      </c>
      <c r="N58" s="1618"/>
      <c r="O58" s="1623"/>
      <c r="P58" s="1591"/>
      <c r="Q58" s="957" t="s">
        <v>95</v>
      </c>
      <c r="R58" s="275"/>
      <c r="S58" s="130" t="s">
        <v>463</v>
      </c>
    </row>
    <row r="59" spans="1:19" ht="23.45" customHeight="1" thickBot="1" x14ac:dyDescent="0.5">
      <c r="B59" s="1539" t="s">
        <v>47</v>
      </c>
      <c r="C59" s="1540"/>
      <c r="D59" s="1540"/>
      <c r="E59" s="1540"/>
      <c r="F59" s="1541"/>
      <c r="G59" s="686"/>
      <c r="H59" s="1231"/>
      <c r="I59" s="1232"/>
      <c r="J59" s="959"/>
      <c r="K59" s="959"/>
      <c r="L59" s="959"/>
      <c r="M59" s="920"/>
      <c r="N59" s="760">
        <f>(N60+N67)/2</f>
        <v>8.3333333333333329E-2</v>
      </c>
      <c r="O59" s="761">
        <f>(O60+O67)</f>
        <v>0.59523799999999993</v>
      </c>
      <c r="P59" s="762">
        <f>O59/7.142856</f>
        <v>8.3333333333333329E-2</v>
      </c>
      <c r="Q59" s="960"/>
      <c r="R59" s="276"/>
      <c r="S59" s="277"/>
    </row>
    <row r="60" spans="1:19" ht="22.25" customHeight="1" thickBot="1" x14ac:dyDescent="0.5">
      <c r="B60" s="1486" t="s">
        <v>48</v>
      </c>
      <c r="C60" s="1487"/>
      <c r="D60" s="1487"/>
      <c r="E60" s="1487"/>
      <c r="F60" s="1488"/>
      <c r="G60" s="633"/>
      <c r="H60" s="991"/>
      <c r="I60" s="992"/>
      <c r="J60" s="830"/>
      <c r="K60" s="831"/>
      <c r="L60" s="831"/>
      <c r="M60" s="832"/>
      <c r="N60" s="760">
        <f>N61</f>
        <v>0.16666666666666666</v>
      </c>
      <c r="O60" s="761">
        <f>O61</f>
        <v>0.59523799999999993</v>
      </c>
      <c r="P60" s="762">
        <f>O60/3.571428</f>
        <v>0.16666666666666666</v>
      </c>
      <c r="Q60" s="813"/>
      <c r="R60" s="261"/>
      <c r="S60" s="261"/>
    </row>
    <row r="61" spans="1:19" ht="39" customHeight="1" thickBot="1" x14ac:dyDescent="0.5">
      <c r="A61" s="1492">
        <v>16</v>
      </c>
      <c r="B61" s="1596" t="s">
        <v>49</v>
      </c>
      <c r="C61" s="1597">
        <f>M5</f>
        <v>3.5714285714285716</v>
      </c>
      <c r="D61" s="635" t="s">
        <v>133</v>
      </c>
      <c r="E61" s="604">
        <f>$C$61/4</f>
        <v>0.8928571428571429</v>
      </c>
      <c r="F61" s="635" t="s">
        <v>50</v>
      </c>
      <c r="G61" s="628">
        <f>E61/1</f>
        <v>0.8928571428571429</v>
      </c>
      <c r="H61" s="1111"/>
      <c r="I61" s="1143"/>
      <c r="J61" s="908">
        <f>IF(I61=H61,(H61-70),H61-I61)</f>
        <v>-70</v>
      </c>
      <c r="K61" s="798">
        <f>IF(I61&gt;=70,0,((70-I61)*(6/10)))</f>
        <v>42</v>
      </c>
      <c r="L61" s="964">
        <f t="shared" ref="L61:L66" si="19">I61+K61</f>
        <v>42</v>
      </c>
      <c r="M61" s="772" t="str">
        <f>IF(H61=0,"0%",J61/K61)</f>
        <v>0%</v>
      </c>
      <c r="N61" s="1606">
        <f>(((G61/C61)*M61)+((G62/C61)*M62)+((G63/C61)*M63)+((G64/C61)*M64)+((G65/C61)*M65)+((G66/C61)*M66))</f>
        <v>0.16666666666666666</v>
      </c>
      <c r="O61" s="1533">
        <f>IF((((G61/C61)*M61)+((G62/C61)*M62)+((G63/C61)*M63)+((G64/C61)*M64)+((G65/C61)*M65)+((G66/C61)*M66))&gt;=1,3.571428,IF((((G61/C61)*M61)+((G62/C61)*M62)+((G63/C61)*M63)+((G64/C61)*M64)+((G65/C61)*M65)+((G66/C61)*M66))&lt;=0,0,((((G61/C61)*M61)+((G62/C61)*M62)+((G63/C61)*M63)+((G64/C61)*M64)+((G65/C61)*M65)+((G66/C61)*M66))*3.571428)))</f>
        <v>0.59523799999999993</v>
      </c>
      <c r="P61" s="1460">
        <f>O61/3.571428</f>
        <v>0.16666666666666666</v>
      </c>
      <c r="Q61" s="879" t="s">
        <v>181</v>
      </c>
      <c r="R61" s="264"/>
      <c r="S61" s="130" t="s">
        <v>463</v>
      </c>
    </row>
    <row r="62" spans="1:19" ht="58.25" customHeight="1" thickBot="1" x14ac:dyDescent="0.5">
      <c r="A62" s="1492"/>
      <c r="B62" s="1555"/>
      <c r="C62" s="1598"/>
      <c r="D62" s="637" t="s">
        <v>134</v>
      </c>
      <c r="E62" s="638">
        <f t="shared" ref="E62:E63" si="20">$C$61/4</f>
        <v>0.8928571428571429</v>
      </c>
      <c r="F62" s="679" t="s">
        <v>276</v>
      </c>
      <c r="G62" s="630">
        <f>$E$62/1</f>
        <v>0.8928571428571429</v>
      </c>
      <c r="H62" s="1139"/>
      <c r="I62" s="1140"/>
      <c r="J62" s="965">
        <f>IF(I62=H62,(H62-70),H62-I62)</f>
        <v>-70</v>
      </c>
      <c r="K62" s="803">
        <f t="shared" ref="K62:K63" si="21">IF(I62&gt;=70,0,((70-I62)*(6/10)))</f>
        <v>42</v>
      </c>
      <c r="L62" s="966">
        <f t="shared" si="19"/>
        <v>42</v>
      </c>
      <c r="M62" s="805" t="str">
        <f>IF(H62=0,"0%",J62/K62)</f>
        <v>0%</v>
      </c>
      <c r="N62" s="1607"/>
      <c r="O62" s="1622"/>
      <c r="P62" s="1604"/>
      <c r="Q62" s="885" t="s">
        <v>182</v>
      </c>
      <c r="R62" s="265"/>
      <c r="S62" s="130" t="s">
        <v>463</v>
      </c>
    </row>
    <row r="63" spans="1:19" ht="26.45" customHeight="1" thickBot="1" x14ac:dyDescent="0.5">
      <c r="A63" s="1492"/>
      <c r="B63" s="1555"/>
      <c r="C63" s="1598"/>
      <c r="D63" s="637" t="s">
        <v>135</v>
      </c>
      <c r="E63" s="638">
        <f t="shared" si="20"/>
        <v>0.8928571428571429</v>
      </c>
      <c r="F63" s="637" t="s">
        <v>51</v>
      </c>
      <c r="G63" s="630">
        <f>E63/1</f>
        <v>0.8928571428571429</v>
      </c>
      <c r="H63" s="1144"/>
      <c r="I63" s="1145"/>
      <c r="J63" s="965">
        <f>IF(I63=H63,(H63-70),H63-I63)</f>
        <v>-70</v>
      </c>
      <c r="K63" s="803">
        <f t="shared" si="21"/>
        <v>42</v>
      </c>
      <c r="L63" s="966">
        <f t="shared" si="19"/>
        <v>42</v>
      </c>
      <c r="M63" s="805" t="str">
        <f>IF(H63=0,"0%",J63/K63)</f>
        <v>0%</v>
      </c>
      <c r="N63" s="1607"/>
      <c r="O63" s="1622"/>
      <c r="P63" s="1604"/>
      <c r="Q63" s="885" t="s">
        <v>95</v>
      </c>
      <c r="R63" s="265"/>
      <c r="S63" s="130" t="s">
        <v>463</v>
      </c>
    </row>
    <row r="64" spans="1:19" ht="15" customHeight="1" thickBot="1" x14ac:dyDescent="0.5">
      <c r="A64" s="1492"/>
      <c r="B64" s="1555"/>
      <c r="C64" s="1598"/>
      <c r="D64" s="1517" t="s">
        <v>136</v>
      </c>
      <c r="E64" s="1613">
        <f>$C$61/4</f>
        <v>0.8928571428571429</v>
      </c>
      <c r="F64" s="687" t="s">
        <v>52</v>
      </c>
      <c r="G64" s="688">
        <f>$E$64/3</f>
        <v>0.29761904761904762</v>
      </c>
      <c r="H64" s="1233">
        <v>100</v>
      </c>
      <c r="I64" s="1234">
        <v>100</v>
      </c>
      <c r="J64" s="969">
        <f t="shared" ref="J64:J66" si="22">H64-I64</f>
        <v>0</v>
      </c>
      <c r="K64" s="970">
        <f>(100-I64)*(6/10)</f>
        <v>0</v>
      </c>
      <c r="L64" s="966">
        <f t="shared" si="19"/>
        <v>100</v>
      </c>
      <c r="M64" s="805" t="str">
        <f t="shared" ref="M64:M66" si="23">IF(K64&lt;&gt;0,J64/K64,"100%")</f>
        <v>100%</v>
      </c>
      <c r="N64" s="1607"/>
      <c r="O64" s="1622"/>
      <c r="P64" s="1604"/>
      <c r="Q64" s="885" t="s">
        <v>95</v>
      </c>
      <c r="R64" s="278"/>
      <c r="S64" s="377" t="s">
        <v>505</v>
      </c>
    </row>
    <row r="65" spans="1:19" ht="14.65" customHeight="1" thickBot="1" x14ac:dyDescent="0.5">
      <c r="A65" s="1492"/>
      <c r="B65" s="1555"/>
      <c r="C65" s="1598"/>
      <c r="D65" s="1612"/>
      <c r="E65" s="1598"/>
      <c r="F65" s="687" t="s">
        <v>53</v>
      </c>
      <c r="G65" s="688">
        <f t="shared" ref="G65:G66" si="24">$E$64/3</f>
        <v>0.29761904761904762</v>
      </c>
      <c r="H65" s="1233">
        <v>100</v>
      </c>
      <c r="I65" s="1234">
        <v>100</v>
      </c>
      <c r="J65" s="969">
        <f t="shared" si="22"/>
        <v>0</v>
      </c>
      <c r="K65" s="970">
        <f>(100-I65)*(6/10)</f>
        <v>0</v>
      </c>
      <c r="L65" s="966">
        <f t="shared" si="19"/>
        <v>100</v>
      </c>
      <c r="M65" s="805" t="str">
        <f t="shared" si="23"/>
        <v>100%</v>
      </c>
      <c r="N65" s="1607"/>
      <c r="O65" s="1622"/>
      <c r="P65" s="1604"/>
      <c r="Q65" s="885" t="s">
        <v>95</v>
      </c>
      <c r="R65" s="265"/>
      <c r="S65" s="377" t="s">
        <v>505</v>
      </c>
    </row>
    <row r="66" spans="1:19" ht="27.6" customHeight="1" thickBot="1" x14ac:dyDescent="0.5">
      <c r="A66" s="1492"/>
      <c r="B66" s="1556"/>
      <c r="C66" s="1599"/>
      <c r="D66" s="1616"/>
      <c r="E66" s="1599"/>
      <c r="F66" s="689" t="s">
        <v>54</v>
      </c>
      <c r="G66" s="690">
        <f t="shared" si="24"/>
        <v>0.29761904761904762</v>
      </c>
      <c r="H66" s="1141"/>
      <c r="I66" s="1142"/>
      <c r="J66" s="973">
        <f t="shared" si="22"/>
        <v>0</v>
      </c>
      <c r="K66" s="974">
        <f>(100-I66)*(6/10)</f>
        <v>60</v>
      </c>
      <c r="L66" s="975">
        <f t="shared" si="19"/>
        <v>60</v>
      </c>
      <c r="M66" s="779">
        <f t="shared" si="23"/>
        <v>0</v>
      </c>
      <c r="N66" s="1608"/>
      <c r="O66" s="1623"/>
      <c r="P66" s="1591"/>
      <c r="Q66" s="976" t="s">
        <v>95</v>
      </c>
      <c r="R66" s="267"/>
      <c r="S66" s="378" t="s">
        <v>506</v>
      </c>
    </row>
    <row r="67" spans="1:19" ht="27" customHeight="1" thickBot="1" x14ac:dyDescent="0.5">
      <c r="B67" s="1486" t="s">
        <v>55</v>
      </c>
      <c r="C67" s="1487"/>
      <c r="D67" s="1487"/>
      <c r="E67" s="1487"/>
      <c r="F67" s="1488"/>
      <c r="G67" s="659"/>
      <c r="H67" s="991"/>
      <c r="I67" s="992"/>
      <c r="J67" s="902"/>
      <c r="K67" s="903"/>
      <c r="L67" s="903"/>
      <c r="M67" s="993"/>
      <c r="N67" s="760">
        <f>N68</f>
        <v>0</v>
      </c>
      <c r="O67" s="761">
        <f>O68</f>
        <v>0</v>
      </c>
      <c r="P67" s="762">
        <f>O67/3.571428</f>
        <v>0</v>
      </c>
      <c r="Q67" s="978"/>
      <c r="R67" s="279"/>
      <c r="S67" s="271"/>
    </row>
    <row r="68" spans="1:19" ht="58.5" thickBot="1" x14ac:dyDescent="0.5">
      <c r="A68" s="21">
        <v>17</v>
      </c>
      <c r="B68" s="691" t="s">
        <v>56</v>
      </c>
      <c r="C68" s="692">
        <f>M5</f>
        <v>3.5714285714285716</v>
      </c>
      <c r="D68" s="691" t="s">
        <v>137</v>
      </c>
      <c r="E68" s="692">
        <f>C68</f>
        <v>3.5714285714285716</v>
      </c>
      <c r="F68" s="691" t="s">
        <v>57</v>
      </c>
      <c r="G68" s="693">
        <f>E68/1</f>
        <v>3.5714285714285716</v>
      </c>
      <c r="H68" s="1235"/>
      <c r="I68" s="1154"/>
      <c r="J68" s="981">
        <f>IF(I68=H68,(H68-70),I68-H68)</f>
        <v>-70</v>
      </c>
      <c r="K68" s="866">
        <f t="shared" ref="K68" si="25">IF(I68&gt;=70,0,((70-I68)*(6/10)))</f>
        <v>42</v>
      </c>
      <c r="L68" s="982">
        <f>I68-K68</f>
        <v>-42</v>
      </c>
      <c r="M68" s="779" t="str">
        <f>IF(H68=0,"0%",J68/K68)</f>
        <v>0%</v>
      </c>
      <c r="N68" s="983">
        <f>((G68/C68)*M68)</f>
        <v>0</v>
      </c>
      <c r="O68" s="854">
        <f>IF(((G68/C68)*M68)&gt;=1,3.571428,IF(((G68/C68)*M68)&lt;=0,0,((G68/C68)*M68)*3.571428))</f>
        <v>0</v>
      </c>
      <c r="P68" s="762">
        <f>O68/3.571428</f>
        <v>0</v>
      </c>
      <c r="Q68" s="984" t="s">
        <v>132</v>
      </c>
      <c r="R68" s="97"/>
      <c r="S68" s="130" t="s">
        <v>463</v>
      </c>
    </row>
    <row r="69" spans="1:19" ht="22.25" customHeight="1" thickBot="1" x14ac:dyDescent="0.5">
      <c r="B69" s="1322" t="s">
        <v>58</v>
      </c>
      <c r="C69" s="1323"/>
      <c r="D69" s="1323"/>
      <c r="E69" s="1323"/>
      <c r="F69" s="1324"/>
      <c r="G69" s="150"/>
      <c r="H69" s="985"/>
      <c r="I69" s="1236"/>
      <c r="J69" s="987"/>
      <c r="K69" s="988"/>
      <c r="L69" s="988"/>
      <c r="M69" s="989"/>
      <c r="N69" s="760">
        <f>(N70+N72+N74)/3</f>
        <v>0.82566716020297692</v>
      </c>
      <c r="O69" s="761">
        <f>(O70+O72+O74)</f>
        <v>8.6944567843137257</v>
      </c>
      <c r="P69" s="762">
        <f>O69/10.714284</f>
        <v>0.81148276303985656</v>
      </c>
      <c r="Q69" s="990"/>
      <c r="R69" s="280"/>
      <c r="S69" s="281"/>
    </row>
    <row r="70" spans="1:19" ht="20.45" customHeight="1" thickBot="1" x14ac:dyDescent="0.5">
      <c r="B70" s="1486" t="s">
        <v>59</v>
      </c>
      <c r="C70" s="1487"/>
      <c r="D70" s="1487"/>
      <c r="E70" s="1487"/>
      <c r="F70" s="1488"/>
      <c r="G70" s="633"/>
      <c r="H70" s="991"/>
      <c r="I70" s="992"/>
      <c r="J70" s="813"/>
      <c r="K70" s="813"/>
      <c r="L70" s="813"/>
      <c r="M70" s="993"/>
      <c r="N70" s="760">
        <f>N71</f>
        <v>0.43444828911956934</v>
      </c>
      <c r="O70" s="761">
        <f>O71</f>
        <v>1.5516007843137254</v>
      </c>
      <c r="P70" s="762">
        <f t="shared" ref="P70:P78" si="26">O70/3.571428</f>
        <v>0.43444828911956934</v>
      </c>
      <c r="Q70" s="943"/>
      <c r="R70" s="271"/>
      <c r="S70" s="271"/>
    </row>
    <row r="71" spans="1:19" ht="52.25" customHeight="1" thickBot="1" x14ac:dyDescent="0.5">
      <c r="A71" s="21">
        <v>18</v>
      </c>
      <c r="B71" s="695" t="s">
        <v>60</v>
      </c>
      <c r="C71" s="696">
        <f>M5</f>
        <v>3.5714285714285716</v>
      </c>
      <c r="D71" s="697" t="s">
        <v>138</v>
      </c>
      <c r="E71" s="698">
        <f>C71</f>
        <v>3.5714285714285716</v>
      </c>
      <c r="F71" s="699" t="s">
        <v>61</v>
      </c>
      <c r="G71" s="700">
        <f>E71/1</f>
        <v>3.5714285714285716</v>
      </c>
      <c r="H71" s="1157">
        <v>0.754</v>
      </c>
      <c r="I71" s="1154">
        <v>0.86699999999999999</v>
      </c>
      <c r="J71" s="995">
        <f>I71-H71</f>
        <v>0.11299999999999999</v>
      </c>
      <c r="K71" s="862">
        <f>(0.5*I71)*0.6</f>
        <v>0.2601</v>
      </c>
      <c r="L71" s="982">
        <f>I71-K71</f>
        <v>0.6069</v>
      </c>
      <c r="M71" s="779">
        <f>IF(H71=0,"0%",J71/K71)</f>
        <v>0.43444828911956934</v>
      </c>
      <c r="N71" s="983">
        <f>((G71/C71)*M71)</f>
        <v>0.43444828911956934</v>
      </c>
      <c r="O71" s="854">
        <f>IF(((G71/C71)*M71)&gt;=1,3.571428,IF(((G71/C71)*M71)&lt;=0,0,((G71/C71)*M71)*3.571428))</f>
        <v>1.5516007843137254</v>
      </c>
      <c r="P71" s="762">
        <f t="shared" si="26"/>
        <v>0.43444828911956934</v>
      </c>
      <c r="Q71" s="996" t="s">
        <v>183</v>
      </c>
      <c r="R71" s="282" t="s">
        <v>552</v>
      </c>
      <c r="S71" s="130" t="s">
        <v>553</v>
      </c>
    </row>
    <row r="72" spans="1:19" ht="20.45" customHeight="1" thickBot="1" x14ac:dyDescent="0.5">
      <c r="B72" s="1512" t="s">
        <v>277</v>
      </c>
      <c r="C72" s="1513"/>
      <c r="D72" s="1513"/>
      <c r="E72" s="1513"/>
      <c r="F72" s="1515"/>
      <c r="G72" s="651"/>
      <c r="H72" s="997"/>
      <c r="I72" s="1215"/>
      <c r="J72" s="870"/>
      <c r="K72" s="871"/>
      <c r="L72" s="871"/>
      <c r="M72" s="872"/>
      <c r="N72" s="760">
        <f>N73</f>
        <v>1.0425531914893618</v>
      </c>
      <c r="O72" s="761">
        <f>O73</f>
        <v>3.571428</v>
      </c>
      <c r="P72" s="762">
        <f t="shared" si="26"/>
        <v>1</v>
      </c>
      <c r="Q72" s="998"/>
      <c r="R72" s="271"/>
      <c r="S72" s="271"/>
    </row>
    <row r="73" spans="1:19" ht="45" customHeight="1" thickBot="1" x14ac:dyDescent="0.5">
      <c r="A73" s="21">
        <v>19</v>
      </c>
      <c r="B73" s="701" t="s">
        <v>62</v>
      </c>
      <c r="C73" s="702">
        <f>M5</f>
        <v>3.5714285714285716</v>
      </c>
      <c r="D73" s="703" t="s">
        <v>139</v>
      </c>
      <c r="E73" s="702">
        <f>C73</f>
        <v>3.5714285714285716</v>
      </c>
      <c r="F73" s="704" t="s">
        <v>63</v>
      </c>
      <c r="G73" s="705">
        <f>E73/1</f>
        <v>3.5714285714285716</v>
      </c>
      <c r="H73" s="994">
        <v>5</v>
      </c>
      <c r="I73" s="999">
        <v>47</v>
      </c>
      <c r="J73" s="1000">
        <f>I73-H73</f>
        <v>42</v>
      </c>
      <c r="K73" s="1001">
        <f>IF(H73&gt;0,(I73*(6/7)),H73)</f>
        <v>40.285714285714285</v>
      </c>
      <c r="L73" s="1002">
        <f>I73-K73</f>
        <v>6.7142857142857153</v>
      </c>
      <c r="M73" s="805">
        <f t="shared" ref="M73" si="27">IF(K73&lt;&gt;0,J73/K73,"100%")</f>
        <v>1.0425531914893618</v>
      </c>
      <c r="N73" s="983">
        <f>((G73/C73)*M73)</f>
        <v>1.0425531914893618</v>
      </c>
      <c r="O73" s="854">
        <f>IF(((G73/C73)*M73)&gt;=1,3.571428,IF(((G73/C73)*M73)&lt;=0,0,((G73/C73)*M73)*3.571428))</f>
        <v>3.571428</v>
      </c>
      <c r="P73" s="762">
        <f t="shared" si="26"/>
        <v>1</v>
      </c>
      <c r="Q73" s="1003" t="s">
        <v>95</v>
      </c>
      <c r="R73" s="742" t="s">
        <v>507</v>
      </c>
      <c r="S73" s="743" t="s">
        <v>554</v>
      </c>
    </row>
    <row r="74" spans="1:19" ht="30.6" customHeight="1" thickBot="1" x14ac:dyDescent="0.5">
      <c r="B74" s="1486" t="s">
        <v>64</v>
      </c>
      <c r="C74" s="1487"/>
      <c r="D74" s="1487"/>
      <c r="E74" s="1487"/>
      <c r="F74" s="1488"/>
      <c r="G74" s="634"/>
      <c r="H74" s="991"/>
      <c r="I74" s="992"/>
      <c r="J74" s="813"/>
      <c r="K74" s="813"/>
      <c r="L74" s="813"/>
      <c r="M74" s="904"/>
      <c r="N74" s="760">
        <f>N75</f>
        <v>1</v>
      </c>
      <c r="O74" s="761">
        <f>O75</f>
        <v>3.571428</v>
      </c>
      <c r="P74" s="762">
        <f t="shared" si="26"/>
        <v>1</v>
      </c>
      <c r="Q74" s="943"/>
      <c r="R74" s="271"/>
      <c r="S74" s="271"/>
    </row>
    <row r="75" spans="1:19" ht="29.45" customHeight="1" thickBot="1" x14ac:dyDescent="0.5">
      <c r="A75" s="21">
        <v>20</v>
      </c>
      <c r="B75" s="701" t="s">
        <v>65</v>
      </c>
      <c r="C75" s="648">
        <f>M5</f>
        <v>3.5714285714285716</v>
      </c>
      <c r="D75" s="697" t="s">
        <v>140</v>
      </c>
      <c r="E75" s="706">
        <f>C75</f>
        <v>3.5714285714285716</v>
      </c>
      <c r="F75" s="703" t="s">
        <v>66</v>
      </c>
      <c r="G75" s="700">
        <f>E75/1</f>
        <v>3.5714285714285716</v>
      </c>
      <c r="H75" s="1237">
        <v>1</v>
      </c>
      <c r="I75" s="1238">
        <v>1</v>
      </c>
      <c r="J75" s="939">
        <f>H75-I75</f>
        <v>0</v>
      </c>
      <c r="K75" s="940">
        <f>IF(AND(H75=0,I75=1)," 1",(H75-I75))</f>
        <v>0</v>
      </c>
      <c r="L75" s="1006">
        <f>I75+K75</f>
        <v>1</v>
      </c>
      <c r="M75" s="1007">
        <f>(IF(I75=1,1,(J75/K75)))</f>
        <v>1</v>
      </c>
      <c r="N75" s="983">
        <f>((G75/C75)*M75)</f>
        <v>1</v>
      </c>
      <c r="O75" s="854">
        <f>IF(((G75/C75)*M75)&gt;=1,3.571428,IF(((G75/C75)*M75)&lt;=0,0,((G75/C75)*M75)*3.571428))</f>
        <v>3.571428</v>
      </c>
      <c r="P75" s="762">
        <f t="shared" si="26"/>
        <v>1</v>
      </c>
      <c r="Q75" s="1008" t="s">
        <v>95</v>
      </c>
      <c r="R75" s="283"/>
      <c r="S75" s="97"/>
    </row>
    <row r="76" spans="1:19" ht="20.45" customHeight="1" thickBot="1" x14ac:dyDescent="0.5">
      <c r="B76" s="1544" t="s">
        <v>67</v>
      </c>
      <c r="C76" s="1545"/>
      <c r="D76" s="1545"/>
      <c r="E76" s="1545"/>
      <c r="F76" s="1546"/>
      <c r="G76" s="707"/>
      <c r="H76" s="1009"/>
      <c r="I76" s="1010"/>
      <c r="J76" s="1011"/>
      <c r="K76" s="1012"/>
      <c r="L76" s="1012"/>
      <c r="M76" s="1013"/>
      <c r="N76" s="760">
        <f t="shared" ref="N76:O77" si="28">N77</f>
        <v>0</v>
      </c>
      <c r="O76" s="761">
        <f t="shared" si="28"/>
        <v>0</v>
      </c>
      <c r="P76" s="762">
        <f t="shared" si="26"/>
        <v>0</v>
      </c>
      <c r="Q76" s="1014"/>
      <c r="R76" s="284"/>
      <c r="S76" s="284"/>
    </row>
    <row r="77" spans="1:19" ht="20.45" customHeight="1" thickBot="1" x14ac:dyDescent="0.5">
      <c r="B77" s="1486" t="s">
        <v>68</v>
      </c>
      <c r="C77" s="1487"/>
      <c r="D77" s="1487"/>
      <c r="E77" s="1487"/>
      <c r="F77" s="1488"/>
      <c r="G77" s="633"/>
      <c r="H77" s="991"/>
      <c r="I77" s="992"/>
      <c r="J77" s="830"/>
      <c r="K77" s="831"/>
      <c r="L77" s="831"/>
      <c r="M77" s="814"/>
      <c r="N77" s="760">
        <f t="shared" si="28"/>
        <v>0</v>
      </c>
      <c r="O77" s="761">
        <f t="shared" si="28"/>
        <v>0</v>
      </c>
      <c r="P77" s="762">
        <f t="shared" si="26"/>
        <v>0</v>
      </c>
      <c r="Q77" s="943"/>
      <c r="R77" s="271"/>
      <c r="S77" s="271"/>
    </row>
    <row r="78" spans="1:19" ht="35.25" thickBot="1" x14ac:dyDescent="0.5">
      <c r="A78" s="21">
        <v>21</v>
      </c>
      <c r="B78" s="701" t="s">
        <v>69</v>
      </c>
      <c r="C78" s="706">
        <f>M5</f>
        <v>3.5714285714285716</v>
      </c>
      <c r="D78" s="708" t="s">
        <v>141</v>
      </c>
      <c r="E78" s="706">
        <f>C78</f>
        <v>3.5714285714285716</v>
      </c>
      <c r="F78" s="708" t="s">
        <v>70</v>
      </c>
      <c r="G78" s="692">
        <f>E78/1</f>
        <v>3.5714285714285716</v>
      </c>
      <c r="H78" s="1157"/>
      <c r="I78" s="1154"/>
      <c r="J78" s="981">
        <f>IF(I78=H78,(H78-60),H78-I78)</f>
        <v>-60</v>
      </c>
      <c r="K78" s="866">
        <f>IF(I78&gt;=60,0,((60-I78)*(6/10)))</f>
        <v>36</v>
      </c>
      <c r="L78" s="982">
        <f t="shared" ref="L78" si="29">K78+I78</f>
        <v>36</v>
      </c>
      <c r="M78" s="852">
        <f>IF(I78&gt;=60,(1+(H78-60)/60),(H78/L78))</f>
        <v>0</v>
      </c>
      <c r="N78" s="983">
        <f>((G78/C78)*M78)</f>
        <v>0</v>
      </c>
      <c r="O78" s="854">
        <f>IF(((G78/C78)*M78)&gt;=1,3.571428,IF(((G78/C78)*M78)&lt;=0,0,((G78/C78)*M78)*3.571428))</f>
        <v>0</v>
      </c>
      <c r="P78" s="762">
        <f t="shared" si="26"/>
        <v>0</v>
      </c>
      <c r="Q78" s="1015" t="s">
        <v>95</v>
      </c>
      <c r="R78" s="282"/>
      <c r="S78" s="130" t="s">
        <v>463</v>
      </c>
    </row>
    <row r="79" spans="1:19" ht="21.6" customHeight="1" thickBot="1" x14ac:dyDescent="0.5">
      <c r="B79" s="1539" t="s">
        <v>71</v>
      </c>
      <c r="C79" s="1540"/>
      <c r="D79" s="1540"/>
      <c r="E79" s="1540"/>
      <c r="F79" s="1541"/>
      <c r="G79" s="707"/>
      <c r="H79" s="1009"/>
      <c r="I79" s="1010"/>
      <c r="J79" s="1016"/>
      <c r="K79" s="1017"/>
      <c r="L79" s="1017"/>
      <c r="M79" s="1013"/>
      <c r="N79" s="760">
        <f>(N80+N86)/2</f>
        <v>-0.37382102599493905</v>
      </c>
      <c r="O79" s="761">
        <f>(O80+O86)</f>
        <v>2.5510200000000003</v>
      </c>
      <c r="P79" s="762">
        <f>O79/10.714284</f>
        <v>0.23809523809523814</v>
      </c>
      <c r="Q79" s="1014"/>
      <c r="R79" s="284"/>
      <c r="S79" s="284"/>
    </row>
    <row r="80" spans="1:19" ht="20.45" customHeight="1" thickBot="1" x14ac:dyDescent="0.5">
      <c r="B80" s="1486" t="s">
        <v>72</v>
      </c>
      <c r="C80" s="1487"/>
      <c r="D80" s="1487"/>
      <c r="E80" s="1487"/>
      <c r="F80" s="1488"/>
      <c r="G80" s="673"/>
      <c r="H80" s="1018"/>
      <c r="I80" s="1019"/>
      <c r="J80" s="813"/>
      <c r="K80" s="813"/>
      <c r="L80" s="813"/>
      <c r="M80" s="832"/>
      <c r="N80" s="760">
        <f>(N81+N83)/2</f>
        <v>0.35714285714285715</v>
      </c>
      <c r="O80" s="761">
        <f>(O81+O83)</f>
        <v>2.5510200000000003</v>
      </c>
      <c r="P80" s="762">
        <f>O80/7.142856</f>
        <v>0.35714285714285715</v>
      </c>
      <c r="Q80" s="1020"/>
      <c r="R80" s="261"/>
      <c r="S80" s="261"/>
    </row>
    <row r="81" spans="1:19" ht="46.9" thickBot="1" x14ac:dyDescent="0.5">
      <c r="A81" s="21"/>
      <c r="B81" s="1626" t="s">
        <v>73</v>
      </c>
      <c r="C81" s="1597">
        <f>M5</f>
        <v>3.5714285714285716</v>
      </c>
      <c r="D81" s="635" t="s">
        <v>267</v>
      </c>
      <c r="E81" s="604">
        <f>$C$81/2</f>
        <v>1.7857142857142858</v>
      </c>
      <c r="F81" s="674" t="s">
        <v>278</v>
      </c>
      <c r="G81" s="628">
        <f>E81/1</f>
        <v>1.7857142857142858</v>
      </c>
      <c r="H81" s="1120"/>
      <c r="I81" s="1112"/>
      <c r="J81" s="908">
        <f>IF(I81=H81,(H81-50),H81-I81)</f>
        <v>-50</v>
      </c>
      <c r="K81" s="798">
        <f>IF(I81&gt;=50,0,((50-I81)*(6/10)))</f>
        <v>30</v>
      </c>
      <c r="L81" s="1021">
        <f>I81+K81</f>
        <v>30</v>
      </c>
      <c r="M81" s="772" t="str">
        <f>IF(H81=0,"0%",J81/K81)</f>
        <v>0%</v>
      </c>
      <c r="N81" s="1606">
        <f>(((G81/C81)*M81)+((G82/C81)*M82))</f>
        <v>0.7142857142857143</v>
      </c>
      <c r="O81" s="1481">
        <f>IF((((G81/C81)*M81)+((G82/C81)*M82))&gt;=1,3.57148,IF((((G81/C81)*M81)+((G82/C81)*M82))&lt;=0,0, (((G81/C81)*M81)+((G82/C81)*M82))*3.571428))</f>
        <v>2.5510200000000003</v>
      </c>
      <c r="P81" s="1460">
        <f>O81/3.571428</f>
        <v>0.7142857142857143</v>
      </c>
      <c r="Q81" s="1022" t="s">
        <v>279</v>
      </c>
      <c r="R81" s="151"/>
      <c r="S81" s="130" t="s">
        <v>463</v>
      </c>
    </row>
    <row r="82" spans="1:19" ht="39.6" customHeight="1" thickBot="1" x14ac:dyDescent="0.5">
      <c r="A82" s="21"/>
      <c r="B82" s="1627"/>
      <c r="C82" s="1599"/>
      <c r="D82" s="643" t="s">
        <v>268</v>
      </c>
      <c r="E82" s="612">
        <f>$C$81/2</f>
        <v>1.7857142857142858</v>
      </c>
      <c r="F82" s="644" t="s">
        <v>74</v>
      </c>
      <c r="G82" s="632">
        <f>E82/1</f>
        <v>1.7857142857142858</v>
      </c>
      <c r="H82" s="1239">
        <v>26</v>
      </c>
      <c r="I82" s="1204">
        <v>0.5</v>
      </c>
      <c r="J82" s="1025">
        <f>IF(I82=H82,(H82-30),H82-I82)</f>
        <v>25.5</v>
      </c>
      <c r="K82" s="810">
        <f>IF(I82&gt;=30,0,((30-I82)*(6/10)))</f>
        <v>17.7</v>
      </c>
      <c r="L82" s="1026">
        <f t="shared" ref="L82" si="30">K82+I82</f>
        <v>18.2</v>
      </c>
      <c r="M82" s="779">
        <f>IF(I82&gt;=30,(1+(H82-30)/30),(H82/L82))</f>
        <v>1.4285714285714286</v>
      </c>
      <c r="N82" s="1608"/>
      <c r="O82" s="1590"/>
      <c r="P82" s="1591"/>
      <c r="Q82" s="1027" t="s">
        <v>282</v>
      </c>
      <c r="R82" s="744" t="s">
        <v>384</v>
      </c>
      <c r="S82" s="745" t="s">
        <v>385</v>
      </c>
    </row>
    <row r="83" spans="1:19" ht="60" customHeight="1" x14ac:dyDescent="0.45">
      <c r="A83" s="21"/>
      <c r="B83" s="1596" t="s">
        <v>142</v>
      </c>
      <c r="C83" s="1557">
        <f>M5</f>
        <v>3.5714285714285716</v>
      </c>
      <c r="D83" s="709" t="s">
        <v>145</v>
      </c>
      <c r="E83" s="604">
        <f>$C$81/3</f>
        <v>1.1904761904761905</v>
      </c>
      <c r="F83" s="635" t="s">
        <v>143</v>
      </c>
      <c r="G83" s="604">
        <f>E83/1</f>
        <v>1.1904761904761905</v>
      </c>
      <c r="H83" s="1120"/>
      <c r="I83" s="1112">
        <v>34</v>
      </c>
      <c r="J83" s="1030">
        <f>I83-H83</f>
        <v>34</v>
      </c>
      <c r="K83" s="894">
        <f>(0.2*I83)*(6/10)</f>
        <v>4.08</v>
      </c>
      <c r="L83" s="1031">
        <f>I83-K83</f>
        <v>29.92</v>
      </c>
      <c r="M83" s="772" t="str">
        <f t="shared" ref="M83:M85" si="31">IF(H83=0,"0%",J83/K83)</f>
        <v>0%</v>
      </c>
      <c r="N83" s="1631">
        <f>(((G83/C83)*M83)+((G84/C83)*M84)+((G85/C83)*M85))</f>
        <v>0</v>
      </c>
      <c r="O83" s="1484">
        <f>IF((((G83/C83)*M83)+((G84/C83)*M84)+((G85/C83)*M85))&gt;=1,3.571428,IF((((G83/C83)*M83)+((G84/C83)*M84)+((G85/C83)*M85))&lt;=0,0,(((G83/C83)*M83)+((G84/C83)*M84)+((G85/C83)*M85))*3.571428))</f>
        <v>0</v>
      </c>
      <c r="P83" s="1460">
        <f>O83/3.571428</f>
        <v>0</v>
      </c>
      <c r="Q83" s="1240" t="s">
        <v>184</v>
      </c>
      <c r="R83" s="537" t="s">
        <v>377</v>
      </c>
      <c r="S83" s="739" t="s">
        <v>555</v>
      </c>
    </row>
    <row r="84" spans="1:19" ht="45" customHeight="1" x14ac:dyDescent="0.45">
      <c r="A84" s="21"/>
      <c r="B84" s="1555"/>
      <c r="C84" s="1629"/>
      <c r="D84" s="710" t="s">
        <v>146</v>
      </c>
      <c r="E84" s="638">
        <f t="shared" ref="E84:E85" si="32">$C$81/3</f>
        <v>1.1904761904761905</v>
      </c>
      <c r="F84" s="679" t="s">
        <v>283</v>
      </c>
      <c r="G84" s="638">
        <f>E84/1</f>
        <v>1.1904761904761905</v>
      </c>
      <c r="H84" s="1201"/>
      <c r="I84" s="1140">
        <v>86.6</v>
      </c>
      <c r="J84" s="1033">
        <f>I84-H84</f>
        <v>86.6</v>
      </c>
      <c r="K84" s="894">
        <f>(0.5*I84)*(6/10)</f>
        <v>25.979999999999997</v>
      </c>
      <c r="L84" s="1034">
        <f>I84-K84</f>
        <v>60.62</v>
      </c>
      <c r="M84" s="805" t="str">
        <f t="shared" si="31"/>
        <v>0%</v>
      </c>
      <c r="N84" s="1632"/>
      <c r="O84" s="1602"/>
      <c r="P84" s="1604"/>
      <c r="Q84" s="1241" t="s">
        <v>185</v>
      </c>
      <c r="R84" s="539" t="s">
        <v>377</v>
      </c>
      <c r="S84" s="746" t="s">
        <v>555</v>
      </c>
    </row>
    <row r="85" spans="1:19" ht="38.450000000000003" customHeight="1" thickBot="1" x14ac:dyDescent="0.5">
      <c r="A85" s="21"/>
      <c r="B85" s="1556"/>
      <c r="C85" s="1630"/>
      <c r="D85" s="711" t="s">
        <v>147</v>
      </c>
      <c r="E85" s="612">
        <f t="shared" si="32"/>
        <v>1.1904761904761905</v>
      </c>
      <c r="F85" s="644" t="s">
        <v>144</v>
      </c>
      <c r="G85" s="612">
        <f>E85/1</f>
        <v>1.1904761904761905</v>
      </c>
      <c r="H85" s="1127"/>
      <c r="I85" s="1128">
        <v>67.3</v>
      </c>
      <c r="J85" s="1036">
        <f>H85-I85</f>
        <v>-67.3</v>
      </c>
      <c r="K85" s="1037">
        <f>(100-I85)*(6/10)</f>
        <v>19.62</v>
      </c>
      <c r="L85" s="1038">
        <f>I85+K85</f>
        <v>86.92</v>
      </c>
      <c r="M85" s="779" t="str">
        <f t="shared" si="31"/>
        <v>0%</v>
      </c>
      <c r="N85" s="1633"/>
      <c r="O85" s="1603"/>
      <c r="P85" s="1591"/>
      <c r="Q85" s="1242" t="s">
        <v>284</v>
      </c>
      <c r="R85" s="541" t="s">
        <v>377</v>
      </c>
      <c r="S85" s="231" t="s">
        <v>555</v>
      </c>
    </row>
    <row r="86" spans="1:19" ht="20.45" customHeight="1" thickBot="1" x14ac:dyDescent="0.5">
      <c r="B86" s="1486" t="s">
        <v>75</v>
      </c>
      <c r="C86" s="1487"/>
      <c r="D86" s="1487"/>
      <c r="E86" s="1487"/>
      <c r="F86" s="1488"/>
      <c r="G86" s="694"/>
      <c r="H86" s="1040"/>
      <c r="I86" s="1041"/>
      <c r="J86" s="1042"/>
      <c r="K86" s="1043"/>
      <c r="L86" s="1043"/>
      <c r="M86" s="814"/>
      <c r="N86" s="760">
        <f>N87</f>
        <v>-1.1047849091327353</v>
      </c>
      <c r="O86" s="761">
        <f>O87</f>
        <v>0</v>
      </c>
      <c r="P86" s="762">
        <f>O86/3.571428</f>
        <v>0</v>
      </c>
      <c r="Q86" s="903"/>
      <c r="R86" s="258"/>
      <c r="S86" s="258"/>
    </row>
    <row r="87" spans="1:19" ht="27.6" customHeight="1" thickBot="1" x14ac:dyDescent="0.5">
      <c r="A87" s="1492">
        <v>24</v>
      </c>
      <c r="B87" s="1628" t="s">
        <v>76</v>
      </c>
      <c r="C87" s="1597">
        <f>M5</f>
        <v>3.5714285714285716</v>
      </c>
      <c r="D87" s="654" t="s">
        <v>159</v>
      </c>
      <c r="E87" s="655">
        <f>($C$87/3)</f>
        <v>1.1904761904761905</v>
      </c>
      <c r="F87" s="712" t="s">
        <v>285</v>
      </c>
      <c r="G87" s="713">
        <f>E87/1</f>
        <v>1.1904761904761905</v>
      </c>
      <c r="H87" s="1243">
        <v>32.1</v>
      </c>
      <c r="I87" s="1244">
        <v>20.7</v>
      </c>
      <c r="J87" s="1046">
        <f>I87-H87</f>
        <v>-11.400000000000002</v>
      </c>
      <c r="K87" s="1047">
        <f>(0.25*I87)*(6/10)</f>
        <v>3.105</v>
      </c>
      <c r="L87" s="1048">
        <f>I87-K87</f>
        <v>17.594999999999999</v>
      </c>
      <c r="M87" s="772">
        <f>IF(K87&lt;&gt;0,J87/K87,"0%")</f>
        <v>-3.6714975845410636</v>
      </c>
      <c r="N87" s="1606">
        <f>(((G87/C87)*M87)+((G88/C87)*M88)+((G89/C87)*M89)+((G90/C87)*M90)+((G91/C87)*M91))</f>
        <v>-1.1047849091327353</v>
      </c>
      <c r="O87" s="1484">
        <f>IF((((G87/C87)*M87)+((G88/C87)*M88)+((G89/C87)*M89)+((G90/C87)*M90)+((G91/C87)*M91))&gt;=1,3.571428,IF((((G87/C87)*M87)+((G88/C87)*M88)+((G89/C87)*M89)+((G90/C87)*M90)+((G91/C87)*M91))&lt;=0,0,((((G87/C87)*M87)+((G88/C87)*M88)+((G89/C87)*M89)+((G90/C87)*M90)+((G91/C87)*M91))*3.571428)))</f>
        <v>0</v>
      </c>
      <c r="P87" s="1460">
        <f>O87/3.571428</f>
        <v>0</v>
      </c>
      <c r="Q87" s="1049" t="s">
        <v>186</v>
      </c>
      <c r="R87" s="114" t="s">
        <v>556</v>
      </c>
      <c r="S87" s="747"/>
    </row>
    <row r="88" spans="1:19" ht="25.8" customHeight="1" thickBot="1" x14ac:dyDescent="0.5">
      <c r="A88" s="1492"/>
      <c r="B88" s="1550"/>
      <c r="C88" s="1598"/>
      <c r="D88" s="1517" t="s">
        <v>160</v>
      </c>
      <c r="E88" s="1634">
        <f>C87/3</f>
        <v>1.1904761904761905</v>
      </c>
      <c r="F88" s="639" t="s">
        <v>77</v>
      </c>
      <c r="G88" s="714">
        <f>$E$88/3</f>
        <v>0.3968253968253968</v>
      </c>
      <c r="H88" s="1144"/>
      <c r="I88" s="1145">
        <v>24.9</v>
      </c>
      <c r="J88" s="1050">
        <f>I88-H88</f>
        <v>24.9</v>
      </c>
      <c r="K88" s="1051">
        <f>I88*(6/10)</f>
        <v>14.939999999999998</v>
      </c>
      <c r="L88" s="1052">
        <f>I88-K88</f>
        <v>9.9600000000000009</v>
      </c>
      <c r="M88" s="805" t="str">
        <f t="shared" ref="M88:M89" si="33">IF(H88=0,"0%",J88/K88)</f>
        <v>0%</v>
      </c>
      <c r="N88" s="1607"/>
      <c r="O88" s="1602"/>
      <c r="P88" s="1604"/>
      <c r="Q88" s="1053" t="s">
        <v>187</v>
      </c>
      <c r="R88" s="145" t="s">
        <v>377</v>
      </c>
      <c r="S88" s="130" t="s">
        <v>555</v>
      </c>
    </row>
    <row r="89" spans="1:19" ht="59.65" customHeight="1" thickBot="1" x14ac:dyDescent="0.5">
      <c r="A89" s="1492"/>
      <c r="B89" s="1550"/>
      <c r="C89" s="1598"/>
      <c r="D89" s="1612"/>
      <c r="E89" s="1635"/>
      <c r="F89" s="639" t="s">
        <v>78</v>
      </c>
      <c r="G89" s="714">
        <f>$E$88/3</f>
        <v>0.3968253968253968</v>
      </c>
      <c r="H89" s="1144"/>
      <c r="I89" s="1145">
        <v>11.9</v>
      </c>
      <c r="J89" s="1050">
        <f>I89-H89</f>
        <v>11.9</v>
      </c>
      <c r="K89" s="1051">
        <f>I89*(6/10)</f>
        <v>7.14</v>
      </c>
      <c r="L89" s="1052">
        <f>I89-K89</f>
        <v>4.7600000000000007</v>
      </c>
      <c r="M89" s="805" t="str">
        <f t="shared" si="33"/>
        <v>0%</v>
      </c>
      <c r="N89" s="1607"/>
      <c r="O89" s="1602"/>
      <c r="P89" s="1604"/>
      <c r="Q89" s="1053" t="s">
        <v>188</v>
      </c>
      <c r="R89" s="145" t="s">
        <v>377</v>
      </c>
      <c r="S89" s="130" t="s">
        <v>555</v>
      </c>
    </row>
    <row r="90" spans="1:19" ht="26.45" customHeight="1" thickBot="1" x14ac:dyDescent="0.5">
      <c r="A90" s="1492"/>
      <c r="B90" s="1550"/>
      <c r="C90" s="1598"/>
      <c r="D90" s="1516"/>
      <c r="E90" s="1636"/>
      <c r="F90" s="639" t="s">
        <v>79</v>
      </c>
      <c r="G90" s="714">
        <f>$E$88/3</f>
        <v>0.3968253968253968</v>
      </c>
      <c r="H90" s="1245"/>
      <c r="I90" s="1246"/>
      <c r="J90" s="1050">
        <f>I90-H90</f>
        <v>0</v>
      </c>
      <c r="K90" s="1054">
        <f>(I90)*(6/10)</f>
        <v>0</v>
      </c>
      <c r="L90" s="1055">
        <f>I90-K90</f>
        <v>0</v>
      </c>
      <c r="M90" s="805" t="str">
        <f>IF(H90=0,"0%",J90/K90)</f>
        <v>0%</v>
      </c>
      <c r="N90" s="1607"/>
      <c r="O90" s="1602"/>
      <c r="P90" s="1604"/>
      <c r="Q90" s="1056" t="s">
        <v>189</v>
      </c>
      <c r="R90" s="115"/>
      <c r="S90" s="130" t="s">
        <v>463</v>
      </c>
    </row>
    <row r="91" spans="1:19" ht="40.799999999999997" customHeight="1" thickBot="1" x14ac:dyDescent="0.5">
      <c r="A91" s="1492"/>
      <c r="B91" s="1551"/>
      <c r="C91" s="1599"/>
      <c r="D91" s="631" t="s">
        <v>161</v>
      </c>
      <c r="E91" s="612">
        <f>$C$87/3</f>
        <v>1.1904761904761905</v>
      </c>
      <c r="F91" s="715" t="s">
        <v>80</v>
      </c>
      <c r="G91" s="716">
        <f>E91/1</f>
        <v>1.1904761904761905</v>
      </c>
      <c r="H91" s="807">
        <v>25</v>
      </c>
      <c r="I91" s="808">
        <v>25</v>
      </c>
      <c r="J91" s="1057">
        <f>H91-I91</f>
        <v>0</v>
      </c>
      <c r="K91" s="1037">
        <f>(100-I91)*(6/10)</f>
        <v>45</v>
      </c>
      <c r="L91" s="1058">
        <f>I91+K91</f>
        <v>70</v>
      </c>
      <c r="M91" s="779">
        <f>IF(I91&gt;=60,(1+(H91-60)/60),(H91/L91))</f>
        <v>0.35714285714285715</v>
      </c>
      <c r="N91" s="1608"/>
      <c r="O91" s="1603"/>
      <c r="P91" s="1591"/>
      <c r="Q91" s="1059" t="s">
        <v>95</v>
      </c>
      <c r="R91" s="116"/>
      <c r="S91" s="377" t="s">
        <v>394</v>
      </c>
    </row>
    <row r="92" spans="1:19" ht="14.65" customHeight="1" thickBot="1" x14ac:dyDescent="0.5">
      <c r="B92" s="1322" t="s">
        <v>81</v>
      </c>
      <c r="C92" s="1323"/>
      <c r="D92" s="1323"/>
      <c r="E92" s="1323"/>
      <c r="F92" s="1324"/>
      <c r="G92" s="11"/>
      <c r="H92" s="1009"/>
      <c r="I92" s="1010"/>
      <c r="J92" s="1011"/>
      <c r="K92" s="1012"/>
      <c r="L92" s="1012"/>
      <c r="M92" s="1060"/>
      <c r="N92" s="760">
        <f>(N93+N97)/2</f>
        <v>0.15742082501663343</v>
      </c>
      <c r="O92" s="761">
        <f>(O93+O97)</f>
        <v>3.4178565960000005</v>
      </c>
      <c r="P92" s="762">
        <f>O92/14.285712</f>
        <v>0.23925000000000002</v>
      </c>
      <c r="Q92" s="921"/>
      <c r="R92" s="270"/>
      <c r="S92" s="284"/>
    </row>
    <row r="93" spans="1:19" ht="20.45" customHeight="1" thickBot="1" x14ac:dyDescent="0.5">
      <c r="B93" s="1486" t="s">
        <v>82</v>
      </c>
      <c r="C93" s="1487"/>
      <c r="D93" s="1487"/>
      <c r="E93" s="1487"/>
      <c r="F93" s="1488"/>
      <c r="G93" s="633"/>
      <c r="H93" s="991"/>
      <c r="I93" s="992"/>
      <c r="J93" s="831"/>
      <c r="K93" s="831"/>
      <c r="L93" s="831"/>
      <c r="M93" s="832"/>
      <c r="N93" s="760">
        <f>N94</f>
        <v>0</v>
      </c>
      <c r="O93" s="761">
        <f>O94</f>
        <v>0</v>
      </c>
      <c r="P93" s="762">
        <f>O93/3.571428</f>
        <v>0</v>
      </c>
      <c r="Q93" s="905"/>
      <c r="R93" s="261"/>
      <c r="S93" s="271"/>
    </row>
    <row r="94" spans="1:19" ht="34.799999999999997" customHeight="1" thickBot="1" x14ac:dyDescent="0.5">
      <c r="A94" s="1492">
        <v>25</v>
      </c>
      <c r="B94" s="1596" t="s">
        <v>83</v>
      </c>
      <c r="C94" s="1597">
        <f>M5</f>
        <v>3.5714285714285716</v>
      </c>
      <c r="D94" s="1615" t="s">
        <v>214</v>
      </c>
      <c r="E94" s="660">
        <f>$C$94/3</f>
        <v>1.1904761904761905</v>
      </c>
      <c r="F94" s="635" t="s">
        <v>269</v>
      </c>
      <c r="G94" s="718">
        <f>E94/1</f>
        <v>1.1904761904761905</v>
      </c>
      <c r="H94" s="1111"/>
      <c r="I94" s="1143"/>
      <c r="J94" s="1062">
        <f>H94-I94</f>
        <v>0</v>
      </c>
      <c r="K94" s="1063">
        <f>(100-I94)*(6/10)</f>
        <v>60</v>
      </c>
      <c r="L94" s="1064">
        <f>I94+K94</f>
        <v>60</v>
      </c>
      <c r="M94" s="772">
        <f>IF(K94&lt;&gt;0,J94/K94,"100%")</f>
        <v>0</v>
      </c>
      <c r="N94" s="1606">
        <f>(((G94/C94)*M94)+((G95/C94)*M95)+((G96/C94)*M96))</f>
        <v>0</v>
      </c>
      <c r="O94" s="1484">
        <f>IF((((G94/C94)*M94)+((G95/C94)*M95)+((G96/C94)*M96))&gt;=1,3.571428,IF((((G94/C94)*M94)+((G95/C94)*M95)+((G96/C94)*M96))&lt;=0,0,(((G94/C94)*M94)+((G95/C94)*M95)+((G96/C94)*M96))*3.571428))</f>
        <v>0</v>
      </c>
      <c r="P94" s="1460">
        <f>O94/3.571428</f>
        <v>0</v>
      </c>
      <c r="Q94" s="1065" t="s">
        <v>190</v>
      </c>
      <c r="R94" s="260"/>
      <c r="S94" s="130" t="s">
        <v>463</v>
      </c>
    </row>
    <row r="95" spans="1:19" ht="39.6" customHeight="1" thickBot="1" x14ac:dyDescent="0.5">
      <c r="A95" s="1492"/>
      <c r="B95" s="1555"/>
      <c r="C95" s="1598"/>
      <c r="D95" s="1612"/>
      <c r="E95" s="719">
        <f t="shared" ref="E95:E96" si="34">$C$94/3</f>
        <v>1.1904761904761905</v>
      </c>
      <c r="F95" s="679" t="s">
        <v>270</v>
      </c>
      <c r="G95" s="714">
        <f>E95/1</f>
        <v>1.1904761904761905</v>
      </c>
      <c r="H95" s="1139"/>
      <c r="I95" s="1140"/>
      <c r="J95" s="1050">
        <f>IF(AND(I95&gt;1,(H95-I95=0)),(H95-1),(H95-I95))</f>
        <v>0</v>
      </c>
      <c r="K95" s="883">
        <f>IF(AND(I95&gt;=1,H95&gt;=1),"0",((1-I95)*(6/10)))</f>
        <v>0.6</v>
      </c>
      <c r="L95" s="1067">
        <f t="shared" ref="L95:L96" si="35">I95+K95</f>
        <v>0.6</v>
      </c>
      <c r="M95" s="805">
        <f>IF(I95&gt;=1,(1+(H95-1)/1),(J95/K95))</f>
        <v>0</v>
      </c>
      <c r="N95" s="1607"/>
      <c r="O95" s="1602"/>
      <c r="P95" s="1604"/>
      <c r="Q95" s="1068" t="s">
        <v>191</v>
      </c>
      <c r="R95" s="232"/>
      <c r="S95" s="130" t="s">
        <v>463</v>
      </c>
    </row>
    <row r="96" spans="1:19" ht="41.45" customHeight="1" thickBot="1" x14ac:dyDescent="0.5">
      <c r="A96" s="1492"/>
      <c r="B96" s="1556"/>
      <c r="C96" s="1599"/>
      <c r="D96" s="1616"/>
      <c r="E96" s="661">
        <f t="shared" si="34"/>
        <v>1.1904761904761905</v>
      </c>
      <c r="F96" s="643" t="s">
        <v>84</v>
      </c>
      <c r="G96" s="716">
        <f>E96/1</f>
        <v>1.1904761904761905</v>
      </c>
      <c r="H96" s="1127"/>
      <c r="I96" s="1128"/>
      <c r="J96" s="1057">
        <f>H96-I96</f>
        <v>0</v>
      </c>
      <c r="K96" s="1037">
        <f>(100-I96)*(6/10)</f>
        <v>60</v>
      </c>
      <c r="L96" s="1058">
        <f t="shared" si="35"/>
        <v>60</v>
      </c>
      <c r="M96" s="779">
        <f>IF(K96&lt;&gt;0,J96/K96,"100%")</f>
        <v>0</v>
      </c>
      <c r="N96" s="1608"/>
      <c r="O96" s="1603"/>
      <c r="P96" s="1591"/>
      <c r="Q96" s="1070" t="s">
        <v>95</v>
      </c>
      <c r="R96" s="233"/>
      <c r="S96" s="130" t="s">
        <v>463</v>
      </c>
    </row>
    <row r="97" spans="1:19" ht="18" customHeight="1" thickBot="1" x14ac:dyDescent="0.5">
      <c r="B97" s="1637" t="s">
        <v>85</v>
      </c>
      <c r="C97" s="1638"/>
      <c r="D97" s="1638"/>
      <c r="E97" s="1638"/>
      <c r="F97" s="1639"/>
      <c r="G97" s="720"/>
      <c r="H97" s="1071"/>
      <c r="I97" s="1072"/>
      <c r="J97" s="1071"/>
      <c r="K97" s="1073"/>
      <c r="L97" s="1073"/>
      <c r="M97" s="1074"/>
      <c r="N97" s="1075">
        <f>(N98+N99+N100)/3</f>
        <v>0.31484165003326686</v>
      </c>
      <c r="O97" s="1076">
        <f>(O98+O99+O100)</f>
        <v>3.4178565960000005</v>
      </c>
      <c r="P97" s="762">
        <f>O97/10.714284</f>
        <v>0.31900000000000006</v>
      </c>
      <c r="Q97" s="1072"/>
      <c r="R97" s="285"/>
      <c r="S97" s="285"/>
    </row>
    <row r="98" spans="1:19" ht="29.45" customHeight="1" thickBot="1" x14ac:dyDescent="0.5">
      <c r="A98" s="21">
        <v>26</v>
      </c>
      <c r="B98" s="645" t="s">
        <v>86</v>
      </c>
      <c r="C98" s="646">
        <f>$M$5</f>
        <v>3.5714285714285716</v>
      </c>
      <c r="D98" s="645" t="s">
        <v>215</v>
      </c>
      <c r="E98" s="646">
        <f>C98/1</f>
        <v>3.5714285714285716</v>
      </c>
      <c r="F98" s="695" t="s">
        <v>291</v>
      </c>
      <c r="G98" s="646">
        <f>E98/1</f>
        <v>3.5714285714285716</v>
      </c>
      <c r="H98" s="1235"/>
      <c r="I98" s="1154"/>
      <c r="J98" s="1079">
        <f>IF(I98=H98,(H98-10),H98-I98)</f>
        <v>-10</v>
      </c>
      <c r="K98" s="866">
        <f>IF(I98&gt;=10,0,((10-I98)*(6/10)))</f>
        <v>6</v>
      </c>
      <c r="L98" s="982">
        <f>I98+K98</f>
        <v>6</v>
      </c>
      <c r="M98" s="779" t="str">
        <f>IF(H98=0,"0%",J98/K98)</f>
        <v>0%</v>
      </c>
      <c r="N98" s="983">
        <f>((G98/C98)*M98)</f>
        <v>0</v>
      </c>
      <c r="O98" s="854">
        <f>IF(((G98/C98)*M98)&gt;=1,3.571428,IF(((G98/C98)*M98)&lt;=0,0,((G98/C98)*M98)*3.571428))</f>
        <v>0</v>
      </c>
      <c r="P98" s="762">
        <f>O98/3.571428</f>
        <v>0</v>
      </c>
      <c r="Q98" s="1080" t="s">
        <v>95</v>
      </c>
      <c r="R98" s="286"/>
      <c r="S98" s="130" t="s">
        <v>463</v>
      </c>
    </row>
    <row r="99" spans="1:19" ht="35.25" thickBot="1" x14ac:dyDescent="0.5">
      <c r="A99" s="21">
        <v>27</v>
      </c>
      <c r="B99" s="645" t="s">
        <v>87</v>
      </c>
      <c r="C99" s="646">
        <f>$M$5</f>
        <v>3.5714285714285716</v>
      </c>
      <c r="D99" s="645" t="s">
        <v>216</v>
      </c>
      <c r="E99" s="646">
        <f>C99/1</f>
        <v>3.5714285714285716</v>
      </c>
      <c r="F99" s="695" t="s">
        <v>271</v>
      </c>
      <c r="G99" s="646">
        <f>E99/1</f>
        <v>3.5714285714285716</v>
      </c>
      <c r="H99" s="1157">
        <v>7.7</v>
      </c>
      <c r="I99" s="1154">
        <v>8.1999999999999993</v>
      </c>
      <c r="J99" s="1079">
        <f>IF(I99=H99,(H99-75),H99-I99)</f>
        <v>-0.49999999999999911</v>
      </c>
      <c r="K99" s="866">
        <f>IF(I99&gt;=75,0,((75-I99)*(6/10)))</f>
        <v>40.08</v>
      </c>
      <c r="L99" s="1006">
        <f>I99+K99</f>
        <v>48.28</v>
      </c>
      <c r="M99" s="793">
        <f>IF(H99=0,"0%",J99/K99)</f>
        <v>-1.247504990019958E-2</v>
      </c>
      <c r="N99" s="983">
        <f>((G99/C99)*M99)</f>
        <v>-1.247504990019958E-2</v>
      </c>
      <c r="O99" s="854">
        <f>IF(((G99/C99)*M99)&gt;=1,3.571428,IF(((G99/C99)*M99)&lt;=0,0,((G99/C99)*M99)*3.571428))</f>
        <v>0</v>
      </c>
      <c r="P99" s="762">
        <f>O99/3.571428</f>
        <v>0</v>
      </c>
      <c r="Q99" s="1080" t="s">
        <v>192</v>
      </c>
      <c r="R99" s="287" t="s">
        <v>557</v>
      </c>
      <c r="S99" s="747"/>
    </row>
    <row r="100" spans="1:19" ht="30.75" thickBot="1" x14ac:dyDescent="0.5">
      <c r="A100" s="1492">
        <v>28</v>
      </c>
      <c r="B100" s="1615" t="s">
        <v>88</v>
      </c>
      <c r="C100" s="1597">
        <f>M5</f>
        <v>3.5714285714285716</v>
      </c>
      <c r="D100" s="1615" t="s">
        <v>217</v>
      </c>
      <c r="E100" s="1597">
        <f>C100/1</f>
        <v>3.5714285714285716</v>
      </c>
      <c r="F100" s="674" t="s">
        <v>89</v>
      </c>
      <c r="G100" s="604">
        <f>$E$100/2</f>
        <v>1.7857142857142858</v>
      </c>
      <c r="H100" s="1120">
        <v>2.15</v>
      </c>
      <c r="I100" s="1112">
        <v>5.9</v>
      </c>
      <c r="J100" s="1082">
        <f>IF(I100=H100,(25-H100),I100-H100)</f>
        <v>3.7500000000000004</v>
      </c>
      <c r="K100" s="927">
        <f>IF(I100&lt;=25,0,((0.25*I100)*(6/10)))</f>
        <v>0</v>
      </c>
      <c r="L100" s="1083">
        <f>I100-K100</f>
        <v>5.9</v>
      </c>
      <c r="M100" s="772">
        <f>IF(I100&lt;=25,(1+(25-H100)/25),(J100/K100))</f>
        <v>1.9140000000000001</v>
      </c>
      <c r="N100" s="1640">
        <f>((G100/$C$100)*M100)+((G101/$C$100)*M101)</f>
        <v>0.95700000000000007</v>
      </c>
      <c r="O100" s="1481">
        <f>IF((((G100/C100)*M100)+((G101/C100)*M101))&gt;=1,3.57148,IF((((G100/C100)*M100)+((G101/C100)*M101))&lt;=0,0, (((G100/C100)*M100)+((G101/C100)*M101))*3.571428))</f>
        <v>3.4178565960000005</v>
      </c>
      <c r="P100" s="1460">
        <f>O100/3.571428</f>
        <v>0.95700000000000007</v>
      </c>
      <c r="Q100" s="1084" t="s">
        <v>193</v>
      </c>
      <c r="R100" s="287" t="s">
        <v>557</v>
      </c>
      <c r="S100" s="747"/>
    </row>
    <row r="101" spans="1:19" ht="38.450000000000003" customHeight="1" thickBot="1" x14ac:dyDescent="0.5">
      <c r="A101" s="1492"/>
      <c r="B101" s="1616"/>
      <c r="C101" s="1599"/>
      <c r="D101" s="1616"/>
      <c r="E101" s="1599"/>
      <c r="F101" s="643" t="s">
        <v>90</v>
      </c>
      <c r="G101" s="612">
        <f>$E$100/2</f>
        <v>1.7857142857142858</v>
      </c>
      <c r="H101" s="1127"/>
      <c r="I101" s="1128"/>
      <c r="J101" s="1085">
        <f>IF(I101=H101,(H101-25),H101-I101)</f>
        <v>-25</v>
      </c>
      <c r="K101" s="810">
        <f>IF(I101&gt;=25,0,((25-I101)*(6/10)))</f>
        <v>15</v>
      </c>
      <c r="L101" s="1086">
        <f t="shared" ref="L101" si="36">K101+I101</f>
        <v>15</v>
      </c>
      <c r="M101" s="779" t="str">
        <f>IF(H101=0,"0%",J101/K101)</f>
        <v>0%</v>
      </c>
      <c r="N101" s="1641"/>
      <c r="O101" s="1590"/>
      <c r="P101" s="1591"/>
      <c r="Q101" s="1087" t="s">
        <v>95</v>
      </c>
      <c r="R101" s="118"/>
      <c r="S101" s="130" t="s">
        <v>463</v>
      </c>
    </row>
    <row r="102" spans="1:19" ht="34.25" customHeight="1" thickBot="1" x14ac:dyDescent="0.5">
      <c r="B102" s="721" t="s">
        <v>194</v>
      </c>
      <c r="C102" s="722">
        <f>C11+C13+C15+C19+C24+C33+C34+C35+C36+C38+C41+C44+C48+C51+C53+C61+C68+C71+C73+C75+C78+C81+C83+C87+C94+C98+C99+C100</f>
        <v>99.999999999999972</v>
      </c>
      <c r="D102" s="723"/>
      <c r="E102" s="722">
        <f>E11+E12+E13+E14+E15+E19+E20+E21+E22+E24+E25+E28+E31+E33+E34+E35+E36+E38+E39+E41+E42+E44+E45+E48+E49++E51+E53+E54+E55+E56+E57+E61+E62+E63+E64+E68+E71+E73+E75+E78+E81++E82+E83+E84+E85+E87+E88+E91+E94+E95+E96+E98+E99+E100</f>
        <v>100.00714285714285</v>
      </c>
      <c r="F102" s="724"/>
      <c r="G102" s="722">
        <f>G11+G12+G13+G14+G15+G16+G17+G19+G20+G21+G22+G24+G25+G26+G27+G28+G29+G30+G31+G33+G34+G35+G36+G38+G39+G41+G42+G44+G45+G48+G49+G51+G53+G54+G55+G56+G57+G58+G61+G62+G63+G64+G65+G66+G68+G71+G73+G75+G78+G81+G82+G83+G84+G85+G87+G88+G89+G90+G91+G94+G95+G96+G98+G99+G100+G101</f>
        <v>100.00714285714285</v>
      </c>
      <c r="H102" s="1178"/>
      <c r="I102" s="1179"/>
      <c r="J102" s="1178"/>
      <c r="K102" s="1180"/>
      <c r="L102" s="1181"/>
      <c r="M102" s="1182"/>
      <c r="N102" s="1183"/>
      <c r="O102" s="1184"/>
      <c r="P102" s="1184"/>
      <c r="Q102" s="1185"/>
      <c r="R102" s="24"/>
      <c r="S102" s="25"/>
    </row>
    <row r="104" spans="1:19" ht="15.75" x14ac:dyDescent="0.5">
      <c r="B104" s="26"/>
    </row>
    <row r="107" spans="1:19" ht="15.75" x14ac:dyDescent="0.5">
      <c r="B107" s="26"/>
    </row>
    <row r="108" spans="1:19" x14ac:dyDescent="0.45">
      <c r="B108" s="27"/>
    </row>
    <row r="109" spans="1:19" x14ac:dyDescent="0.45">
      <c r="B109" s="27"/>
    </row>
    <row r="111" spans="1:19" x14ac:dyDescent="0.45">
      <c r="E111"/>
      <c r="F111" s="725" t="s">
        <v>196</v>
      </c>
    </row>
    <row r="112" spans="1:19" x14ac:dyDescent="0.45">
      <c r="E112" s="726">
        <v>1</v>
      </c>
      <c r="F112" s="726" t="s">
        <v>197</v>
      </c>
    </row>
    <row r="113" spans="5:6" x14ac:dyDescent="0.45">
      <c r="E113" s="726">
        <v>2</v>
      </c>
      <c r="F113" s="726" t="s">
        <v>227</v>
      </c>
    </row>
    <row r="114" spans="5:6" x14ac:dyDescent="0.45">
      <c r="E114" s="726">
        <v>3</v>
      </c>
      <c r="F114" s="726" t="s">
        <v>228</v>
      </c>
    </row>
    <row r="115" spans="5:6" x14ac:dyDescent="0.45">
      <c r="E115" s="726">
        <v>4</v>
      </c>
      <c r="F115" s="726" t="s">
        <v>229</v>
      </c>
    </row>
    <row r="116" spans="5:6" x14ac:dyDescent="0.45">
      <c r="E116" s="726">
        <v>5</v>
      </c>
      <c r="F116" s="726" t="s">
        <v>198</v>
      </c>
    </row>
    <row r="117" spans="5:6" x14ac:dyDescent="0.45">
      <c r="E117" s="726">
        <v>6</v>
      </c>
      <c r="F117" s="726" t="s">
        <v>230</v>
      </c>
    </row>
    <row r="118" spans="5:6" x14ac:dyDescent="0.45">
      <c r="E118" s="726">
        <v>7</v>
      </c>
      <c r="F118" s="726" t="s">
        <v>231</v>
      </c>
    </row>
    <row r="119" spans="5:6" x14ac:dyDescent="0.45">
      <c r="E119" s="726">
        <v>8</v>
      </c>
      <c r="F119" s="726" t="s">
        <v>199</v>
      </c>
    </row>
    <row r="120" spans="5:6" x14ac:dyDescent="0.45">
      <c r="E120" s="726">
        <v>9</v>
      </c>
      <c r="F120" s="726" t="s">
        <v>200</v>
      </c>
    </row>
    <row r="121" spans="5:6" x14ac:dyDescent="0.45">
      <c r="E121" s="726">
        <v>10</v>
      </c>
      <c r="F121" s="726" t="s">
        <v>201</v>
      </c>
    </row>
    <row r="122" spans="5:6" x14ac:dyDescent="0.45">
      <c r="E122" s="726">
        <v>11</v>
      </c>
      <c r="F122" s="726" t="s">
        <v>232</v>
      </c>
    </row>
    <row r="123" spans="5:6" x14ac:dyDescent="0.45">
      <c r="E123" s="726">
        <v>12</v>
      </c>
      <c r="F123" s="726" t="s">
        <v>202</v>
      </c>
    </row>
    <row r="124" spans="5:6" x14ac:dyDescent="0.45">
      <c r="E124" s="726">
        <f t="shared" ref="E124:E145" si="37">E123+1</f>
        <v>13</v>
      </c>
      <c r="F124" s="726" t="s">
        <v>203</v>
      </c>
    </row>
    <row r="125" spans="5:6" x14ac:dyDescent="0.45">
      <c r="E125" s="726">
        <v>14</v>
      </c>
      <c r="F125" s="726" t="s">
        <v>233</v>
      </c>
    </row>
    <row r="126" spans="5:6" x14ac:dyDescent="0.45">
      <c r="E126" s="726">
        <v>15</v>
      </c>
      <c r="F126" s="726" t="s">
        <v>234</v>
      </c>
    </row>
    <row r="127" spans="5:6" x14ac:dyDescent="0.45">
      <c r="E127" s="726">
        <v>16</v>
      </c>
      <c r="F127" s="726" t="s">
        <v>213</v>
      </c>
    </row>
    <row r="128" spans="5:6" x14ac:dyDescent="0.45">
      <c r="E128" s="726">
        <v>17</v>
      </c>
      <c r="F128" s="726" t="s">
        <v>235</v>
      </c>
    </row>
    <row r="129" spans="5:6" x14ac:dyDescent="0.45">
      <c r="E129" s="726">
        <v>18</v>
      </c>
      <c r="F129" s="726" t="s">
        <v>263</v>
      </c>
    </row>
    <row r="130" spans="5:6" x14ac:dyDescent="0.45">
      <c r="E130" s="726">
        <v>19</v>
      </c>
      <c r="F130" s="726" t="s">
        <v>204</v>
      </c>
    </row>
    <row r="131" spans="5:6" x14ac:dyDescent="0.45">
      <c r="E131" s="726">
        <v>20</v>
      </c>
      <c r="F131" s="726" t="s">
        <v>236</v>
      </c>
    </row>
    <row r="132" spans="5:6" x14ac:dyDescent="0.45">
      <c r="E132" s="726">
        <v>21</v>
      </c>
      <c r="F132" s="726" t="s">
        <v>237</v>
      </c>
    </row>
    <row r="133" spans="5:6" x14ac:dyDescent="0.45">
      <c r="E133" s="726">
        <v>22</v>
      </c>
      <c r="F133" s="726" t="s">
        <v>238</v>
      </c>
    </row>
    <row r="134" spans="5:6" x14ac:dyDescent="0.45">
      <c r="E134" s="726">
        <v>23</v>
      </c>
      <c r="F134" s="726" t="s">
        <v>205</v>
      </c>
    </row>
    <row r="135" spans="5:6" x14ac:dyDescent="0.45">
      <c r="E135" s="726">
        <v>24</v>
      </c>
      <c r="F135" s="726" t="s">
        <v>239</v>
      </c>
    </row>
    <row r="136" spans="5:6" x14ac:dyDescent="0.45">
      <c r="E136" s="726">
        <v>25</v>
      </c>
      <c r="F136" s="726" t="s">
        <v>240</v>
      </c>
    </row>
    <row r="137" spans="5:6" x14ac:dyDescent="0.45">
      <c r="E137" s="726">
        <v>26</v>
      </c>
      <c r="F137" s="726" t="s">
        <v>241</v>
      </c>
    </row>
    <row r="138" spans="5:6" x14ac:dyDescent="0.45">
      <c r="E138" s="726">
        <v>27</v>
      </c>
      <c r="F138" s="726" t="s">
        <v>206</v>
      </c>
    </row>
    <row r="139" spans="5:6" x14ac:dyDescent="0.45">
      <c r="E139" s="726">
        <v>28</v>
      </c>
      <c r="F139" s="726" t="s">
        <v>242</v>
      </c>
    </row>
    <row r="140" spans="5:6" x14ac:dyDescent="0.45">
      <c r="E140" s="726">
        <v>29</v>
      </c>
      <c r="F140" s="726" t="s">
        <v>243</v>
      </c>
    </row>
    <row r="141" spans="5:6" x14ac:dyDescent="0.45">
      <c r="E141" s="726">
        <v>30</v>
      </c>
      <c r="F141" s="726" t="s">
        <v>244</v>
      </c>
    </row>
    <row r="142" spans="5:6" x14ac:dyDescent="0.45">
      <c r="E142" s="726">
        <v>31</v>
      </c>
      <c r="F142" s="726" t="s">
        <v>245</v>
      </c>
    </row>
    <row r="143" spans="5:6" x14ac:dyDescent="0.45">
      <c r="E143" s="726">
        <v>32</v>
      </c>
      <c r="F143" s="726" t="s">
        <v>246</v>
      </c>
    </row>
    <row r="144" spans="5:6" x14ac:dyDescent="0.45">
      <c r="E144" s="726">
        <v>33</v>
      </c>
      <c r="F144" s="726" t="s">
        <v>207</v>
      </c>
    </row>
    <row r="145" spans="5:6" x14ac:dyDescent="0.45">
      <c r="E145" s="726">
        <f t="shared" si="37"/>
        <v>34</v>
      </c>
      <c r="F145" s="726" t="s">
        <v>208</v>
      </c>
    </row>
    <row r="146" spans="5:6" x14ac:dyDescent="0.45">
      <c r="E146" s="726">
        <v>35</v>
      </c>
      <c r="F146" s="726" t="s">
        <v>247</v>
      </c>
    </row>
    <row r="147" spans="5:6" x14ac:dyDescent="0.45">
      <c r="E147" s="726">
        <v>36</v>
      </c>
      <c r="F147" s="726" t="s">
        <v>248</v>
      </c>
    </row>
    <row r="148" spans="5:6" x14ac:dyDescent="0.45">
      <c r="E148" s="726">
        <v>36</v>
      </c>
      <c r="F148" s="726" t="s">
        <v>249</v>
      </c>
    </row>
    <row r="149" spans="5:6" x14ac:dyDescent="0.45">
      <c r="E149" s="726">
        <v>38</v>
      </c>
      <c r="F149" s="726" t="s">
        <v>250</v>
      </c>
    </row>
    <row r="150" spans="5:6" x14ac:dyDescent="0.45">
      <c r="E150" s="726">
        <v>39</v>
      </c>
      <c r="F150" s="726" t="s">
        <v>251</v>
      </c>
    </row>
    <row r="151" spans="5:6" x14ac:dyDescent="0.45">
      <c r="E151" s="726">
        <v>40</v>
      </c>
      <c r="F151" s="726" t="s">
        <v>209</v>
      </c>
    </row>
    <row r="152" spans="5:6" x14ac:dyDescent="0.45">
      <c r="E152" s="726">
        <v>41</v>
      </c>
      <c r="F152" s="726" t="s">
        <v>264</v>
      </c>
    </row>
    <row r="153" spans="5:6" x14ac:dyDescent="0.45">
      <c r="E153" s="726">
        <v>42</v>
      </c>
      <c r="F153" s="726" t="s">
        <v>252</v>
      </c>
    </row>
    <row r="154" spans="5:6" x14ac:dyDescent="0.45">
      <c r="E154" s="726">
        <v>43</v>
      </c>
      <c r="F154" s="726" t="s">
        <v>253</v>
      </c>
    </row>
    <row r="155" spans="5:6" x14ac:dyDescent="0.45">
      <c r="E155" s="726">
        <v>44</v>
      </c>
      <c r="F155" s="726" t="s">
        <v>254</v>
      </c>
    </row>
    <row r="156" spans="5:6" x14ac:dyDescent="0.45">
      <c r="E156" s="726">
        <v>45</v>
      </c>
      <c r="F156" s="726" t="s">
        <v>210</v>
      </c>
    </row>
    <row r="157" spans="5:6" x14ac:dyDescent="0.45">
      <c r="E157" s="726">
        <v>46</v>
      </c>
      <c r="F157" s="726" t="s">
        <v>255</v>
      </c>
    </row>
    <row r="158" spans="5:6" x14ac:dyDescent="0.45">
      <c r="E158" s="726">
        <v>47</v>
      </c>
      <c r="F158" s="726" t="s">
        <v>211</v>
      </c>
    </row>
    <row r="159" spans="5:6" x14ac:dyDescent="0.45">
      <c r="E159" s="726">
        <v>48</v>
      </c>
      <c r="F159" s="726" t="s">
        <v>256</v>
      </c>
    </row>
    <row r="160" spans="5:6" x14ac:dyDescent="0.45">
      <c r="E160" s="726">
        <v>49</v>
      </c>
      <c r="F160" s="726" t="s">
        <v>257</v>
      </c>
    </row>
    <row r="161" spans="5:6" x14ac:dyDescent="0.45">
      <c r="E161" s="726">
        <v>50</v>
      </c>
      <c r="F161" s="726" t="s">
        <v>260</v>
      </c>
    </row>
    <row r="162" spans="5:6" x14ac:dyDescent="0.45">
      <c r="E162" s="726">
        <v>51</v>
      </c>
      <c r="F162" s="726" t="s">
        <v>258</v>
      </c>
    </row>
    <row r="163" spans="5:6" x14ac:dyDescent="0.45">
      <c r="E163" s="726">
        <v>52</v>
      </c>
      <c r="F163" s="726" t="s">
        <v>212</v>
      </c>
    </row>
    <row r="164" spans="5:6" x14ac:dyDescent="0.45">
      <c r="E164" s="726">
        <v>53</v>
      </c>
      <c r="F164" s="726" t="s">
        <v>259</v>
      </c>
    </row>
    <row r="165" spans="5:6" x14ac:dyDescent="0.45">
      <c r="E165" s="726">
        <v>54</v>
      </c>
      <c r="F165" s="726" t="s">
        <v>261</v>
      </c>
    </row>
    <row r="166" spans="5:6" x14ac:dyDescent="0.45">
      <c r="E166" s="726">
        <v>55</v>
      </c>
      <c r="F166" s="726" t="s">
        <v>262</v>
      </c>
    </row>
    <row r="167" spans="5:6" x14ac:dyDescent="0.45">
      <c r="E167"/>
      <c r="F167"/>
    </row>
    <row r="168" spans="5:6" x14ac:dyDescent="0.45">
      <c r="E168"/>
      <c r="F168"/>
    </row>
  </sheetData>
  <sheetProtection algorithmName="SHA-512" hashValue="eymT4djb2haaKcT09zDZ3SyLGF/18u76094pKK2pKbupPWal0y0WkVbl71IUpvNmXwuFawzwIv8JH2lUaqQ+sw==" saltValue="jKV/7pvQcbnoGtccRU4aFA=="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3BD63929-150C-4CBE-9AB4-65F104765802}">
      <formula1>$F$112:$F$166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Aspiration Chart</vt:lpstr>
      <vt:lpstr>Performance by Goal</vt:lpstr>
      <vt:lpstr>Initial Analysis Table</vt:lpstr>
      <vt:lpstr>Continental Level Dashboard</vt:lpstr>
      <vt:lpstr>Continental Dboard Targets</vt:lpstr>
      <vt:lpstr>Ethiopia</vt:lpstr>
      <vt:lpstr>Rwanda</vt:lpstr>
      <vt:lpstr>Seychelles</vt:lpstr>
      <vt:lpstr>Sudan</vt:lpstr>
      <vt:lpstr>Uganda</vt:lpstr>
      <vt:lpstr>Tanzania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Kisira</dc:creator>
  <cp:lastModifiedBy>Andson Nsune</cp:lastModifiedBy>
  <dcterms:created xsi:type="dcterms:W3CDTF">2019-08-26T09:31:19Z</dcterms:created>
  <dcterms:modified xsi:type="dcterms:W3CDTF">2020-01-28T22:05:22Z</dcterms:modified>
</cp:coreProperties>
</file>