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ndsonn\Desktop\M_Regional Dashboards\28th Jan Revisions\"/>
    </mc:Choice>
  </mc:AlternateContent>
  <xr:revisionPtr revIDLastSave="0" documentId="13_ncr:1_{30BA0F4C-6C66-4303-845C-CCDC2D1B69BD}" xr6:coauthVersionLast="44" xr6:coauthVersionMax="44" xr10:uidLastSave="{00000000-0000-0000-0000-000000000000}"/>
  <bookViews>
    <workbookView xWindow="-98" yWindow="-98" windowWidth="19396" windowHeight="10395" firstSheet="2" activeTab="6" xr2:uid="{00000000-000D-0000-FFFF-FFFF00000000}"/>
  </bookViews>
  <sheets>
    <sheet name="Aspiration Chart" sheetId="24" r:id="rId1"/>
    <sheet name="Performance by Goal" sheetId="25" r:id="rId2"/>
    <sheet name="Initial Analysis Table" sheetId="17" r:id="rId3"/>
    <sheet name="Continental Level Dashboard" sheetId="2" r:id="rId4"/>
    <sheet name="Continental Dboard Targets" sheetId="19" r:id="rId5"/>
    <sheet name="Chad" sheetId="31" r:id="rId6"/>
    <sheet name="Car" sheetId="4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2" i="19" l="1"/>
  <c r="F101" i="19"/>
  <c r="F100" i="19"/>
  <c r="F99" i="19"/>
  <c r="F97" i="19"/>
  <c r="F96" i="19"/>
  <c r="F95" i="19"/>
  <c r="F92" i="19"/>
  <c r="F91" i="19"/>
  <c r="F90" i="19"/>
  <c r="F89" i="19"/>
  <c r="F88" i="19"/>
  <c r="F86" i="19"/>
  <c r="F85" i="19"/>
  <c r="F84" i="19"/>
  <c r="F83" i="19"/>
  <c r="F82" i="19"/>
  <c r="F79" i="19"/>
  <c r="F76" i="19"/>
  <c r="F74" i="19"/>
  <c r="F72" i="19"/>
  <c r="F69" i="19"/>
  <c r="F67" i="19"/>
  <c r="F66" i="19"/>
  <c r="F65" i="19"/>
  <c r="F64" i="19"/>
  <c r="F63" i="19"/>
  <c r="F62" i="19"/>
  <c r="F59" i="19"/>
  <c r="F58" i="19"/>
  <c r="F57" i="19"/>
  <c r="F56" i="19"/>
  <c r="F55" i="19"/>
  <c r="F54" i="19"/>
  <c r="F52" i="19"/>
  <c r="F50" i="19"/>
  <c r="F49" i="19"/>
  <c r="F46" i="19"/>
  <c r="F43" i="19"/>
  <c r="F42" i="19"/>
  <c r="F40" i="19"/>
  <c r="F39" i="19"/>
  <c r="F37" i="19"/>
  <c r="F36" i="19"/>
  <c r="F35" i="19"/>
  <c r="F34" i="19"/>
  <c r="F32" i="19"/>
  <c r="F31" i="19"/>
  <c r="F30" i="19"/>
  <c r="F29" i="19"/>
  <c r="F28" i="19"/>
  <c r="F27" i="19"/>
  <c r="F26" i="19"/>
  <c r="F25" i="19"/>
  <c r="F23" i="19"/>
  <c r="F22" i="19"/>
  <c r="F21" i="19"/>
  <c r="F20" i="19"/>
  <c r="F18" i="19"/>
  <c r="F17" i="19"/>
  <c r="F16" i="19"/>
  <c r="F15" i="19"/>
  <c r="F14" i="19"/>
  <c r="F13" i="19"/>
  <c r="F12" i="19"/>
  <c r="G88" i="19"/>
  <c r="G62" i="19"/>
  <c r="G54" i="19"/>
  <c r="G25" i="19"/>
  <c r="G20" i="19"/>
  <c r="G100" i="19"/>
  <c r="G99" i="19"/>
  <c r="G98" i="19"/>
  <c r="G94" i="19"/>
  <c r="G93" i="19"/>
  <c r="G87" i="19"/>
  <c r="G81" i="19"/>
  <c r="G80" i="19"/>
  <c r="G79" i="19"/>
  <c r="G78" i="19"/>
  <c r="G77" i="19"/>
  <c r="G76" i="19"/>
  <c r="G75" i="19"/>
  <c r="G74" i="19"/>
  <c r="G73" i="19"/>
  <c r="G72" i="19"/>
  <c r="G71" i="19"/>
  <c r="G70" i="19"/>
  <c r="G69" i="19"/>
  <c r="G68" i="19"/>
  <c r="G61" i="19"/>
  <c r="G60" i="19"/>
  <c r="G53" i="19"/>
  <c r="G52" i="19"/>
  <c r="G51" i="19"/>
  <c r="G48" i="19"/>
  <c r="G47" i="19"/>
  <c r="G44" i="19"/>
  <c r="G39" i="19"/>
  <c r="G41" i="19"/>
  <c r="G38" i="19"/>
  <c r="G37" i="19"/>
  <c r="G36" i="19"/>
  <c r="G35" i="19"/>
  <c r="G34" i="19"/>
  <c r="G33" i="19"/>
  <c r="G24" i="19"/>
  <c r="G19" i="19"/>
  <c r="G95" i="19"/>
  <c r="G84" i="19"/>
  <c r="G16" i="19"/>
  <c r="G101" i="19"/>
  <c r="G82" i="19"/>
  <c r="G49" i="19"/>
  <c r="G45" i="19"/>
  <c r="G42" i="19"/>
  <c r="G14" i="19"/>
  <c r="G12" i="19"/>
  <c r="G11" i="19"/>
  <c r="G10" i="19"/>
  <c r="G6" i="19"/>
  <c r="E145" i="46"/>
  <c r="E124" i="46"/>
  <c r="M101" i="46"/>
  <c r="L101" i="46"/>
  <c r="K101" i="46"/>
  <c r="J101" i="46"/>
  <c r="M100" i="46"/>
  <c r="L100" i="46"/>
  <c r="K100" i="46"/>
  <c r="J100" i="46"/>
  <c r="M99" i="46"/>
  <c r="K99" i="46"/>
  <c r="L99" i="46" s="1"/>
  <c r="J99" i="46"/>
  <c r="M98" i="46"/>
  <c r="L98" i="46"/>
  <c r="K98" i="46"/>
  <c r="J98" i="46"/>
  <c r="K96" i="46"/>
  <c r="M96" i="46" s="1"/>
  <c r="J96" i="46"/>
  <c r="M95" i="46"/>
  <c r="L95" i="46"/>
  <c r="K95" i="46"/>
  <c r="J95" i="46"/>
  <c r="M94" i="46"/>
  <c r="K94" i="46"/>
  <c r="L94" i="46" s="1"/>
  <c r="J94" i="46"/>
  <c r="K91" i="46"/>
  <c r="L91" i="46" s="1"/>
  <c r="M91" i="46" s="1"/>
  <c r="J91" i="46"/>
  <c r="M90" i="46"/>
  <c r="L90" i="46"/>
  <c r="K90" i="46"/>
  <c r="J90" i="46"/>
  <c r="M89" i="46"/>
  <c r="K89" i="46"/>
  <c r="L89" i="46" s="1"/>
  <c r="J89" i="46"/>
  <c r="M88" i="46"/>
  <c r="K88" i="46"/>
  <c r="L88" i="46" s="1"/>
  <c r="J88" i="46"/>
  <c r="L87" i="46"/>
  <c r="K87" i="46"/>
  <c r="M87" i="46" s="1"/>
  <c r="J87" i="46"/>
  <c r="M85" i="46"/>
  <c r="L85" i="46"/>
  <c r="K85" i="46"/>
  <c r="J85" i="46"/>
  <c r="L84" i="46"/>
  <c r="K84" i="46"/>
  <c r="M84" i="46" s="1"/>
  <c r="J84" i="46"/>
  <c r="M83" i="46"/>
  <c r="L83" i="46"/>
  <c r="K83" i="46"/>
  <c r="J83" i="46"/>
  <c r="L82" i="46"/>
  <c r="M82" i="46" s="1"/>
  <c r="K82" i="46"/>
  <c r="J82" i="46"/>
  <c r="M81" i="46"/>
  <c r="L81" i="46"/>
  <c r="K81" i="46"/>
  <c r="J81" i="46"/>
  <c r="M78" i="46"/>
  <c r="L78" i="46"/>
  <c r="K78" i="46"/>
  <c r="J78" i="46"/>
  <c r="M75" i="46"/>
  <c r="L75" i="46"/>
  <c r="K75" i="46"/>
  <c r="J75" i="46"/>
  <c r="M73" i="46"/>
  <c r="K73" i="46"/>
  <c r="L73" i="46" s="1"/>
  <c r="J73" i="46"/>
  <c r="K71" i="46"/>
  <c r="M71" i="46" s="1"/>
  <c r="J71" i="46"/>
  <c r="K68" i="46"/>
  <c r="L68" i="46" s="1"/>
  <c r="J68" i="46"/>
  <c r="M68" i="46" s="1"/>
  <c r="L66" i="46"/>
  <c r="K66" i="46"/>
  <c r="J66" i="46"/>
  <c r="M66" i="46" s="1"/>
  <c r="M65" i="46"/>
  <c r="L65" i="46"/>
  <c r="K65" i="46"/>
  <c r="J65" i="46"/>
  <c r="K64" i="46"/>
  <c r="L64" i="46" s="1"/>
  <c r="J64" i="46"/>
  <c r="M63" i="46"/>
  <c r="L63" i="46"/>
  <c r="K63" i="46"/>
  <c r="J63" i="46"/>
  <c r="K62" i="46"/>
  <c r="L62" i="46" s="1"/>
  <c r="J62" i="46"/>
  <c r="M62" i="46" s="1"/>
  <c r="M61" i="46"/>
  <c r="K61" i="46"/>
  <c r="L61" i="46" s="1"/>
  <c r="J61" i="46"/>
  <c r="M58" i="46"/>
  <c r="L58" i="46"/>
  <c r="K58" i="46"/>
  <c r="J58" i="46"/>
  <c r="M57" i="46"/>
  <c r="K57" i="46"/>
  <c r="L57" i="46" s="1"/>
  <c r="J57" i="46"/>
  <c r="K56" i="46"/>
  <c r="M56" i="46" s="1"/>
  <c r="J56" i="46"/>
  <c r="M55" i="46"/>
  <c r="L55" i="46"/>
  <c r="K55" i="46"/>
  <c r="J55" i="46"/>
  <c r="L54" i="46"/>
  <c r="K54" i="46"/>
  <c r="M54" i="46" s="1"/>
  <c r="J54" i="46"/>
  <c r="M53" i="46"/>
  <c r="L53" i="46"/>
  <c r="K53" i="46"/>
  <c r="J53" i="46"/>
  <c r="M51" i="46"/>
  <c r="K51" i="46"/>
  <c r="L51" i="46" s="1"/>
  <c r="J51" i="46"/>
  <c r="L49" i="46"/>
  <c r="K49" i="46"/>
  <c r="M49" i="46" s="1"/>
  <c r="J49" i="46"/>
  <c r="M48" i="46"/>
  <c r="L48" i="46"/>
  <c r="K48" i="46"/>
  <c r="J48" i="46"/>
  <c r="M45" i="46"/>
  <c r="K45" i="46"/>
  <c r="L45" i="46" s="1"/>
  <c r="J45" i="46"/>
  <c r="M44" i="46"/>
  <c r="K44" i="46"/>
  <c r="L44" i="46" s="1"/>
  <c r="J44" i="46"/>
  <c r="M42" i="46"/>
  <c r="L42" i="46"/>
  <c r="K42" i="46"/>
  <c r="J42" i="46"/>
  <c r="M41" i="46"/>
  <c r="L41" i="46"/>
  <c r="K41" i="46"/>
  <c r="J41" i="46"/>
  <c r="K39" i="46"/>
  <c r="M39" i="46" s="1"/>
  <c r="J39" i="46"/>
  <c r="M38" i="46"/>
  <c r="L38" i="46"/>
  <c r="K38" i="46"/>
  <c r="J38" i="46"/>
  <c r="M36" i="46"/>
  <c r="L36" i="46"/>
  <c r="K36" i="46"/>
  <c r="J36" i="46"/>
  <c r="K35" i="46"/>
  <c r="M35" i="46" s="1"/>
  <c r="J35" i="46"/>
  <c r="M34" i="46"/>
  <c r="K34" i="46"/>
  <c r="L34" i="46" s="1"/>
  <c r="J34" i="46"/>
  <c r="L33" i="46"/>
  <c r="K33" i="46"/>
  <c r="M33" i="46" s="1"/>
  <c r="J33" i="46"/>
  <c r="M31" i="46"/>
  <c r="L31" i="46"/>
  <c r="K31" i="46"/>
  <c r="J31" i="46"/>
  <c r="K30" i="46"/>
  <c r="M30" i="46" s="1"/>
  <c r="J30" i="46"/>
  <c r="M29" i="46"/>
  <c r="L29" i="46"/>
  <c r="K29" i="46"/>
  <c r="J29" i="46"/>
  <c r="M28" i="46"/>
  <c r="L28" i="46"/>
  <c r="K28" i="46"/>
  <c r="J28" i="46"/>
  <c r="K27" i="46"/>
  <c r="M27" i="46" s="1"/>
  <c r="J27" i="46"/>
  <c r="G27" i="46"/>
  <c r="M26" i="46"/>
  <c r="L26" i="46"/>
  <c r="K26" i="46"/>
  <c r="J26" i="46"/>
  <c r="G26" i="46"/>
  <c r="M25" i="46"/>
  <c r="L25" i="46"/>
  <c r="K25" i="46"/>
  <c r="J25" i="46"/>
  <c r="G25" i="46"/>
  <c r="M24" i="46"/>
  <c r="L24" i="46"/>
  <c r="K24" i="46"/>
  <c r="J24" i="46"/>
  <c r="K22" i="46"/>
  <c r="M22" i="46" s="1"/>
  <c r="J22" i="46"/>
  <c r="M21" i="46"/>
  <c r="L21" i="46"/>
  <c r="K21" i="46"/>
  <c r="J21" i="46"/>
  <c r="K20" i="46"/>
  <c r="M20" i="46" s="1"/>
  <c r="J20" i="46"/>
  <c r="M19" i="46"/>
  <c r="L19" i="46"/>
  <c r="K19" i="46"/>
  <c r="J19" i="46"/>
  <c r="K17" i="46"/>
  <c r="M17" i="46" s="1"/>
  <c r="J17" i="46"/>
  <c r="K16" i="46"/>
  <c r="M16" i="46" s="1"/>
  <c r="J16" i="46"/>
  <c r="K15" i="46"/>
  <c r="M15" i="46" s="1"/>
  <c r="J15" i="46"/>
  <c r="W14" i="46"/>
  <c r="M14" i="46"/>
  <c r="L14" i="46"/>
  <c r="K14" i="46"/>
  <c r="J14" i="46"/>
  <c r="X13" i="46"/>
  <c r="W13" i="46"/>
  <c r="M13" i="46"/>
  <c r="K13" i="46"/>
  <c r="L13" i="46" s="1"/>
  <c r="J13" i="46"/>
  <c r="W12" i="46"/>
  <c r="K12" i="46"/>
  <c r="L12" i="46" s="1"/>
  <c r="J12" i="46"/>
  <c r="W11" i="46"/>
  <c r="X14" i="46" s="1"/>
  <c r="M11" i="46"/>
  <c r="L11" i="46"/>
  <c r="K11" i="46"/>
  <c r="J11" i="46"/>
  <c r="M5" i="46"/>
  <c r="C94" i="46" s="1"/>
  <c r="E145" i="31"/>
  <c r="E124" i="31"/>
  <c r="K101" i="31"/>
  <c r="L101" i="31" s="1"/>
  <c r="J101" i="31"/>
  <c r="K100" i="31"/>
  <c r="L100" i="31" s="1"/>
  <c r="J100" i="31"/>
  <c r="M99" i="31"/>
  <c r="L99" i="31"/>
  <c r="K99" i="31"/>
  <c r="J99" i="31"/>
  <c r="L98" i="31"/>
  <c r="K98" i="31"/>
  <c r="M98" i="31" s="1"/>
  <c r="J98" i="31"/>
  <c r="C98" i="31"/>
  <c r="E98" i="31" s="1"/>
  <c r="G98" i="31" s="1"/>
  <c r="L96" i="31"/>
  <c r="K96" i="31"/>
  <c r="J96" i="31"/>
  <c r="M96" i="31" s="1"/>
  <c r="L95" i="31"/>
  <c r="K95" i="31"/>
  <c r="J95" i="31"/>
  <c r="M95" i="31" s="1"/>
  <c r="M94" i="31"/>
  <c r="K94" i="31"/>
  <c r="L94" i="31" s="1"/>
  <c r="J94" i="31"/>
  <c r="M91" i="31"/>
  <c r="L91" i="31"/>
  <c r="K91" i="31"/>
  <c r="J91" i="31"/>
  <c r="K90" i="31"/>
  <c r="L90" i="31" s="1"/>
  <c r="J90" i="31"/>
  <c r="M89" i="31"/>
  <c r="K89" i="31"/>
  <c r="L89" i="31" s="1"/>
  <c r="J89" i="31"/>
  <c r="M88" i="31"/>
  <c r="L88" i="31"/>
  <c r="K88" i="31"/>
  <c r="J88" i="31"/>
  <c r="K87" i="31"/>
  <c r="M87" i="31" s="1"/>
  <c r="J87" i="31"/>
  <c r="M85" i="31"/>
  <c r="K85" i="31"/>
  <c r="L85" i="31" s="1"/>
  <c r="J85" i="31"/>
  <c r="E85" i="31"/>
  <c r="G85" i="31" s="1"/>
  <c r="K84" i="31"/>
  <c r="M84" i="31" s="1"/>
  <c r="J84" i="31"/>
  <c r="L83" i="31"/>
  <c r="K83" i="31"/>
  <c r="M83" i="31" s="1"/>
  <c r="J83" i="31"/>
  <c r="C83" i="31"/>
  <c r="K82" i="31"/>
  <c r="L82" i="31" s="1"/>
  <c r="M82" i="31" s="1"/>
  <c r="J82" i="31"/>
  <c r="L81" i="31"/>
  <c r="K81" i="31"/>
  <c r="M81" i="31" s="1"/>
  <c r="J81" i="31"/>
  <c r="C81" i="31"/>
  <c r="E83" i="31" s="1"/>
  <c r="G83" i="31" s="1"/>
  <c r="L78" i="31"/>
  <c r="M78" i="31" s="1"/>
  <c r="K78" i="31"/>
  <c r="J78" i="31"/>
  <c r="C78" i="31"/>
  <c r="E78" i="31" s="1"/>
  <c r="G78" i="31" s="1"/>
  <c r="M75" i="31"/>
  <c r="L75" i="31"/>
  <c r="K75" i="31"/>
  <c r="J75" i="31"/>
  <c r="C75" i="31"/>
  <c r="E75" i="31" s="1"/>
  <c r="G75" i="31" s="1"/>
  <c r="M73" i="31"/>
  <c r="L73" i="31"/>
  <c r="K73" i="31"/>
  <c r="J73" i="31"/>
  <c r="M71" i="31"/>
  <c r="L71" i="31"/>
  <c r="K71" i="31"/>
  <c r="J71" i="31"/>
  <c r="M68" i="31"/>
  <c r="L68" i="31"/>
  <c r="K68" i="31"/>
  <c r="J68" i="31"/>
  <c r="K66" i="31"/>
  <c r="L66" i="31" s="1"/>
  <c r="J66" i="31"/>
  <c r="M65" i="31"/>
  <c r="L65" i="31"/>
  <c r="K65" i="31"/>
  <c r="J65" i="31"/>
  <c r="M64" i="31"/>
  <c r="L64" i="31"/>
  <c r="K64" i="31"/>
  <c r="J64" i="31"/>
  <c r="K63" i="31"/>
  <c r="L63" i="31" s="1"/>
  <c r="J63" i="31"/>
  <c r="M62" i="31"/>
  <c r="L62" i="31"/>
  <c r="K62" i="31"/>
  <c r="J62" i="31"/>
  <c r="K61" i="31"/>
  <c r="M61" i="31" s="1"/>
  <c r="J61" i="31"/>
  <c r="L58" i="31"/>
  <c r="K58" i="31"/>
  <c r="M58" i="31" s="1"/>
  <c r="J58" i="31"/>
  <c r="M57" i="31"/>
  <c r="L57" i="31"/>
  <c r="K57" i="31"/>
  <c r="J57" i="31"/>
  <c r="K56" i="31"/>
  <c r="M56" i="31" s="1"/>
  <c r="J56" i="31"/>
  <c r="M55" i="31"/>
  <c r="L55" i="31"/>
  <c r="K55" i="31"/>
  <c r="J55" i="31"/>
  <c r="M54" i="31"/>
  <c r="K54" i="31"/>
  <c r="L54" i="31" s="1"/>
  <c r="J54" i="31"/>
  <c r="L53" i="31"/>
  <c r="K53" i="31"/>
  <c r="M53" i="31" s="1"/>
  <c r="J53" i="31"/>
  <c r="C53" i="31"/>
  <c r="E56" i="31" s="1"/>
  <c r="G56" i="31" s="1"/>
  <c r="M51" i="31"/>
  <c r="L51" i="31"/>
  <c r="K51" i="31"/>
  <c r="J51" i="31"/>
  <c r="M49" i="31"/>
  <c r="K49" i="31"/>
  <c r="L49" i="31" s="1"/>
  <c r="J49" i="31"/>
  <c r="L48" i="31"/>
  <c r="K48" i="31"/>
  <c r="M48" i="31" s="1"/>
  <c r="J48" i="31"/>
  <c r="C48" i="31"/>
  <c r="E48" i="31" s="1"/>
  <c r="G48" i="31" s="1"/>
  <c r="M45" i="31"/>
  <c r="L45" i="31"/>
  <c r="K45" i="31"/>
  <c r="J45" i="31"/>
  <c r="M44" i="31"/>
  <c r="L44" i="31"/>
  <c r="K44" i="31"/>
  <c r="J44" i="31"/>
  <c r="L42" i="31"/>
  <c r="K42" i="31"/>
  <c r="M42" i="31" s="1"/>
  <c r="J42" i="31"/>
  <c r="M41" i="31"/>
  <c r="L41" i="31"/>
  <c r="K41" i="31"/>
  <c r="J41" i="31"/>
  <c r="K39" i="31"/>
  <c r="M39" i="31" s="1"/>
  <c r="J39" i="31"/>
  <c r="K38" i="31"/>
  <c r="L38" i="31" s="1"/>
  <c r="J38" i="31"/>
  <c r="M36" i="31"/>
  <c r="L36" i="31"/>
  <c r="K36" i="31"/>
  <c r="J36" i="31"/>
  <c r="K35" i="31"/>
  <c r="M35" i="31" s="1"/>
  <c r="J35" i="31"/>
  <c r="M34" i="31"/>
  <c r="L34" i="31"/>
  <c r="K34" i="31"/>
  <c r="J34" i="31"/>
  <c r="M33" i="31"/>
  <c r="L33" i="31"/>
  <c r="K33" i="31"/>
  <c r="J33" i="31"/>
  <c r="M31" i="31"/>
  <c r="L31" i="31"/>
  <c r="K31" i="31"/>
  <c r="J31" i="31"/>
  <c r="M30" i="31"/>
  <c r="K30" i="31"/>
  <c r="L30" i="31" s="1"/>
  <c r="J30" i="31"/>
  <c r="K29" i="31"/>
  <c r="L29" i="31" s="1"/>
  <c r="J29" i="31"/>
  <c r="M28" i="31"/>
  <c r="L28" i="31"/>
  <c r="K28" i="31"/>
  <c r="J28" i="31"/>
  <c r="M27" i="31"/>
  <c r="K27" i="31"/>
  <c r="L27" i="31" s="1"/>
  <c r="J27" i="31"/>
  <c r="G27" i="31"/>
  <c r="K26" i="31"/>
  <c r="L26" i="31" s="1"/>
  <c r="J26" i="31"/>
  <c r="G26" i="31"/>
  <c r="M25" i="31"/>
  <c r="L25" i="31"/>
  <c r="K25" i="31"/>
  <c r="J25" i="31"/>
  <c r="G25" i="31"/>
  <c r="M24" i="31"/>
  <c r="L24" i="31"/>
  <c r="K24" i="31"/>
  <c r="J24" i="31"/>
  <c r="K22" i="31"/>
  <c r="M22" i="31" s="1"/>
  <c r="J22" i="31"/>
  <c r="M21" i="31"/>
  <c r="L21" i="31"/>
  <c r="K21" i="31"/>
  <c r="J21" i="31"/>
  <c r="M20" i="31"/>
  <c r="K20" i="31"/>
  <c r="L20" i="31" s="1"/>
  <c r="J20" i="31"/>
  <c r="L19" i="31"/>
  <c r="K19" i="31"/>
  <c r="M19" i="31" s="1"/>
  <c r="J19" i="31"/>
  <c r="C19" i="31"/>
  <c r="E22" i="31" s="1"/>
  <c r="G22" i="31" s="1"/>
  <c r="K17" i="31"/>
  <c r="L17" i="31" s="1"/>
  <c r="J17" i="31"/>
  <c r="M17" i="31" s="1"/>
  <c r="M16" i="31"/>
  <c r="K16" i="31"/>
  <c r="L16" i="31" s="1"/>
  <c r="J16" i="31"/>
  <c r="M15" i="31"/>
  <c r="K15" i="31"/>
  <c r="L15" i="31" s="1"/>
  <c r="J15" i="31"/>
  <c r="X14" i="31"/>
  <c r="Y14" i="31" s="1"/>
  <c r="W14" i="31"/>
  <c r="M14" i="31"/>
  <c r="L14" i="31"/>
  <c r="K14" i="31"/>
  <c r="J14" i="31"/>
  <c r="Y13" i="31"/>
  <c r="W13" i="31"/>
  <c r="K13" i="31"/>
  <c r="M13" i="31" s="1"/>
  <c r="J13" i="31"/>
  <c r="W12" i="31"/>
  <c r="M12" i="31"/>
  <c r="L12" i="31"/>
  <c r="K12" i="31"/>
  <c r="J12" i="31"/>
  <c r="W11" i="31"/>
  <c r="X13" i="31" s="1"/>
  <c r="L11" i="31"/>
  <c r="K11" i="31"/>
  <c r="M11" i="31" s="1"/>
  <c r="J11" i="31"/>
  <c r="C11" i="31"/>
  <c r="E11" i="31" s="1"/>
  <c r="M5" i="31"/>
  <c r="C94" i="31" s="1"/>
  <c r="E96" i="46" l="1"/>
  <c r="G96" i="46" s="1"/>
  <c r="E95" i="46"/>
  <c r="G95" i="46" s="1"/>
  <c r="E94" i="46"/>
  <c r="G94" i="46" s="1"/>
  <c r="L16" i="46"/>
  <c r="L20" i="46"/>
  <c r="L30" i="46"/>
  <c r="C11" i="46"/>
  <c r="M12" i="46"/>
  <c r="Y14" i="46"/>
  <c r="C19" i="46"/>
  <c r="C48" i="46"/>
  <c r="C53" i="46"/>
  <c r="M64" i="46"/>
  <c r="C75" i="46"/>
  <c r="E75" i="46" s="1"/>
  <c r="G75" i="46" s="1"/>
  <c r="C78" i="46"/>
  <c r="E78" i="46" s="1"/>
  <c r="G78" i="46" s="1"/>
  <c r="C81" i="46"/>
  <c r="C83" i="46"/>
  <c r="C98" i="46"/>
  <c r="E98" i="46" s="1"/>
  <c r="G98" i="46" s="1"/>
  <c r="C15" i="46"/>
  <c r="E15" i="46" s="1"/>
  <c r="C33" i="46"/>
  <c r="E33" i="46" s="1"/>
  <c r="G33" i="46" s="1"/>
  <c r="C87" i="46"/>
  <c r="X12" i="46"/>
  <c r="L22" i="46"/>
  <c r="L35" i="46"/>
  <c r="L39" i="46"/>
  <c r="C44" i="46"/>
  <c r="L56" i="46"/>
  <c r="C99" i="46"/>
  <c r="E99" i="46" s="1"/>
  <c r="G99" i="46" s="1"/>
  <c r="C13" i="46"/>
  <c r="L17" i="46"/>
  <c r="C34" i="46"/>
  <c r="E34" i="46" s="1"/>
  <c r="G34" i="46" s="1"/>
  <c r="C51" i="46"/>
  <c r="E51" i="46" s="1"/>
  <c r="G51" i="46" s="1"/>
  <c r="L71" i="46"/>
  <c r="C73" i="46"/>
  <c r="E73" i="46" s="1"/>
  <c r="G73" i="46" s="1"/>
  <c r="L96" i="46"/>
  <c r="C38" i="46"/>
  <c r="C100" i="46"/>
  <c r="E100" i="46" s="1"/>
  <c r="C35" i="46"/>
  <c r="E35" i="46" s="1"/>
  <c r="G35" i="46" s="1"/>
  <c r="C61" i="46"/>
  <c r="L27" i="46"/>
  <c r="C68" i="46"/>
  <c r="E68" i="46" s="1"/>
  <c r="G68" i="46" s="1"/>
  <c r="L15" i="46"/>
  <c r="C71" i="46"/>
  <c r="E71" i="46" s="1"/>
  <c r="G71" i="46" s="1"/>
  <c r="Y13" i="46"/>
  <c r="C24" i="46"/>
  <c r="C36" i="46"/>
  <c r="E36" i="46" s="1"/>
  <c r="G36" i="46" s="1"/>
  <c r="C41" i="46"/>
  <c r="N75" i="31"/>
  <c r="N74" i="31" s="1"/>
  <c r="O75" i="31"/>
  <c r="N98" i="31"/>
  <c r="O98" i="31"/>
  <c r="E96" i="31"/>
  <c r="G96" i="31" s="1"/>
  <c r="E94" i="31"/>
  <c r="G94" i="31" s="1"/>
  <c r="E95" i="31"/>
  <c r="G95" i="31" s="1"/>
  <c r="N78" i="31"/>
  <c r="N77" i="31" s="1"/>
  <c r="N76" i="31" s="1"/>
  <c r="O78" i="31"/>
  <c r="O48" i="31"/>
  <c r="G11" i="31"/>
  <c r="L13" i="31"/>
  <c r="E21" i="31"/>
  <c r="G21" i="31" s="1"/>
  <c r="E55" i="31"/>
  <c r="G55" i="31" s="1"/>
  <c r="E19" i="31"/>
  <c r="G19" i="31" s="1"/>
  <c r="L22" i="31"/>
  <c r="M26" i="31"/>
  <c r="M29" i="31"/>
  <c r="L35" i="31"/>
  <c r="M38" i="31"/>
  <c r="L39" i="31"/>
  <c r="C44" i="31"/>
  <c r="E49" i="31"/>
  <c r="G49" i="31" s="1"/>
  <c r="N48" i="31" s="1"/>
  <c r="N47" i="31" s="1"/>
  <c r="E54" i="31"/>
  <c r="G54" i="31" s="1"/>
  <c r="L56" i="31"/>
  <c r="L61" i="31"/>
  <c r="M63" i="31"/>
  <c r="M66" i="31"/>
  <c r="E82" i="31"/>
  <c r="G82" i="31" s="1"/>
  <c r="E84" i="31"/>
  <c r="G84" i="31" s="1"/>
  <c r="N83" i="31" s="1"/>
  <c r="M90" i="31"/>
  <c r="C99" i="31"/>
  <c r="E99" i="31" s="1"/>
  <c r="G99" i="31" s="1"/>
  <c r="M100" i="31"/>
  <c r="M101" i="31"/>
  <c r="C15" i="31"/>
  <c r="E15" i="31" s="1"/>
  <c r="C33" i="31"/>
  <c r="E33" i="31" s="1"/>
  <c r="G33" i="31" s="1"/>
  <c r="E81" i="31"/>
  <c r="G81" i="31" s="1"/>
  <c r="C87" i="31"/>
  <c r="X12" i="31"/>
  <c r="E20" i="31"/>
  <c r="G20" i="31" s="1"/>
  <c r="E12" i="31"/>
  <c r="G12" i="31" s="1"/>
  <c r="C13" i="31"/>
  <c r="C34" i="31"/>
  <c r="E34" i="31" s="1"/>
  <c r="G34" i="31" s="1"/>
  <c r="C51" i="31"/>
  <c r="E51" i="31" s="1"/>
  <c r="G51" i="31" s="1"/>
  <c r="C73" i="31"/>
  <c r="E73" i="31" s="1"/>
  <c r="G73" i="31" s="1"/>
  <c r="C102" i="31"/>
  <c r="E53" i="31"/>
  <c r="G53" i="31" s="1"/>
  <c r="C38" i="31"/>
  <c r="E57" i="31"/>
  <c r="C100" i="31"/>
  <c r="E100" i="31" s="1"/>
  <c r="C35" i="31"/>
  <c r="E35" i="31" s="1"/>
  <c r="G35" i="31" s="1"/>
  <c r="C61" i="31"/>
  <c r="C68" i="31"/>
  <c r="E68" i="31" s="1"/>
  <c r="G68" i="31" s="1"/>
  <c r="C71" i="31"/>
  <c r="E71" i="31" s="1"/>
  <c r="G71" i="31" s="1"/>
  <c r="L84" i="31"/>
  <c r="L87" i="31"/>
  <c r="C24" i="31"/>
  <c r="C36" i="31"/>
  <c r="E36" i="31" s="1"/>
  <c r="G36" i="31" s="1"/>
  <c r="C41" i="31"/>
  <c r="E62" i="46" l="1"/>
  <c r="G62" i="46" s="1"/>
  <c r="E61" i="46"/>
  <c r="G61" i="46" s="1"/>
  <c r="E63" i="46"/>
  <c r="G63" i="46" s="1"/>
  <c r="E64" i="46"/>
  <c r="N78" i="46"/>
  <c r="N77" i="46" s="1"/>
  <c r="N76" i="46" s="1"/>
  <c r="O78" i="46"/>
  <c r="C102" i="46"/>
  <c r="E12" i="46"/>
  <c r="G12" i="46" s="1"/>
  <c r="E11" i="46"/>
  <c r="O36" i="46"/>
  <c r="P36" i="46" s="1"/>
  <c r="N36" i="46"/>
  <c r="O35" i="46"/>
  <c r="P35" i="46" s="1"/>
  <c r="N35" i="46"/>
  <c r="N75" i="46"/>
  <c r="N74" i="46" s="1"/>
  <c r="O75" i="46"/>
  <c r="O34" i="46"/>
  <c r="P34" i="46" s="1"/>
  <c r="N34" i="46"/>
  <c r="E39" i="46"/>
  <c r="G39" i="46" s="1"/>
  <c r="E38" i="46"/>
  <c r="G38" i="46" s="1"/>
  <c r="N99" i="46"/>
  <c r="O99" i="46"/>
  <c r="P99" i="46" s="1"/>
  <c r="O33" i="46"/>
  <c r="N33" i="46"/>
  <c r="N32" i="46" s="1"/>
  <c r="E56" i="46"/>
  <c r="G56" i="46" s="1"/>
  <c r="E57" i="46"/>
  <c r="E54" i="46"/>
  <c r="G54" i="46" s="1"/>
  <c r="E53" i="46"/>
  <c r="G53" i="46" s="1"/>
  <c r="E55" i="46"/>
  <c r="G55" i="46" s="1"/>
  <c r="O51" i="46"/>
  <c r="N51" i="46"/>
  <c r="N50" i="46" s="1"/>
  <c r="E81" i="46"/>
  <c r="G81" i="46" s="1"/>
  <c r="E84" i="46"/>
  <c r="G84" i="46" s="1"/>
  <c r="E82" i="46"/>
  <c r="G82" i="46" s="1"/>
  <c r="E83" i="46"/>
  <c r="G83" i="46" s="1"/>
  <c r="E85" i="46"/>
  <c r="G85" i="46" s="1"/>
  <c r="E42" i="46"/>
  <c r="G42" i="46" s="1"/>
  <c r="E41" i="46"/>
  <c r="G41" i="46" s="1"/>
  <c r="G101" i="46"/>
  <c r="G100" i="46"/>
  <c r="O71" i="46"/>
  <c r="N71" i="46"/>
  <c r="N70" i="46" s="1"/>
  <c r="G16" i="46"/>
  <c r="G15" i="46"/>
  <c r="G17" i="46"/>
  <c r="E49" i="46"/>
  <c r="G49" i="46" s="1"/>
  <c r="E48" i="46"/>
  <c r="G48" i="46" s="1"/>
  <c r="O94" i="46"/>
  <c r="N94" i="46"/>
  <c r="N93" i="46" s="1"/>
  <c r="E31" i="46"/>
  <c r="G31" i="46" s="1"/>
  <c r="E28" i="46"/>
  <c r="E24" i="46"/>
  <c r="G24" i="46" s="1"/>
  <c r="E13" i="46"/>
  <c r="G13" i="46" s="1"/>
  <c r="E14" i="46"/>
  <c r="G14" i="46" s="1"/>
  <c r="E91" i="46"/>
  <c r="G91" i="46" s="1"/>
  <c r="E88" i="46"/>
  <c r="E87" i="46"/>
  <c r="G87" i="46" s="1"/>
  <c r="O73" i="46"/>
  <c r="N73" i="46"/>
  <c r="N72" i="46" s="1"/>
  <c r="E45" i="46"/>
  <c r="G45" i="46" s="1"/>
  <c r="E44" i="46"/>
  <c r="G44" i="46" s="1"/>
  <c r="N98" i="46"/>
  <c r="O98" i="46"/>
  <c r="E22" i="46"/>
  <c r="G22" i="46" s="1"/>
  <c r="E20" i="46"/>
  <c r="G20" i="46" s="1"/>
  <c r="E19" i="46"/>
  <c r="G19" i="46" s="1"/>
  <c r="E21" i="46"/>
  <c r="G21" i="46" s="1"/>
  <c r="N68" i="46"/>
  <c r="N67" i="46" s="1"/>
  <c r="O68" i="46"/>
  <c r="O73" i="31"/>
  <c r="N73" i="31"/>
  <c r="N72" i="31" s="1"/>
  <c r="E62" i="31"/>
  <c r="G62" i="31" s="1"/>
  <c r="E61" i="31"/>
  <c r="G61" i="31" s="1"/>
  <c r="E63" i="31"/>
  <c r="G63" i="31" s="1"/>
  <c r="E64" i="31"/>
  <c r="O33" i="31"/>
  <c r="N33" i="31"/>
  <c r="N32" i="31" s="1"/>
  <c r="O94" i="31"/>
  <c r="N94" i="31"/>
  <c r="N93" i="31" s="1"/>
  <c r="E42" i="31"/>
  <c r="G42" i="31" s="1"/>
  <c r="E41" i="31"/>
  <c r="G41" i="31" s="1"/>
  <c r="O35" i="31"/>
  <c r="P35" i="31" s="1"/>
  <c r="N35" i="31"/>
  <c r="O34" i="31"/>
  <c r="P34" i="31" s="1"/>
  <c r="N34" i="31"/>
  <c r="G16" i="31"/>
  <c r="G15" i="31"/>
  <c r="G17" i="31"/>
  <c r="N11" i="31"/>
  <c r="O11" i="31"/>
  <c r="E91" i="31"/>
  <c r="G91" i="31" s="1"/>
  <c r="E88" i="31"/>
  <c r="E87" i="31"/>
  <c r="G87" i="31" s="1"/>
  <c r="E45" i="31"/>
  <c r="G45" i="31" s="1"/>
  <c r="E44" i="31"/>
  <c r="G44" i="31" s="1"/>
  <c r="O74" i="31"/>
  <c r="P74" i="31" s="1"/>
  <c r="P75" i="31"/>
  <c r="N81" i="31"/>
  <c r="N80" i="31" s="1"/>
  <c r="O81" i="31"/>
  <c r="O51" i="31"/>
  <c r="N51" i="31"/>
  <c r="N50" i="31" s="1"/>
  <c r="O36" i="31"/>
  <c r="P36" i="31" s="1"/>
  <c r="N36" i="31"/>
  <c r="G101" i="31"/>
  <c r="G100" i="31"/>
  <c r="E14" i="31"/>
  <c r="G14" i="31" s="1"/>
  <c r="E13" i="31"/>
  <c r="G13" i="31" s="1"/>
  <c r="E102" i="31"/>
  <c r="P98" i="31"/>
  <c r="O68" i="31"/>
  <c r="N68" i="31"/>
  <c r="N67" i="31" s="1"/>
  <c r="E31" i="31"/>
  <c r="G31" i="31" s="1"/>
  <c r="E28" i="31"/>
  <c r="E24" i="31"/>
  <c r="G24" i="31" s="1"/>
  <c r="G57" i="31"/>
  <c r="N53" i="31" s="1"/>
  <c r="N52" i="31" s="1"/>
  <c r="N46" i="31" s="1"/>
  <c r="G58" i="31"/>
  <c r="E39" i="31"/>
  <c r="G39" i="31" s="1"/>
  <c r="E38" i="31"/>
  <c r="G38" i="31" s="1"/>
  <c r="N99" i="31"/>
  <c r="O99" i="31"/>
  <c r="P99" i="31" s="1"/>
  <c r="O83" i="31"/>
  <c r="P83" i="31" s="1"/>
  <c r="O71" i="31"/>
  <c r="N71" i="31"/>
  <c r="N70" i="31" s="1"/>
  <c r="N69" i="31" s="1"/>
  <c r="O47" i="31"/>
  <c r="P48" i="31"/>
  <c r="N19" i="31"/>
  <c r="N18" i="31" s="1"/>
  <c r="O19" i="31"/>
  <c r="O77" i="31"/>
  <c r="P78" i="31"/>
  <c r="O93" i="46" l="1"/>
  <c r="P94" i="46"/>
  <c r="P98" i="46"/>
  <c r="N48" i="46"/>
  <c r="N47" i="46" s="1"/>
  <c r="O48" i="46"/>
  <c r="O32" i="46"/>
  <c r="P32" i="46" s="1"/>
  <c r="P33" i="46"/>
  <c r="O77" i="46"/>
  <c r="P78" i="46"/>
  <c r="O41" i="46"/>
  <c r="N41" i="46"/>
  <c r="N40" i="46" s="1"/>
  <c r="P51" i="46"/>
  <c r="O50" i="46"/>
  <c r="P50" i="46" s="1"/>
  <c r="G90" i="46"/>
  <c r="G88" i="46"/>
  <c r="O87" i="46" s="1"/>
  <c r="G89" i="46"/>
  <c r="O100" i="46"/>
  <c r="P100" i="46" s="1"/>
  <c r="N100" i="46"/>
  <c r="N97" i="46" s="1"/>
  <c r="N92" i="46" s="1"/>
  <c r="P68" i="46"/>
  <c r="O67" i="46"/>
  <c r="P67" i="46" s="1"/>
  <c r="N44" i="46"/>
  <c r="N43" i="46" s="1"/>
  <c r="O44" i="46"/>
  <c r="O13" i="46"/>
  <c r="P13" i="46" s="1"/>
  <c r="N13" i="46"/>
  <c r="G66" i="46"/>
  <c r="O61" i="46" s="1"/>
  <c r="G64" i="46"/>
  <c r="N61" i="46" s="1"/>
  <c r="N60" i="46" s="1"/>
  <c r="N59" i="46" s="1"/>
  <c r="G65" i="46"/>
  <c r="N81" i="46"/>
  <c r="O81" i="46"/>
  <c r="O15" i="46"/>
  <c r="P15" i="46" s="1"/>
  <c r="N15" i="46"/>
  <c r="O38" i="46"/>
  <c r="N38" i="46"/>
  <c r="N37" i="46" s="1"/>
  <c r="O74" i="46"/>
  <c r="P74" i="46" s="1"/>
  <c r="P75" i="46"/>
  <c r="G29" i="46"/>
  <c r="O24" i="46" s="1"/>
  <c r="G30" i="46"/>
  <c r="G28" i="46"/>
  <c r="N83" i="46"/>
  <c r="O83" i="46"/>
  <c r="P83" i="46" s="1"/>
  <c r="P71" i="46"/>
  <c r="O70" i="46"/>
  <c r="N19" i="46"/>
  <c r="N18" i="46" s="1"/>
  <c r="O19" i="46"/>
  <c r="P73" i="46"/>
  <c r="O72" i="46"/>
  <c r="P72" i="46" s="1"/>
  <c r="N69" i="46"/>
  <c r="G57" i="46"/>
  <c r="O53" i="46" s="1"/>
  <c r="G58" i="46"/>
  <c r="N53" i="46" s="1"/>
  <c r="N52" i="46" s="1"/>
  <c r="E102" i="46"/>
  <c r="G11" i="46"/>
  <c r="O18" i="31"/>
  <c r="P18" i="31" s="1"/>
  <c r="P19" i="31"/>
  <c r="O80" i="31"/>
  <c r="P81" i="31"/>
  <c r="G29" i="31"/>
  <c r="G28" i="31"/>
  <c r="O24" i="31" s="1"/>
  <c r="G30" i="31"/>
  <c r="N24" i="31" s="1"/>
  <c r="N23" i="31" s="1"/>
  <c r="P11" i="31"/>
  <c r="G66" i="31"/>
  <c r="G64" i="31"/>
  <c r="N61" i="31" s="1"/>
  <c r="N60" i="31" s="1"/>
  <c r="N59" i="31" s="1"/>
  <c r="G65" i="31"/>
  <c r="P71" i="31"/>
  <c r="O70" i="31"/>
  <c r="P51" i="31"/>
  <c r="O50" i="31"/>
  <c r="P50" i="31" s="1"/>
  <c r="G90" i="31"/>
  <c r="G88" i="31"/>
  <c r="O87" i="31" s="1"/>
  <c r="G89" i="31"/>
  <c r="O13" i="31"/>
  <c r="P13" i="31" s="1"/>
  <c r="N13" i="31"/>
  <c r="N10" i="31" s="1"/>
  <c r="O32" i="31"/>
  <c r="P32" i="31" s="1"/>
  <c r="P33" i="31"/>
  <c r="O53" i="31"/>
  <c r="O100" i="31"/>
  <c r="N100" i="31"/>
  <c r="N97" i="31" s="1"/>
  <c r="N92" i="31" s="1"/>
  <c r="P77" i="31"/>
  <c r="O76" i="31"/>
  <c r="P76" i="31" s="1"/>
  <c r="O41" i="31"/>
  <c r="N41" i="31"/>
  <c r="N40" i="31" s="1"/>
  <c r="O61" i="31"/>
  <c r="P68" i="31"/>
  <c r="O67" i="31"/>
  <c r="P67" i="31" s="1"/>
  <c r="N44" i="31"/>
  <c r="N43" i="31" s="1"/>
  <c r="O44" i="31"/>
  <c r="O38" i="31"/>
  <c r="N38" i="31"/>
  <c r="N37" i="31" s="1"/>
  <c r="P47" i="31"/>
  <c r="O15" i="31"/>
  <c r="P15" i="31" s="1"/>
  <c r="N15" i="31"/>
  <c r="O93" i="31"/>
  <c r="P94" i="31"/>
  <c r="P73" i="31"/>
  <c r="O72" i="31"/>
  <c r="P72" i="31" s="1"/>
  <c r="O52" i="46" l="1"/>
  <c r="P52" i="46" s="1"/>
  <c r="P53" i="46"/>
  <c r="O23" i="46"/>
  <c r="P23" i="46" s="1"/>
  <c r="P24" i="46"/>
  <c r="O86" i="46"/>
  <c r="P86" i="46" s="1"/>
  <c r="P87" i="46"/>
  <c r="P61" i="46"/>
  <c r="O60" i="46"/>
  <c r="P48" i="46"/>
  <c r="O47" i="46"/>
  <c r="N24" i="46"/>
  <c r="N23" i="46" s="1"/>
  <c r="N87" i="46"/>
  <c r="N86" i="46" s="1"/>
  <c r="N46" i="46"/>
  <c r="P44" i="46"/>
  <c r="O43" i="46"/>
  <c r="P43" i="46" s="1"/>
  <c r="O80" i="46"/>
  <c r="P81" i="46"/>
  <c r="O97" i="46"/>
  <c r="P97" i="46" s="1"/>
  <c r="P38" i="46"/>
  <c r="O37" i="46"/>
  <c r="P37" i="46" s="1"/>
  <c r="N80" i="46"/>
  <c r="O40" i="46"/>
  <c r="P40" i="46" s="1"/>
  <c r="P41" i="46"/>
  <c r="O18" i="46"/>
  <c r="P18" i="46" s="1"/>
  <c r="P19" i="46"/>
  <c r="P77" i="46"/>
  <c r="O76" i="46"/>
  <c r="P76" i="46" s="1"/>
  <c r="P93" i="46"/>
  <c r="O92" i="46"/>
  <c r="P92" i="46" s="1"/>
  <c r="P70" i="46"/>
  <c r="O69" i="46"/>
  <c r="P69" i="46" s="1"/>
  <c r="N11" i="46"/>
  <c r="N10" i="46" s="1"/>
  <c r="G102" i="46"/>
  <c r="O11" i="46"/>
  <c r="O23" i="31"/>
  <c r="P23" i="31" s="1"/>
  <c r="P24" i="31"/>
  <c r="N9" i="31"/>
  <c r="O86" i="31"/>
  <c r="P86" i="31" s="1"/>
  <c r="P87" i="31"/>
  <c r="P70" i="31"/>
  <c r="O69" i="31"/>
  <c r="P69" i="31" s="1"/>
  <c r="G102" i="31"/>
  <c r="P61" i="31"/>
  <c r="O60" i="31"/>
  <c r="O52" i="31"/>
  <c r="P53" i="31"/>
  <c r="P80" i="31"/>
  <c r="N87" i="31"/>
  <c r="N86" i="31" s="1"/>
  <c r="N79" i="31" s="1"/>
  <c r="P41" i="31"/>
  <c r="O40" i="31"/>
  <c r="P40" i="31" s="1"/>
  <c r="P100" i="31"/>
  <c r="O97" i="31"/>
  <c r="P97" i="31" s="1"/>
  <c r="P93" i="31"/>
  <c r="O92" i="31"/>
  <c r="P92" i="31" s="1"/>
  <c r="P38" i="31"/>
  <c r="O37" i="31"/>
  <c r="P37" i="31" s="1"/>
  <c r="P44" i="31"/>
  <c r="O43" i="31"/>
  <c r="P43" i="31" s="1"/>
  <c r="O10" i="31"/>
  <c r="O10" i="46" l="1"/>
  <c r="P11" i="46"/>
  <c r="N79" i="46"/>
  <c r="P47" i="46"/>
  <c r="O46" i="46"/>
  <c r="P46" i="46" s="1"/>
  <c r="P60" i="46"/>
  <c r="O59" i="46"/>
  <c r="P59" i="46" s="1"/>
  <c r="P80" i="46"/>
  <c r="O79" i="46"/>
  <c r="P79" i="46" s="1"/>
  <c r="N9" i="46"/>
  <c r="N4" i="46" s="1"/>
  <c r="O79" i="31"/>
  <c r="P79" i="31" s="1"/>
  <c r="P52" i="31"/>
  <c r="O46" i="31"/>
  <c r="P46" i="31" s="1"/>
  <c r="N4" i="31"/>
  <c r="O9" i="31"/>
  <c r="P10" i="31"/>
  <c r="P60" i="31"/>
  <c r="O59" i="31"/>
  <c r="P59" i="31" s="1"/>
  <c r="P10" i="46" l="1"/>
  <c r="O9" i="46"/>
  <c r="O4" i="31"/>
  <c r="P4" i="31" s="1"/>
  <c r="P9" i="31"/>
  <c r="O4" i="46" l="1"/>
  <c r="P4" i="46" s="1"/>
  <c r="P9" i="46"/>
  <c r="F10" i="2" s="1"/>
  <c r="E2" i="17" s="1"/>
  <c r="B4" i="24" s="1"/>
  <c r="F101" i="2"/>
  <c r="F100" i="2"/>
  <c r="F99" i="2"/>
  <c r="F98" i="2"/>
  <c r="E21" i="25" s="1"/>
  <c r="F95" i="2"/>
  <c r="F94" i="2"/>
  <c r="E20" i="25" s="1"/>
  <c r="F93" i="2"/>
  <c r="F84" i="2"/>
  <c r="F82" i="2"/>
  <c r="F81" i="2"/>
  <c r="F79" i="2"/>
  <c r="F78" i="2"/>
  <c r="F77" i="2"/>
  <c r="F76" i="2"/>
  <c r="F74" i="2"/>
  <c r="F73" i="2"/>
  <c r="F72" i="2"/>
  <c r="F71" i="2"/>
  <c r="F69" i="2"/>
  <c r="F68" i="2"/>
  <c r="F62" i="2"/>
  <c r="F61" i="2"/>
  <c r="F60" i="2"/>
  <c r="F54" i="2"/>
  <c r="F53" i="2"/>
  <c r="F49" i="2"/>
  <c r="F48" i="2"/>
  <c r="F45" i="2"/>
  <c r="F44" i="2"/>
  <c r="F42" i="2"/>
  <c r="F41" i="2"/>
  <c r="F39" i="2"/>
  <c r="F36" i="2"/>
  <c r="F37" i="2"/>
  <c r="F38" i="2"/>
  <c r="F35" i="2"/>
  <c r="F34" i="2"/>
  <c r="F33" i="2"/>
  <c r="F25" i="2"/>
  <c r="F24" i="2"/>
  <c r="F20" i="2"/>
  <c r="F19" i="2"/>
  <c r="F16" i="2"/>
  <c r="F14" i="2"/>
  <c r="F12" i="2"/>
  <c r="F11" i="2"/>
  <c r="E3" i="17" s="1"/>
  <c r="E2" i="25" s="1"/>
  <c r="F75" i="2" l="1"/>
  <c r="F87" i="2" l="1"/>
  <c r="F88" i="2"/>
  <c r="F80" i="2" l="1"/>
  <c r="K15" i="19" l="1"/>
  <c r="K14" i="19"/>
  <c r="K12" i="19"/>
  <c r="L13" i="19" s="1"/>
  <c r="L14" i="19" l="1"/>
  <c r="M14" i="19"/>
  <c r="K13" i="19"/>
  <c r="L15" i="19" s="1"/>
  <c r="M15" i="19" s="1"/>
  <c r="E20" i="17" l="1"/>
  <c r="E16" i="25" s="1"/>
  <c r="J15" i="2"/>
  <c r="J14" i="2"/>
  <c r="J12" i="2"/>
  <c r="K14" i="2" s="1"/>
  <c r="J13" i="2" l="1"/>
  <c r="K15" i="2" s="1"/>
  <c r="L15" i="2" s="1"/>
  <c r="L14" i="2"/>
  <c r="K13" i="2"/>
  <c r="E11" i="17" l="1"/>
  <c r="E9" i="25" s="1"/>
  <c r="E8" i="17" l="1"/>
  <c r="E7" i="25" s="1"/>
  <c r="F51" i="2" l="1"/>
  <c r="F52" i="2"/>
  <c r="F47" i="2" l="1"/>
  <c r="E6" i="17" l="1"/>
  <c r="E5" i="25" s="1"/>
  <c r="E16" i="17" l="1"/>
  <c r="E13" i="25" s="1"/>
  <c r="E7" i="17"/>
  <c r="E6" i="25" s="1"/>
  <c r="E5" i="17"/>
  <c r="E4" i="25" s="1"/>
  <c r="E4" i="17" l="1"/>
  <c r="E3" i="25" s="1"/>
  <c r="E13" i="17" l="1"/>
  <c r="E11" i="25" s="1"/>
  <c r="E19" i="17" l="1"/>
  <c r="E15" i="25" s="1"/>
  <c r="E27" i="17" l="1"/>
  <c r="E22" i="25" s="1"/>
  <c r="E12" i="17"/>
  <c r="E10" i="25" s="1"/>
  <c r="E10" i="17" l="1"/>
  <c r="B5" i="24" s="1"/>
  <c r="E24" i="17" l="1"/>
  <c r="E18" i="25" s="1"/>
  <c r="E18" i="17" l="1"/>
  <c r="E14" i="25" s="1"/>
  <c r="F70" i="2" l="1"/>
  <c r="E17" i="17" s="1"/>
  <c r="B7" i="24" s="1"/>
  <c r="E14" i="17" l="1"/>
  <c r="B6" i="24" s="1"/>
  <c r="E25" i="17"/>
  <c r="E19" i="25" s="1"/>
  <c r="E23" i="17"/>
  <c r="B9" i="24" s="1"/>
  <c r="E28" i="17"/>
  <c r="E23" i="25" s="1"/>
  <c r="E26" i="17"/>
  <c r="B10" i="24" s="1"/>
  <c r="E15" i="17" l="1"/>
  <c r="E12" i="25" s="1"/>
  <c r="E9" i="17"/>
  <c r="E8" i="25" s="1"/>
  <c r="E22" i="17" l="1"/>
  <c r="E17" i="25" s="1"/>
  <c r="F6" i="2"/>
  <c r="E21" i="17"/>
  <c r="B8" i="24" s="1"/>
</calcChain>
</file>

<file path=xl/sharedStrings.xml><?xml version="1.0" encoding="utf-8"?>
<sst xmlns="http://schemas.openxmlformats.org/spreadsheetml/2006/main" count="1469" uniqueCount="448">
  <si>
    <t>ASPIRATION 1:  A PROSPEROUS AFRICA BASED ON INCLUSIVE GROWTH AND SUSTAINABLE DEVELOPMENT</t>
  </si>
  <si>
    <t>Goal 1: A High Standard of Living, Quality of Life and Well Being for All</t>
  </si>
  <si>
    <t>Priority Area</t>
  </si>
  <si>
    <t>Agenda 2063 Target</t>
  </si>
  <si>
    <t>1. Incomes, Jobs and decent work</t>
  </si>
  <si>
    <t>GNI per capita</t>
  </si>
  <si>
    <t>2. Poverty, Inequality and Hunger</t>
  </si>
  <si>
    <t>b) Prevalence of underweight among children under 5</t>
  </si>
  <si>
    <t>% of population with access to safe drinking water</t>
  </si>
  <si>
    <t>3. Modern and Liveable Habitats and Basic Quality Services</t>
  </si>
  <si>
    <t>c)% of population with access to internet</t>
  </si>
  <si>
    <t>Goal 2: Well Educated Citizens and Skills revolution underpinned by Science, Technology and Innovation</t>
  </si>
  <si>
    <t xml:space="preserve">1. Education and STI driven Skills Revolution   </t>
  </si>
  <si>
    <t>Goal 3: Healthy and Well-Nourished Citizens</t>
  </si>
  <si>
    <t>1. Health and Nutrition</t>
  </si>
  <si>
    <t xml:space="preserve">a) Maternal mortality ratio                                                                                 </t>
  </si>
  <si>
    <t>b) Neo-natal mortality rate</t>
  </si>
  <si>
    <t xml:space="preserve">c) Under five mortality rate  </t>
  </si>
  <si>
    <t>Goal 4: Transformed Economies and Job Creation</t>
  </si>
  <si>
    <t xml:space="preserve">1. Sustainable inclusive economic growth </t>
  </si>
  <si>
    <t>2. STI driven Manufacturing / Industrialization and Value Addition</t>
  </si>
  <si>
    <t xml:space="preserve">Manufacturing value added as % of GDP </t>
  </si>
  <si>
    <t>3. Economic diversification and resilience</t>
  </si>
  <si>
    <t>Research and development expenditure as a proportion of GDP</t>
  </si>
  <si>
    <t xml:space="preserve">4. Hospitality / Tourism </t>
  </si>
  <si>
    <t>Tourism value added as a proportion of GDP</t>
  </si>
  <si>
    <t>Goal 5: Modern Agriculture for increased productivity and production</t>
  </si>
  <si>
    <t>1. Agricultural  productivity and production</t>
  </si>
  <si>
    <t>Goal 6: Blue/ ocean economy for accelerated economic growth</t>
  </si>
  <si>
    <t>1. Marine resources  and Energy</t>
  </si>
  <si>
    <t>Fishery Sector value added ( as share of GDP)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</si>
  <si>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</si>
  <si>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</si>
  <si>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</si>
  <si>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% of agricultural land placed under sustainable land management practice.</t>
  </si>
  <si>
    <t xml:space="preserve">a) % of terrestrial and inland water areas preserved.                                                         </t>
  </si>
  <si>
    <t>ASPIRATION 2: 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</si>
  <si>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</si>
  <si>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</si>
  <si>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Goal 9: Key Continental Financial and Monetary Institutions established and functional</t>
  </si>
  <si>
    <t>Goal 10: World Class Infrastructure criss-crosses Africa</t>
  </si>
  <si>
    <t>% of the progress made on the implementation of Trans-African Highway Missing link</t>
  </si>
  <si>
    <t xml:space="preserve">%  of the progress made on the implementation the African High Speed Rail Network </t>
  </si>
  <si>
    <t>No. of protocols on African open skies Implemented</t>
  </si>
  <si>
    <t>No. of Mega Watts added into the national grid</t>
  </si>
  <si>
    <t xml:space="preserve"> Proportion of population using mobile phones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</si>
  <si>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</si>
  <si>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</si>
  <si>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</si>
  <si>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</si>
  <si>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% of people who believe that there are effective mechanisms and oversight institutions to hold their leaders accountable</t>
  </si>
  <si>
    <t xml:space="preserve">% of people who believe that the elections are free, fair and transparent.                     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</si>
  <si>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</si>
  <si>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</si>
  <si>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</si>
  <si>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</si>
  <si>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</si>
  <si>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Proportion of persons who had at least one contact with  a public official and who paid a bribe to a public official or were asked for a bribe by these public officials during the previous twelve months</t>
  </si>
  <si>
    <t>ASPIRATION 4.  A PEACEFUL AND SECURE AFRICA</t>
  </si>
  <si>
    <t>Goal 13: Peace, Security and Stability are preserved</t>
  </si>
  <si>
    <t>Maintenance and Restoration of Peace and Security</t>
  </si>
  <si>
    <t xml:space="preserve">Conflict related deaths per 100,000 population </t>
  </si>
  <si>
    <t xml:space="preserve">1. Institutional Structure for AU Instruments on Peace and Security </t>
  </si>
  <si>
    <t xml:space="preserve">Number of armed conflicts </t>
  </si>
  <si>
    <t>Goal 15: A Fully Functional and Operational African Peace and Security Architecture</t>
  </si>
  <si>
    <t>1. Operationalization of APSA Pillars</t>
  </si>
  <si>
    <t>Existence of a national peace council.</t>
  </si>
  <si>
    <t>ASPIRATION 5:   AFRICA WITH A STRONG CULTURAL IDENTITY, COMMON HERITAGE, VALUES AND ETHICS</t>
  </si>
  <si>
    <t>Goal 16: African Cultural Renaissance is pre-eminent</t>
  </si>
  <si>
    <t>1. Values and  Ideals of Pan Africanism</t>
  </si>
  <si>
    <t>Proportion of the content of the curricula on indigenous African culture, values and language in primary and secondary schools</t>
  </si>
  <si>
    <t>ASPIRATION 6. AN AFRICA WHOSE DEVELOPMENT IS PEOPLE DRIVEN, RELYING ON THE POTENTIAL OF THE AFRICAN PEOPLE</t>
  </si>
  <si>
    <t>Goal 17:  Full Gender Equality in All Spheres of Life</t>
  </si>
  <si>
    <t>1. Women Empowerment</t>
  </si>
  <si>
    <t>Proportion of seats held by women in national parliaments, regional and local bodies</t>
  </si>
  <si>
    <t>Goal 18: Engaged and Empowered Youth and Children</t>
  </si>
  <si>
    <t>1. Youth Empowerment and Children’s Rights</t>
  </si>
  <si>
    <t>% of children engaged in  child labour</t>
  </si>
  <si>
    <t>% of children engaged in child marriage</t>
  </si>
  <si>
    <t xml:space="preserve">%  of children who are victims of human trafficking </t>
  </si>
  <si>
    <t xml:space="preserve"> Level of implementation of the provisions of the African Charter on the Rights of the Youth by Member States</t>
  </si>
  <si>
    <t>ASPIRATION 7:   AFRICA AS A STRONG AND INFLUENTIAL GLOBAL PARTNER</t>
  </si>
  <si>
    <t>Goal 19: Africa as a major partner in global affairs and peaceful co-existence</t>
  </si>
  <si>
    <t>1. Africa’s place in global affairs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</si>
  <si>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</si>
  <si>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</si>
  <si>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</si>
  <si>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2. Fiscal system and Public Sector Revenues </t>
  </si>
  <si>
    <t>3. Development Assistance</t>
  </si>
  <si>
    <t>Total ODA as a percentage of the national budget</t>
  </si>
  <si>
    <t>Resources raised through innovative financing mechanisms as a % of national budget</t>
  </si>
  <si>
    <t xml:space="preserve">Indicator Performance (IP) </t>
  </si>
  <si>
    <t>P- Weight</t>
  </si>
  <si>
    <t>Corresponding SDG Indicator</t>
  </si>
  <si>
    <t>T1 - Weight</t>
  </si>
  <si>
    <t>NIL</t>
  </si>
  <si>
    <t>I1 - Weight</t>
  </si>
  <si>
    <t>8.1.1 Annual growth rate of real GDP per capita</t>
  </si>
  <si>
    <t>8.5.2 Unemployment rate, by sex, age group and persons with disabilities</t>
  </si>
  <si>
    <t>10.2.1 Proportion of people living below 50 per cent of median income, by age, sex and persons with disabilities</t>
  </si>
  <si>
    <t>6.1.1 Percentage of population using safely managed drinking water services</t>
  </si>
  <si>
    <t>7.1.1 Proportion of population with access to electricity</t>
  </si>
  <si>
    <t>A63 Indicators</t>
  </si>
  <si>
    <t>Remarks</t>
  </si>
  <si>
    <t>Expected Performance by 2019</t>
  </si>
  <si>
    <t>Performance Rating</t>
  </si>
  <si>
    <t>Priority Area Dashboard</t>
  </si>
  <si>
    <t>Expected Increase / Reduction by 2019</t>
  </si>
  <si>
    <t>1. Communications and Infrastructure Connectivity</t>
  </si>
  <si>
    <t>Baseline</t>
  </si>
  <si>
    <t>Data Sources</t>
  </si>
  <si>
    <t>1.1.1 Increase 2013 per capita income by at least 30%</t>
  </si>
  <si>
    <t>1.1.2 Reduce 2013 unemployment rate by at least  25%</t>
  </si>
  <si>
    <t>1.3.1 Increase access and use of electricity and internet by at least 50% of the 2013 levels</t>
  </si>
  <si>
    <t>2.1.1 Enrolment rate for early childhood education is at least 300% of the 2013 rate</t>
  </si>
  <si>
    <t xml:space="preserve">3.1.1 Increase 2013 levels of access to sexual and reproductive health services to women by at least 30% </t>
  </si>
  <si>
    <t>3.1.3 Reduce the  2013 incidence  of HIV/AIDs, Malaria and TB by at least 80%</t>
  </si>
  <si>
    <t>3.1.4 Access to Anti-Retroviral (ARV) drugs  is 100%</t>
  </si>
  <si>
    <t>4.2.1 Real value of manufacturing in GDP is 50% more than the 2013 level.</t>
  </si>
  <si>
    <t>4.3.1 At least 1% of GDP is allocated to science, technology and innovation research and STI driven entrepreneurship development.</t>
  </si>
  <si>
    <t>5.1.1 Double  agricultural total factor productivity</t>
  </si>
  <si>
    <t>6.1.1 At least 50% increase in value addition in the fishery sector  in real term is attained by 2023</t>
  </si>
  <si>
    <t>6.1.2 Marine bio-technology contribution to GDP is increased in real terms by at least 50% from the 2013 levels</t>
  </si>
  <si>
    <t>7.1.1 At least 30% of agricultural land is placed under sustainable land management practice</t>
  </si>
  <si>
    <t>7.1.2 At least 17%  of terrestrial and inland water and 10%  of coastal and marine areas are preserved</t>
  </si>
  <si>
    <t>8.1.1 Active member of the African Free Trade Area</t>
  </si>
  <si>
    <t>8.1.2 Volume of intra-African trade is at least three times the 2013 level</t>
  </si>
  <si>
    <t>10.1.1 At least national readiness for implementation of the trans African Highway Missing link is achieved</t>
  </si>
  <si>
    <t>10.1.2 At least national readiness for in country connectivity to the African High Speed Rail Network is achieved by 2019</t>
  </si>
  <si>
    <t xml:space="preserve">10.1.3 Skies fully opened to African airlines </t>
  </si>
  <si>
    <t xml:space="preserve">10.1.4 Increase electricity generation and distribution by at least 50% by 2020  </t>
  </si>
  <si>
    <t>10.1.5 Double ICT penetration and contribution to GDP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</si>
  <si>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</si>
  <si>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11.1.1 At least 70% of the people believe that they are empowered and are holding their leaders accountable</t>
  </si>
  <si>
    <t>11.1.2 At least 70% of  the people perceive that the press / information is free and freedom of expression  pertains</t>
  </si>
  <si>
    <t>11.1.3 At least 70% of the public perceive elections are free, fair and transparent</t>
  </si>
  <si>
    <t>11.1.4 African Charter on Democracy is signed, ratified and domesticated by 2020</t>
  </si>
  <si>
    <t>12.1.1 At least 70% of the public acknowledge  the public service to be professional, efficient, responsive, accountable, impartial  and corruption free</t>
  </si>
  <si>
    <t xml:space="preserve">13.1.1 Level of conflict emanating from ethnicity, all forms of exclusion, religious and political differences is at most 50% of 2013 levels. </t>
  </si>
  <si>
    <t>14.1.1 Silence All Guns by 2020</t>
  </si>
  <si>
    <t>15.1.1 National Peace Council is established by 2016</t>
  </si>
  <si>
    <t>16.1.1 At least 60% of content in educational curriculum is on indigenous African culture, values and language targeting primary and secondary schools</t>
  </si>
  <si>
    <t>2. Violence &amp; Discrimination
against Women and Girls</t>
  </si>
  <si>
    <t>Proportion of women and girls subjected to sexual and physical violence</t>
  </si>
  <si>
    <t>Proportion of children whose births are registered in the first year</t>
  </si>
  <si>
    <t>17.2.1 Reduce 2013 levels of violence against women and Girls by at least 20%</t>
  </si>
  <si>
    <t>17.2.2 Reduce by 50% all harmful social norms and customary practices against women and girls and those that promote violence and discrimination against women and girls</t>
  </si>
  <si>
    <t>17.2.3 Eliminate all barriers to quality education, health and social services for Women and Girls by 2020</t>
  </si>
  <si>
    <t>Number of New HIV infections per 1000 population</t>
  </si>
  <si>
    <t>TB incedence per 1000 persons per year</t>
  </si>
  <si>
    <t>Malaria incidence per 1000 per year</t>
  </si>
  <si>
    <t>Calculating expected values for  2% annual decrease</t>
  </si>
  <si>
    <t xml:space="preserve">2.1.2 Enrolment rate for basic education is 100% </t>
  </si>
  <si>
    <t>2.1.3 Increase the number of qualified teachers by at least 30% with focus on STEM</t>
  </si>
  <si>
    <t xml:space="preserve">2.1.4 Universal secondary school (including technical high schools) with enrolment rate of 100% </t>
  </si>
  <si>
    <t xml:space="preserve">Proportion of teachers qualified in Science or Technology or Engineering or Mathematics by Sex and Level (Primary and Secondary)  </t>
  </si>
  <si>
    <t>Secondary school net enrolment rate by Sex</t>
  </si>
  <si>
    <t>5.1.2 At least 10% of small-scale farmers graduate into small-scale commercial farming and those graduating at least 30% should be women.</t>
  </si>
  <si>
    <t>3.1.2 Reduce 2013 maternal mortality rates by at least 50%</t>
  </si>
  <si>
    <t xml:space="preserve">18.1.1 Reduce 2013 rate of youth unemployment by at least 25%; in particular female youth </t>
  </si>
  <si>
    <t>18.1.2 End all forms of violence, child labour exploitation, child marriage and human trafficking</t>
  </si>
  <si>
    <t>18.1.3 Full implementation of the provision of African Charter on the Rights of the Youth is attained</t>
  </si>
  <si>
    <t>17.8.1 Proportion of individuals using the Internet</t>
  </si>
  <si>
    <t>4.2.2 Participation rate in organized learning (one year before the official primary entry age), by sex</t>
  </si>
  <si>
    <t>4.1.1 Proportion of children: (b) at the end of primary; and achieving at least a minimum proficiency level in (i) reading and (ii) mathematics, by sex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</si>
  <si>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</si>
  <si>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>3.7.1 Proportion of women of reproductive age (aged 15–49 years) who have their need for family planning satisfied with modern methods</t>
  </si>
  <si>
    <t>3.1.1 Maternal mortality ratio</t>
  </si>
  <si>
    <t>3.2.2 Neonatal mortality rate</t>
  </si>
  <si>
    <t>3.2.1 Under‑5 mortality rate</t>
  </si>
  <si>
    <t>3.3.1 Number of new HIV infections per 1,000 uninfected population, by sex, age and key populations</t>
  </si>
  <si>
    <t>3.3.2 Tuberculosis incidence per 100,000 population</t>
  </si>
  <si>
    <t>3.3.3 Malaria incidence per 1,000 population</t>
  </si>
  <si>
    <t>9.2.1 Manufacturing value added as a proportion of GDP and per capita</t>
  </si>
  <si>
    <t>9.5.1 Research and development expenditure as a proportion of GDP</t>
  </si>
  <si>
    <t>8.9.1 Tourism direct GDP as a proportion of total GDP and in growth rate</t>
  </si>
  <si>
    <t>2.3.1 Volume of production per labour unit by classes of farming/pastoral/forestry enterprise size</t>
  </si>
  <si>
    <t>14.7.1 Sustainable fisheries as a proportion of GDP in small island developing States, least developed countries and all countries</t>
  </si>
  <si>
    <t>2.4.1 Proportion of agricultural area under productive and sustainable agriculture</t>
  </si>
  <si>
    <t>15.1.2 Proportion of important sites for terrestrial and freshwater biodiversity that are covered by protected areas, by ecosystem type</t>
  </si>
  <si>
    <t>5.b.1 Proportion of individuals who own a mobile telephone, by sex</t>
  </si>
  <si>
    <t>16.7.2 Proportion of population who believe decision-making is inclusive and responsive, by sex, age, disability and population group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</si>
  <si>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</si>
  <si>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16.1.2 Conflict-related deaths per 100,000 population, by sex, age and cause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</si>
  <si>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</si>
  <si>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5.3.2 Proportion of girls and women aged 15–49 years who have undergone female genital mutilation/cutting, by age</t>
  </si>
  <si>
    <t>8.5.2 Unemployment rate, by sex, age and persons with disabilities</t>
  </si>
  <si>
    <t>8.7.1 Proportion and number of children aged 5–17 years engaged in child labour, by sex and age</t>
  </si>
  <si>
    <t>5.3.1 Proportion of women aged 20–24 years who were married or in a union before age 15 and before age 18</t>
  </si>
  <si>
    <t>16.2.2 Number of victims of human trafficking per 100,000 population, by sex, age and form of exploitation</t>
  </si>
  <si>
    <t>17.18.2 Number of countries that have national statistical legislation that complies with the Fundamental Principles of Official Statistics</t>
  </si>
  <si>
    <t>17.18.3 Number of countries with a national statistical plan that is fully funded and under implementation, by source of funding</t>
  </si>
  <si>
    <t>17.1.2 Proportion of domestic budget funded by domestic taxes</t>
  </si>
  <si>
    <t>17.3.1 Foreign direct investment (FDI), official development assistance and South-South cooperation as a proportion of total domestic budget</t>
  </si>
  <si>
    <t>Total</t>
  </si>
  <si>
    <t>Member State</t>
  </si>
  <si>
    <t>Member States</t>
  </si>
  <si>
    <t>Algeria</t>
  </si>
  <si>
    <t>Burkina Faso</t>
  </si>
  <si>
    <t>Cameroon</t>
  </si>
  <si>
    <t>Central Africa Republic</t>
  </si>
  <si>
    <t>Chad</t>
  </si>
  <si>
    <t>Congo (Republic of the)</t>
  </si>
  <si>
    <t>Cote D'Ivoire</t>
  </si>
  <si>
    <t>Eswatini</t>
  </si>
  <si>
    <t>Ghana</t>
  </si>
  <si>
    <t>Lesotho</t>
  </si>
  <si>
    <t>Mauritania</t>
  </si>
  <si>
    <t>Mauritius</t>
  </si>
  <si>
    <t>Rwanda</t>
  </si>
  <si>
    <t>Sierra Leone</t>
  </si>
  <si>
    <t>South Africa</t>
  </si>
  <si>
    <t>Tunisia</t>
  </si>
  <si>
    <t>Egypt</t>
  </si>
  <si>
    <t>19.1.1 National statistical system fully functional</t>
  </si>
  <si>
    <t xml:space="preserve">20.1.1 National capital market finances  at least 10% of development expenditure </t>
  </si>
  <si>
    <t>20.1.2 Tax and non-tax revenue of all levels of government should cover at least 75% of current and development expenditure</t>
  </si>
  <si>
    <t>20.1.3 Proportion of aid in the national budget is at most  25% of 2013 level</t>
  </si>
  <si>
    <t>Current Indicator Value</t>
  </si>
  <si>
    <t>Base value (2013)</t>
  </si>
  <si>
    <t>b) % of households using electricity</t>
  </si>
  <si>
    <t>a)% of households with access to electricity</t>
  </si>
  <si>
    <t>% of children of pre-school age attending pre school</t>
  </si>
  <si>
    <t>% of eligible population with HIV having access to Anti-Retroviral Treatment</t>
  </si>
  <si>
    <t>Agricultural total factor productivity</t>
  </si>
  <si>
    <t xml:space="preserve">% of small-scale farmers graduating into small-scale commercial farming by Sex </t>
  </si>
  <si>
    <t>1. Financial and Monetary Institutions</t>
  </si>
  <si>
    <t>Angola</t>
  </si>
  <si>
    <t>Benin</t>
  </si>
  <si>
    <t>Botswana</t>
  </si>
  <si>
    <t>Burundi</t>
  </si>
  <si>
    <t>Cabo Verde</t>
  </si>
  <si>
    <t>Comoros</t>
  </si>
  <si>
    <t>Democratic Republic of Congo</t>
  </si>
  <si>
    <t>Djibouti</t>
  </si>
  <si>
    <t>Equatorial Guinea</t>
  </si>
  <si>
    <t>Ethiopia</t>
  </si>
  <si>
    <t>Gabon</t>
  </si>
  <si>
    <t>Gambia</t>
  </si>
  <si>
    <t>Guinea</t>
  </si>
  <si>
    <t>Guinea Bissau</t>
  </si>
  <si>
    <t>Kenya</t>
  </si>
  <si>
    <t>Liberia</t>
  </si>
  <si>
    <t>Libya</t>
  </si>
  <si>
    <t>Madagascar</t>
  </si>
  <si>
    <t>Malawi</t>
  </si>
  <si>
    <t>Mali</t>
  </si>
  <si>
    <t>Morocco</t>
  </si>
  <si>
    <t>Mozambique</t>
  </si>
  <si>
    <t>Namibia</t>
  </si>
  <si>
    <t>Niger</t>
  </si>
  <si>
    <t>Nigeria</t>
  </si>
  <si>
    <t>Sao Tome and Principe</t>
  </si>
  <si>
    <t>Senegal</t>
  </si>
  <si>
    <t>Seychelles</t>
  </si>
  <si>
    <t>Somalia</t>
  </si>
  <si>
    <t>South Sudan</t>
  </si>
  <si>
    <t>Sudan</t>
  </si>
  <si>
    <t>Togo</t>
  </si>
  <si>
    <t>Uganda</t>
  </si>
  <si>
    <t>Tanzania</t>
  </si>
  <si>
    <t>Zambia</t>
  </si>
  <si>
    <t>Zimbabwe</t>
  </si>
  <si>
    <t>Eritrea</t>
  </si>
  <si>
    <t>Sahrawi Arab Democratic Republic</t>
  </si>
  <si>
    <t>Net enrolment rate by sex  and age in primary school</t>
  </si>
  <si>
    <t>Existence of a Continental Free Trade Area  that is ratified by all Member States</t>
  </si>
  <si>
    <t>17.1.1 Equal economic rights for women, including the rights to own and inherit property, sign a contract, save, register and manage a business and own and operate a bank account by 2026</t>
  </si>
  <si>
    <t>17.1.2 At least 30% of all elected officials at local, regional and national levels are Women as well as in judicial institutions</t>
  </si>
  <si>
    <t>Adoption of statistical legislation that complies with fundamental principles of official statistics</t>
  </si>
  <si>
    <t>Proportion of national budget for the implementation of functional statistical system</t>
  </si>
  <si>
    <t>Total tax revenue as a % of GDP</t>
  </si>
  <si>
    <t>9.1.1 Fast Track realization of the Continental Free Trade Area</t>
  </si>
  <si>
    <t>1.2.1 Reduce stunting in children to 10% and underweight to 5%.</t>
  </si>
  <si>
    <t>1.2.2 Reduce 2013 level of proportion of the population without access to safe drinking water by 95%.</t>
  </si>
  <si>
    <t>4.4.1 Contribution of tourism to GDP in real terms is increased by at least 100%.</t>
  </si>
  <si>
    <t xml:space="preserve">% of people who perceive that there is freedom of the press. </t>
  </si>
  <si>
    <r>
      <t>Goal 14:  A Stable and Peaceful Africa</t>
    </r>
    <r>
      <rPr>
        <sz val="9"/>
        <rFont val="Arial"/>
        <family val="2"/>
      </rPr>
      <t xml:space="preserve"> </t>
    </r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</si>
  <si>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</si>
  <si>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</si>
  <si>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% of women aged 15-49 who have access to sexual and reproductive health service in the last 12 months</t>
  </si>
  <si>
    <t>Unemployment rate by age group, by sex</t>
  </si>
  <si>
    <t xml:space="preserve">5.5.1 Proportion of seats held by women in: (a) National Parliements  and (b) Local Governments </t>
  </si>
  <si>
    <t>Proportion of girls and women aged 15-49 years who have undergone female genital mutilation/ cutting by age</t>
  </si>
  <si>
    <t>16.9.1 Proportion of children under 5 years of age whose births have been registered with a civil authority, by age</t>
  </si>
  <si>
    <t>Unemployment rate of youth, by sex</t>
  </si>
  <si>
    <t>Agenda 2063 First Ten Year Implementation Plan (FTYIP) Progress Reporting Template</t>
  </si>
  <si>
    <t>4.1.1 Annual GDP growth rate of  at least 7%</t>
  </si>
  <si>
    <t>Real GDP</t>
  </si>
  <si>
    <t xml:space="preserve">No. of Non-tariff barriers (NTBs) eliminated </t>
  </si>
  <si>
    <t>Change in value of intra-African trade per annum (in US $)</t>
  </si>
  <si>
    <t xml:space="preserve">Proportion of public sector budget funded by national capital markets </t>
  </si>
  <si>
    <t>Overall Rating</t>
  </si>
  <si>
    <t>ENV 2019</t>
  </si>
  <si>
    <t>EDS-MICS 2015</t>
  </si>
  <si>
    <t>ECOSIT 3  2011</t>
  </si>
  <si>
    <t>EDS-MICS 2015/ ministère de l'eau et l'environnement</t>
  </si>
  <si>
    <t>EDS-MICS 2015/ rapport de suivi 2018 du PND 2017-2021</t>
  </si>
  <si>
    <t>Union intern de telecom 2016</t>
  </si>
  <si>
    <t>Pour le moment, cette donnée n'est pas produite au niveau INSEED</t>
  </si>
  <si>
    <t>ECOSIT 3 2011</t>
  </si>
  <si>
    <t>rapport UNESCO 2014</t>
  </si>
  <si>
    <t>valeur de base PIET 2017</t>
  </si>
  <si>
    <t>valeur actuelle PIET 2019</t>
  </si>
  <si>
    <t>EDS MICS2015</t>
  </si>
  <si>
    <t>Annuaire statistique de santé</t>
  </si>
  <si>
    <t>comptes nationaux  2016</t>
  </si>
  <si>
    <t>base de données UNIDO 2015</t>
  </si>
  <si>
    <t>valeur de reference 2013</t>
  </si>
  <si>
    <t>données OCDE 2016</t>
  </si>
  <si>
    <t>données non disponibles</t>
  </si>
  <si>
    <t>EDSMICS 2015</t>
  </si>
  <si>
    <t>Ministère Chargé du Contrôle Général d’État et de la Moralisation 2009</t>
  </si>
  <si>
    <t>EDS MICS 2015</t>
  </si>
  <si>
    <t>UNICEF TCHAD 2019</t>
  </si>
  <si>
    <t>la Loi n°013/PR/99 du 15 Juin 1999 portant Réglementation des Activités Statistiques au Tchad</t>
  </si>
  <si>
    <t>This looks like even baseline is 100%</t>
  </si>
  <si>
    <t>Dti</t>
  </si>
  <si>
    <t>Agenda 2063 First Ten Year Implementation Plan (FTYIP) Progress Report</t>
  </si>
  <si>
    <t>A63 Targets</t>
  </si>
  <si>
    <t xml:space="preserve">Dashbaord </t>
  </si>
  <si>
    <t>Completed using AU treatie data , no MS information on domestication</t>
  </si>
  <si>
    <t>Aspiration</t>
  </si>
  <si>
    <t>Achievement</t>
  </si>
  <si>
    <t>Goal</t>
  </si>
  <si>
    <t>Asipiration 1</t>
  </si>
  <si>
    <t>Asipiration 2</t>
  </si>
  <si>
    <t>Asipiration 3</t>
  </si>
  <si>
    <t>Asipiration 4</t>
  </si>
  <si>
    <t>Asipiration 5</t>
  </si>
  <si>
    <t>Asipiration 6</t>
  </si>
  <si>
    <t>Asipiration 7</t>
  </si>
  <si>
    <t>Goal 1</t>
  </si>
  <si>
    <t>Goal 2</t>
  </si>
  <si>
    <t>Goal 3</t>
  </si>
  <si>
    <t>Goal 4</t>
  </si>
  <si>
    <t>Goal 5</t>
  </si>
  <si>
    <t>Goal 6</t>
  </si>
  <si>
    <t>Goal 7</t>
  </si>
  <si>
    <t>Goal 8</t>
  </si>
  <si>
    <t>Goal 9</t>
  </si>
  <si>
    <t>Goal 10</t>
  </si>
  <si>
    <t>Goal 11</t>
  </si>
  <si>
    <t>Goal 12</t>
  </si>
  <si>
    <t>Goal 13</t>
  </si>
  <si>
    <t>Goal 14</t>
  </si>
  <si>
    <t>Goal 15</t>
  </si>
  <si>
    <t>Goal 16</t>
  </si>
  <si>
    <t>Goal 17</t>
  </si>
  <si>
    <t>Goal 18</t>
  </si>
  <si>
    <t>Decription</t>
  </si>
  <si>
    <t>Level of Result</t>
  </si>
  <si>
    <t>Goal/Aspriration</t>
  </si>
  <si>
    <t>Row Labels</t>
  </si>
  <si>
    <t>Indicator Performance</t>
  </si>
  <si>
    <t>Aspiration 1:  A PROSPEROUS AFRICA BASED ON INCLUSIVE GROWTH AND SUSTAINABLE DEVELOPMENT</t>
  </si>
  <si>
    <t xml:space="preserve"> Aspiration 2:  AN INTEGRATED CONTINENT, POLITICALLY UNITED AND BASED ON THE IDEALS OF PAN-AFRICANISM AND A VISION OF AFRICAN RENAISSANCE</t>
  </si>
  <si>
    <t>Aspiration 3: AN AFRICA OF GOOD GOVERNANCE, DEMOCRACY, RESPECT FOR HUMAN RIGHTS, JUSTICE AND THE RULE OF LAW</t>
  </si>
  <si>
    <t xml:space="preserve"> Goal 12: Capable institutions and transformed leadership in place at all levels</t>
  </si>
  <si>
    <t xml:space="preserve"> Apriration 4.  A PEACEFUL AND SECURE AFRICA</t>
  </si>
  <si>
    <t xml:space="preserve">Goal 14:  A Stable and Peaceful Africa </t>
  </si>
  <si>
    <t>Aspiration 5:   AFRICA WITH A STRONG CULTURAL IDENTITY, COMMON HERITAGE, VALUES AND ETHICS</t>
  </si>
  <si>
    <t xml:space="preserve"> Goal 16: African Cultural Renaissance is pre-eminent</t>
  </si>
  <si>
    <t>Aspiration 6. AN AFRICA WHOSE DEVELOPMENT IS PEOPLE DRIVEN, RELYING ON THE POTENTIAL OF THE AFRICAN PEOPLE</t>
  </si>
  <si>
    <t xml:space="preserve"> Aspitation 7:   AFRICA AS A STRONG AND INFLUENTIAL GLOBAL PARTNER</t>
  </si>
  <si>
    <t xml:space="preserve"> Goal 20: Africa takes full responsibility for financing her development</t>
  </si>
  <si>
    <t>Apriration 1:  A properous Africa based on inclusive growth and sustainable development</t>
  </si>
  <si>
    <t xml:space="preserve"> Aspiration 2:  An integrated continent, politically united and based on the ideals of Pan - Africanism and a Vision of the African Renaissance</t>
  </si>
  <si>
    <t>Aspiration 3: An African of good governance, democracy, respect for human rigjhts and the rule of law</t>
  </si>
  <si>
    <t xml:space="preserve"> Aspiration 4. A peaceful and secure Africa</t>
  </si>
  <si>
    <t>Aspiration 5: African with a strong cultural identity, common heritage, value and beliefs</t>
  </si>
  <si>
    <t>Aspiration 6 An Africa whose development of people driven, relying on the potential of the African People</t>
  </si>
  <si>
    <t xml:space="preserve"> Aspiration 7: Africa as a strong and influential global partner</t>
  </si>
  <si>
    <t>Ministère de l'Economie, du Plan et de la Coopération/Direction Générale de l'EConomie et de l apNannificatio du Déveoppement ( MEPC/DGEPD), Rapport National Volontaire sur les ODD 2019 RCA</t>
  </si>
  <si>
    <t>ICASSEES</t>
  </si>
  <si>
    <t>Rapports enquêtes SMART 2014-2018</t>
  </si>
  <si>
    <t>Rapport MICS 4 2010/ Rapport VNR ODD</t>
  </si>
  <si>
    <t>Enquête MICS 6 en cours</t>
  </si>
  <si>
    <t>Rapport MICS 4 2010</t>
  </si>
  <si>
    <t>No Data provided for this indicator</t>
  </si>
  <si>
    <t xml:space="preserve"> Rapport National Volontaire VNR ODD RCA 2019</t>
  </si>
  <si>
    <t>Ministère du Transport</t>
  </si>
  <si>
    <t xml:space="preserve">Direction Générale de l'Energie Centtafricaine </t>
  </si>
  <si>
    <t>Autorité de Régulation de Communication Electronique et de la Poste (ARCEP)</t>
  </si>
  <si>
    <t>Instructions officielles et Curricula du fondamental, Avril 2016</t>
  </si>
  <si>
    <t>La politique Nationale de promotion de l'égalité et de l'équité 2019/ MISC 2012</t>
  </si>
  <si>
    <t xml:space="preserve">Rapport VNR ODD 5, </t>
  </si>
  <si>
    <t>Disponibilité données 2016-2018</t>
  </si>
  <si>
    <t>L’étude réalisée en 2015 par la Mission de l’Union Africaine pour la Centrafrique et l’Afrique Centrale (MISAD)</t>
  </si>
  <si>
    <t>Données 2015 et 2016</t>
  </si>
  <si>
    <t xml:space="preserve">MISC 2010/Rapport UNFPA, 2019 </t>
  </si>
  <si>
    <t>Données 2016 et 2018</t>
  </si>
  <si>
    <t>deux organes, tout d'abord le Conseil National de la Statistique et l'ICASEES</t>
  </si>
  <si>
    <t>No data provided. Indicator pefrormance to be set to 0% if data is not provided</t>
  </si>
  <si>
    <t>Overall Performance Rating/Score</t>
  </si>
  <si>
    <t xml:space="preserve">Priority Area Scores </t>
  </si>
  <si>
    <t>Indexed Priority Area Dashboard</t>
  </si>
  <si>
    <t>No data provided for this indicator, the performance rating for this indicators will be set to zero if data is not provided.</t>
  </si>
  <si>
    <t>La base actuelle date de 2015 (Indicate under remarks that you are using the annual gorwth rate of real GDP per Capita</t>
  </si>
  <si>
    <t>La base actuelle date de 2015 L enquête est en cours,   
The Indicator does not have a current value which distorts the performance, If the the current data is not provided, the indicator will be performance rating will be adjusted to 0%.</t>
  </si>
  <si>
    <t>la base actuelle date de 2011, ECOSIT 4 sera disponible en decembre 2019.
The Indicator does not have a current value which distorts the performance, If the the current data is not provided, the indicator performance rating will be adjusted to 0%.</t>
  </si>
  <si>
    <t xml:space="preserve">Les donnees actuelles date de 2015. </t>
  </si>
  <si>
    <t xml:space="preserve">L'ENQUÊTE EN COURS. Data provided needs validation and leads to a high performance rating of 46,458% which distorts the performance for the priority area, goal and aspiration. </t>
  </si>
  <si>
    <t xml:space="preserve">le rapport ECOSIT 4 sera disponible en decembre 2019,
The Indicator does not have a current value which distorts the performance, If the the current data is not provided, the indicator performance rating will be adjusted to 0%.
</t>
  </si>
  <si>
    <t xml:space="preserve">à completer avec les données de l'annuaire 2017.
The Indicator does not have a current value which distorts the performance, If the the current data is not provided, the indicator performance rating will be adjusted to 0%.
</t>
  </si>
  <si>
    <t>Enquête en cours. The Indicator does not have a current value which distorts the performance, If the the current data is not provided, the indicator performance rating will be adjusted to 0%.</t>
  </si>
  <si>
    <t>valeur de reference 2016.
 The Indicator does not have a current value which distorts the performance, If the the current data is not provided, the indicator performance rating will be adjusted to 0%.</t>
  </si>
  <si>
    <t xml:space="preserve"> The Indicator does not have a current value which distorts the performance, If the the current data is not provided, the indicator performance rating will be adjusted to 0%.</t>
  </si>
  <si>
    <t>indicateur non applicable. This is not just about having a coast but also lakes and rivers. Please confirm if it does not apply to Chad.</t>
  </si>
  <si>
    <t xml:space="preserve"> The Indicator does not have a current value. If the the current data is not provided, the indicator performance rating will be maintained at  0%.</t>
  </si>
  <si>
    <t>Need to provide the total number of NTBs reported and those resolved under remarks. Then we can calculate the ratio. Please verify the data provided</t>
  </si>
  <si>
    <t>No data provided for this indicator, the performance rating for this indicators will be maintained at 0% if data is not provided.</t>
  </si>
  <si>
    <t>Updated based on the AU Web-Portal on AfCFTA</t>
  </si>
  <si>
    <t>Kindly provide evidence of the domestication of the Charter on Democracy under remarks to maintain the score</t>
  </si>
  <si>
    <t xml:space="preserve"> The Indicator does not have a current value which distorts the performance, If the the current data is not provided, the indicator performance rating will be mainated at 0%.</t>
  </si>
  <si>
    <t>No data provided for this indicator, the performance rating for this indicator will be set to zero if data is not provided.</t>
  </si>
  <si>
    <t>No data provided. Indicator pefrormance to be set to 0% if data is not provided. MS to also provide evidence of domestication if data provided.</t>
  </si>
  <si>
    <t>The Indicator does not have a baseline value. IF the baseline value  is not provided, the indicator performance rating will be maintained at 0%.</t>
  </si>
  <si>
    <t xml:space="preserve">Rapport national sur le developpement 2017,  PNUD </t>
  </si>
  <si>
    <t>annuaires statatistique de l'Education 2018</t>
  </si>
  <si>
    <t>Les donénes de l'"année de base ne sont pas disponibles</t>
  </si>
  <si>
    <t>ICASEES ET DGPED</t>
  </si>
  <si>
    <t xml:space="preserve">Enqête SMART 2018, Ministère de la Santé Publique et de la Population </t>
  </si>
  <si>
    <t>MICS 2010</t>
  </si>
  <si>
    <t xml:space="preserve">Ministère de la Santé et de la Population , Données de programmes </t>
  </si>
  <si>
    <t>ICASEES. Compte national</t>
  </si>
  <si>
    <t>Indicateur actuel, données de 2018</t>
  </si>
  <si>
    <t xml:space="preserve">Projet de Loi de ratification de la zone de libre No data provided. Indicator pefrormance to be set to 0% if data is not providedéchange à l'Assemblée Nationale pour adoption. </t>
  </si>
  <si>
    <t>Voir Makada du Commerce exterieur (ICASEES)
No data provided. Indicator pefrormance to be set to 0% if data is not provided</t>
  </si>
  <si>
    <t>Projet de Loi de ratification de la zone de libre échange à l'Assemblée Nationale pour ratification</t>
  </si>
  <si>
    <t>Please verify the informantion reported. The number reduced from 6 to 5 when its supposed to be cummulative and which protocols are these are when were they signed.</t>
  </si>
  <si>
    <t>Données non disponibles</t>
  </si>
  <si>
    <t>Rapport National VNR ODD RCA  2019</t>
  </si>
  <si>
    <t>Existence des Comités locaux de Paix et de reconciliation (12)</t>
  </si>
  <si>
    <t>Instructions de depuis 2009 à ce jour, Ministère de l'education nationale . Verify the data provided . the performance rating for this indicator will be set to zero if data is not provided.</t>
  </si>
  <si>
    <t>Analyse Nationale participative des besoins et aspirations des adolescents et des Jeunes de 10 à 35 ans dans les domaines de la Santé , de l'Education de la Paix, ………février 2017. Politique Nationale de l'Emploi 2017</t>
  </si>
  <si>
    <t>Données de 2017</t>
  </si>
  <si>
    <t>MISC 2010</t>
  </si>
  <si>
    <t>Données de base 2010, pas de donénes pour la velur actuelle&gt;
The Indicator does not have a current value which distorts the performance, If the the current data is not provided, the indicator performance rating will be adjusted to 0%.</t>
  </si>
  <si>
    <t>Child Marriage in West and Central Africa, mai 2019 ; MISC 2010</t>
  </si>
  <si>
    <t>Valeur de base 2010</t>
  </si>
  <si>
    <t>CAR signed the charter in 2008 and has not ratified. The country did not provide any updates on the domentsication</t>
  </si>
  <si>
    <t>This templetes works with percentages  and data changes from 1 to 100%</t>
  </si>
  <si>
    <t>This templetes works with percentages  and data changes from 2 to 100%</t>
  </si>
  <si>
    <t>Goal 19</t>
  </si>
  <si>
    <t>Goal 20</t>
  </si>
  <si>
    <t>Central Africa Dashboard</t>
  </si>
  <si>
    <t>Overall Performance 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</si>
</sst>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0.0"/>
    <numFmt numFmtId="166" formatCode="#,##0.0"/>
    <numFmt numFmtId="167" formatCode="#,##0.000"/>
    <numFmt numFmtId="168" formatCode="_ * #,##0.0_ ;_ * \-#,##0.0_ ;_ * &quot;-&quot;??_ ;_ @_ 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1F3864"/>
      <name val="Arial"/>
      <family val="2"/>
    </font>
    <font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name val="Arial"/>
      <family val="2"/>
    </font>
    <font>
      <b/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20"/>
      <color theme="0"/>
      <name val="Arial Black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rgb="FF1F3864"/>
      <name val="Arial"/>
      <family val="2"/>
    </font>
    <font>
      <sz val="8"/>
      <color rgb="FF1F3864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u/>
      <sz val="8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u/>
      <sz val="9"/>
      <color theme="10"/>
      <name val="Calibri"/>
      <family val="2"/>
      <scheme val="minor"/>
    </font>
    <font>
      <b/>
      <sz val="16"/>
      <color theme="1"/>
      <name val="Arial"/>
      <family val="2"/>
    </font>
    <font>
      <b/>
      <sz val="9"/>
      <color rgb="FFFF0000"/>
      <name val="Arial"/>
      <family val="2"/>
    </font>
    <font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 tint="-4.9989318521683403E-2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rgb="FF1F3864"/>
      <name val="Arial"/>
      <family val="2"/>
    </font>
    <font>
      <b/>
      <sz val="12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FB4B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FF99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309">
    <xf numFmtId="0" fontId="0" fillId="0" borderId="0" xfId="0"/>
    <xf numFmtId="0" fontId="0" fillId="24" borderId="0" xfId="0" applyFill="1" applyProtection="1">
      <protection locked="0"/>
    </xf>
    <xf numFmtId="0" fontId="20" fillId="24" borderId="42" xfId="0" applyFont="1" applyFill="1" applyBorder="1" applyProtection="1">
      <protection locked="0"/>
    </xf>
    <xf numFmtId="0" fontId="20" fillId="24" borderId="44" xfId="0" applyFont="1" applyFill="1" applyBorder="1" applyProtection="1">
      <protection locked="0"/>
    </xf>
    <xf numFmtId="0" fontId="20" fillId="24" borderId="45" xfId="0" applyFont="1" applyFill="1" applyBorder="1" applyProtection="1">
      <protection locked="0"/>
    </xf>
    <xf numFmtId="0" fontId="0" fillId="0" borderId="0" xfId="0" applyProtection="1">
      <protection locked="0"/>
    </xf>
    <xf numFmtId="0" fontId="20" fillId="24" borderId="9" xfId="0" applyFont="1" applyFill="1" applyBorder="1" applyProtection="1">
      <protection locked="0"/>
    </xf>
    <xf numFmtId="0" fontId="17" fillId="24" borderId="9" xfId="0" applyFont="1" applyFill="1" applyBorder="1" applyProtection="1">
      <protection locked="0"/>
    </xf>
    <xf numFmtId="0" fontId="18" fillId="12" borderId="1" xfId="0" applyFont="1" applyFill="1" applyBorder="1" applyAlignment="1" applyProtection="1">
      <alignment horizontal="center" vertical="center"/>
      <protection locked="0"/>
    </xf>
    <xf numFmtId="0" fontId="17" fillId="24" borderId="6" xfId="0" applyFont="1" applyFill="1" applyBorder="1" applyProtection="1">
      <protection locked="0"/>
    </xf>
    <xf numFmtId="0" fontId="17" fillId="24" borderId="7" xfId="0" applyFont="1" applyFill="1" applyBorder="1" applyProtection="1">
      <protection locked="0"/>
    </xf>
    <xf numFmtId="0" fontId="0" fillId="2" borderId="3" xfId="0" applyFill="1" applyBorder="1" applyAlignment="1" applyProtection="1">
      <alignment vertical="center" wrapText="1"/>
      <protection locked="0"/>
    </xf>
    <xf numFmtId="0" fontId="0" fillId="9" borderId="3" xfId="0" applyFill="1" applyBorder="1" applyProtection="1">
      <protection locked="0"/>
    </xf>
    <xf numFmtId="0" fontId="0" fillId="9" borderId="1" xfId="0" applyFill="1" applyBorder="1" applyProtection="1">
      <protection locked="0"/>
    </xf>
    <xf numFmtId="0" fontId="8" fillId="0" borderId="0" xfId="0" applyFont="1" applyProtection="1">
      <protection locked="0"/>
    </xf>
    <xf numFmtId="0" fontId="0" fillId="11" borderId="5" xfId="0" applyFill="1" applyBorder="1" applyProtection="1">
      <protection locked="0"/>
    </xf>
    <xf numFmtId="0" fontId="0" fillId="11" borderId="8" xfId="0" applyFill="1" applyBorder="1" applyProtection="1">
      <protection locked="0"/>
    </xf>
    <xf numFmtId="0" fontId="0" fillId="11" borderId="10" xfId="0" applyFill="1" applyBorder="1" applyProtection="1">
      <protection locked="0"/>
    </xf>
    <xf numFmtId="0" fontId="0" fillId="11" borderId="1" xfId="0" applyFill="1" applyBorder="1" applyProtection="1">
      <protection locked="0"/>
    </xf>
    <xf numFmtId="0" fontId="0" fillId="11" borderId="42" xfId="0" applyFill="1" applyBorder="1" applyProtection="1">
      <protection locked="0"/>
    </xf>
    <xf numFmtId="0" fontId="0" fillId="0" borderId="5" xfId="0" applyBorder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15" fillId="0" borderId="1" xfId="0" applyFont="1" applyBorder="1" applyProtection="1">
      <protection locked="0"/>
    </xf>
    <xf numFmtId="0" fontId="16" fillId="11" borderId="10" xfId="0" applyFont="1" applyFill="1" applyBorder="1" applyProtection="1">
      <protection locked="0"/>
    </xf>
    <xf numFmtId="0" fontId="0" fillId="14" borderId="3" xfId="0" applyFill="1" applyBorder="1" applyProtection="1">
      <protection locked="0"/>
    </xf>
    <xf numFmtId="0" fontId="0" fillId="14" borderId="4" xfId="0" applyFill="1" applyBorder="1" applyProtection="1">
      <protection locked="0"/>
    </xf>
    <xf numFmtId="0" fontId="11" fillId="0" borderId="0" xfId="0" applyFont="1" applyProtection="1">
      <protection locked="0"/>
    </xf>
    <xf numFmtId="0" fontId="9" fillId="0" borderId="0" xfId="3" applyProtection="1">
      <protection locked="0"/>
    </xf>
    <xf numFmtId="0" fontId="0" fillId="0" borderId="0" xfId="0" applyProtection="1"/>
    <xf numFmtId="0" fontId="2" fillId="5" borderId="15" xfId="0" applyFont="1" applyFill="1" applyBorder="1" applyProtection="1"/>
    <xf numFmtId="2" fontId="2" fillId="5" borderId="11" xfId="0" applyNumberFormat="1" applyFont="1" applyFill="1" applyBorder="1" applyProtection="1"/>
    <xf numFmtId="0" fontId="0" fillId="5" borderId="11" xfId="0" applyFill="1" applyBorder="1" applyProtection="1"/>
    <xf numFmtId="0" fontId="0" fillId="5" borderId="20" xfId="0" applyFill="1" applyBorder="1" applyProtection="1"/>
    <xf numFmtId="0" fontId="13" fillId="5" borderId="15" xfId="0" applyFont="1" applyFill="1" applyBorder="1" applyAlignment="1" applyProtection="1">
      <alignment vertical="center"/>
    </xf>
    <xf numFmtId="2" fontId="14" fillId="5" borderId="11" xfId="0" applyNumberFormat="1" applyFont="1" applyFill="1" applyBorder="1" applyAlignment="1" applyProtection="1">
      <alignment horizontal="center" vertical="center"/>
    </xf>
    <xf numFmtId="9" fontId="0" fillId="5" borderId="11" xfId="1" applyFont="1" applyFill="1" applyBorder="1" applyProtection="1"/>
    <xf numFmtId="0" fontId="13" fillId="5" borderId="21" xfId="0" applyFont="1" applyFill="1" applyBorder="1" applyAlignment="1" applyProtection="1">
      <alignment vertical="center"/>
    </xf>
    <xf numFmtId="2" fontId="14" fillId="5" borderId="22" xfId="0" applyNumberFormat="1" applyFont="1" applyFill="1" applyBorder="1" applyAlignment="1" applyProtection="1">
      <alignment horizontal="center" vertical="center"/>
    </xf>
    <xf numFmtId="2" fontId="0" fillId="5" borderId="22" xfId="0" applyNumberFormat="1" applyFill="1" applyBorder="1" applyProtection="1"/>
    <xf numFmtId="0" fontId="0" fillId="5" borderId="23" xfId="0" applyFill="1" applyBorder="1" applyProtection="1"/>
    <xf numFmtId="0" fontId="3" fillId="3" borderId="0" xfId="0" applyFont="1" applyFill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6" fillId="3" borderId="2" xfId="0" applyFont="1" applyFill="1" applyBorder="1" applyAlignment="1" applyProtection="1">
      <alignment vertical="center" wrapText="1"/>
    </xf>
    <xf numFmtId="0" fontId="6" fillId="3" borderId="3" xfId="0" applyFont="1" applyFill="1" applyBorder="1" applyAlignment="1" applyProtection="1">
      <alignment vertical="center" wrapText="1"/>
    </xf>
    <xf numFmtId="0" fontId="0" fillId="2" borderId="16" xfId="0" applyFill="1" applyBorder="1" applyAlignment="1" applyProtection="1">
      <alignment vertical="center" wrapText="1"/>
    </xf>
    <xf numFmtId="0" fontId="0" fillId="3" borderId="0" xfId="0" applyFill="1" applyBorder="1" applyAlignment="1" applyProtection="1">
      <alignment vertical="center" wrapText="1"/>
    </xf>
    <xf numFmtId="0" fontId="0" fillId="9" borderId="3" xfId="0" applyFill="1" applyBorder="1" applyAlignment="1" applyProtection="1">
      <alignment vertical="center" wrapText="1"/>
    </xf>
    <xf numFmtId="0" fontId="0" fillId="2" borderId="2" xfId="0" applyFill="1" applyBorder="1" applyAlignment="1" applyProtection="1">
      <alignment vertical="center" wrapText="1"/>
    </xf>
    <xf numFmtId="0" fontId="3" fillId="3" borderId="44" xfId="0" applyFont="1" applyFill="1" applyBorder="1" applyAlignment="1" applyProtection="1">
      <alignment vertical="center" wrapText="1"/>
    </xf>
    <xf numFmtId="0" fontId="2" fillId="5" borderId="17" xfId="0" applyFont="1" applyFill="1" applyBorder="1" applyProtection="1"/>
    <xf numFmtId="0" fontId="0" fillId="5" borderId="18" xfId="0" applyFill="1" applyBorder="1" applyProtection="1"/>
    <xf numFmtId="0" fontId="0" fillId="5" borderId="19" xfId="0" applyFill="1" applyBorder="1" applyProtection="1"/>
    <xf numFmtId="0" fontId="3" fillId="3" borderId="16" xfId="0" applyFont="1" applyFill="1" applyBorder="1" applyAlignment="1" applyProtection="1">
      <alignment vertical="center" wrapText="1"/>
    </xf>
    <xf numFmtId="0" fontId="24" fillId="0" borderId="31" xfId="0" applyFont="1" applyFill="1" applyBorder="1" applyAlignment="1" applyProtection="1">
      <alignment vertical="center" wrapText="1"/>
    </xf>
    <xf numFmtId="0" fontId="15" fillId="0" borderId="34" xfId="0" applyFont="1" applyBorder="1" applyProtection="1">
      <protection locked="0"/>
    </xf>
    <xf numFmtId="0" fontId="24" fillId="0" borderId="32" xfId="0" applyFont="1" applyFill="1" applyBorder="1" applyAlignment="1" applyProtection="1">
      <alignment vertical="center" wrapText="1"/>
    </xf>
    <xf numFmtId="0" fontId="24" fillId="0" borderId="19" xfId="0" applyFont="1" applyFill="1" applyBorder="1" applyAlignment="1" applyProtection="1">
      <alignment vertical="center" wrapText="1"/>
    </xf>
    <xf numFmtId="0" fontId="15" fillId="0" borderId="32" xfId="0" applyFont="1" applyBorder="1" applyProtection="1">
      <protection locked="0"/>
    </xf>
    <xf numFmtId="0" fontId="24" fillId="0" borderId="20" xfId="0" applyFont="1" applyFill="1" applyBorder="1" applyAlignment="1" applyProtection="1">
      <alignment vertical="center" wrapText="1"/>
    </xf>
    <xf numFmtId="0" fontId="15" fillId="0" borderId="33" xfId="0" applyFont="1" applyBorder="1" applyProtection="1">
      <protection locked="0"/>
    </xf>
    <xf numFmtId="0" fontId="3" fillId="3" borderId="42" xfId="0" applyFont="1" applyFill="1" applyBorder="1" applyAlignment="1" applyProtection="1">
      <alignment vertical="center" wrapText="1"/>
    </xf>
    <xf numFmtId="0" fontId="24" fillId="0" borderId="34" xfId="0" applyFont="1" applyFill="1" applyBorder="1" applyAlignment="1" applyProtection="1">
      <alignment vertical="center" wrapText="1"/>
    </xf>
    <xf numFmtId="0" fontId="24" fillId="0" borderId="2" xfId="0" applyFont="1" applyFill="1" applyBorder="1" applyAlignment="1" applyProtection="1">
      <alignment vertical="center" wrapText="1"/>
    </xf>
    <xf numFmtId="0" fontId="24" fillId="12" borderId="2" xfId="0" applyFont="1" applyFill="1" applyBorder="1" applyAlignment="1" applyProtection="1">
      <alignment vertical="center" wrapText="1"/>
    </xf>
    <xf numFmtId="0" fontId="22" fillId="0" borderId="2" xfId="0" applyFont="1" applyFill="1" applyBorder="1" applyAlignment="1" applyProtection="1">
      <alignment vertical="center" wrapText="1"/>
    </xf>
    <xf numFmtId="0" fontId="16" fillId="24" borderId="6" xfId="0" applyFont="1" applyFill="1" applyBorder="1" applyProtection="1">
      <protection locked="0"/>
    </xf>
    <xf numFmtId="0" fontId="15" fillId="0" borderId="24" xfId="0" applyFont="1" applyBorder="1" applyProtection="1">
      <protection locked="0"/>
    </xf>
    <xf numFmtId="0" fontId="27" fillId="0" borderId="32" xfId="0" applyFont="1" applyBorder="1" applyAlignment="1" applyProtection="1">
      <alignment vertical="center" wrapText="1"/>
    </xf>
    <xf numFmtId="0" fontId="24" fillId="12" borderId="32" xfId="0" applyFont="1" applyFill="1" applyBorder="1" applyAlignment="1" applyProtection="1">
      <alignment vertical="center" wrapText="1"/>
    </xf>
    <xf numFmtId="0" fontId="24" fillId="12" borderId="29" xfId="0" applyFont="1" applyFill="1" applyBorder="1" applyAlignment="1" applyProtection="1">
      <alignment vertical="center" wrapText="1"/>
    </xf>
    <xf numFmtId="0" fontId="24" fillId="0" borderId="30" xfId="0" applyFont="1" applyFill="1" applyBorder="1" applyAlignment="1" applyProtection="1">
      <alignment vertical="center" wrapText="1"/>
    </xf>
    <xf numFmtId="0" fontId="22" fillId="0" borderId="33" xfId="0" applyFont="1" applyBorder="1" applyAlignment="1" applyProtection="1">
      <alignment vertical="center" wrapText="1"/>
    </xf>
    <xf numFmtId="0" fontId="22" fillId="0" borderId="34" xfId="0" applyFont="1" applyBorder="1" applyAlignment="1" applyProtection="1">
      <alignment vertical="center" wrapText="1"/>
    </xf>
    <xf numFmtId="0" fontId="22" fillId="0" borderId="1" xfId="0" applyFont="1" applyBorder="1" applyAlignment="1" applyProtection="1">
      <alignment vertical="center" wrapText="1"/>
    </xf>
    <xf numFmtId="0" fontId="24" fillId="0" borderId="1" xfId="0" applyFont="1" applyFill="1" applyBorder="1" applyAlignment="1" applyProtection="1">
      <alignment vertical="center" wrapText="1"/>
    </xf>
    <xf numFmtId="0" fontId="24" fillId="12" borderId="1" xfId="0" applyFont="1" applyFill="1" applyBorder="1" applyAlignment="1" applyProtection="1">
      <alignment vertical="center" wrapText="1"/>
    </xf>
    <xf numFmtId="0" fontId="24" fillId="0" borderId="5" xfId="0" applyFont="1" applyBorder="1" applyAlignment="1" applyProtection="1">
      <alignment vertical="center" wrapText="1"/>
    </xf>
    <xf numFmtId="0" fontId="24" fillId="12" borderId="7" xfId="0" applyFont="1" applyFill="1" applyBorder="1" applyAlignment="1" applyProtection="1">
      <alignment vertical="center" wrapText="1"/>
    </xf>
    <xf numFmtId="0" fontId="15" fillId="0" borderId="0" xfId="0" applyFont="1" applyProtection="1">
      <protection locked="0"/>
    </xf>
    <xf numFmtId="0" fontId="24" fillId="0" borderId="7" xfId="0" applyFont="1" applyBorder="1" applyAlignment="1" applyProtection="1">
      <alignment vertical="center" wrapText="1"/>
    </xf>
    <xf numFmtId="0" fontId="24" fillId="12" borderId="30" xfId="0" applyFont="1" applyFill="1" applyBorder="1" applyAlignment="1" applyProtection="1">
      <alignment vertical="center" wrapText="1"/>
    </xf>
    <xf numFmtId="0" fontId="24" fillId="12" borderId="31" xfId="0" applyFont="1" applyFill="1" applyBorder="1" applyAlignment="1" applyProtection="1">
      <alignment vertical="center" wrapText="1"/>
    </xf>
    <xf numFmtId="0" fontId="24" fillId="0" borderId="26" xfId="0" applyFont="1" applyFill="1" applyBorder="1" applyAlignment="1" applyProtection="1">
      <alignment vertical="center" wrapText="1"/>
    </xf>
    <xf numFmtId="0" fontId="24" fillId="0" borderId="23" xfId="0" applyFont="1" applyFill="1" applyBorder="1" applyAlignment="1" applyProtection="1">
      <alignment vertical="center" wrapText="1"/>
    </xf>
    <xf numFmtId="0" fontId="24" fillId="0" borderId="2" xfId="0" applyFont="1" applyBorder="1" applyAlignment="1" applyProtection="1">
      <alignment vertical="center" wrapText="1"/>
    </xf>
    <xf numFmtId="0" fontId="24" fillId="0" borderId="1" xfId="0" applyFont="1" applyBorder="1" applyAlignment="1" applyProtection="1">
      <alignment vertical="center" wrapText="1"/>
    </xf>
    <xf numFmtId="0" fontId="24" fillId="0" borderId="24" xfId="0" applyFont="1" applyFill="1" applyBorder="1" applyAlignment="1" applyProtection="1">
      <alignment vertical="center" wrapText="1"/>
    </xf>
    <xf numFmtId="0" fontId="24" fillId="0" borderId="58" xfId="0" applyFont="1" applyFill="1" applyBorder="1" applyAlignment="1" applyProtection="1">
      <alignment vertical="center" wrapText="1"/>
    </xf>
    <xf numFmtId="0" fontId="24" fillId="12" borderId="45" xfId="0" applyFont="1" applyFill="1" applyBorder="1" applyAlignment="1" applyProtection="1">
      <alignment vertical="center" wrapText="1"/>
    </xf>
    <xf numFmtId="0" fontId="22" fillId="0" borderId="52" xfId="0" applyFont="1" applyBorder="1" applyAlignment="1" applyProtection="1">
      <alignment horizontal="left" vertical="center" wrapText="1"/>
    </xf>
    <xf numFmtId="0" fontId="24" fillId="12" borderId="33" xfId="0" applyFont="1" applyFill="1" applyBorder="1" applyAlignment="1" applyProtection="1">
      <alignment vertical="center" wrapText="1"/>
    </xf>
    <xf numFmtId="0" fontId="24" fillId="12" borderId="34" xfId="0" applyFont="1" applyFill="1" applyBorder="1" applyAlignment="1" applyProtection="1">
      <alignment vertical="center" wrapText="1"/>
    </xf>
    <xf numFmtId="0" fontId="15" fillId="0" borderId="34" xfId="0" applyFont="1" applyBorder="1" applyAlignment="1" applyProtection="1">
      <alignment horizontal="left" vertical="center" wrapText="1"/>
      <protection locked="0"/>
    </xf>
    <xf numFmtId="0" fontId="0" fillId="11" borderId="0" xfId="0" applyFill="1" applyProtection="1">
      <protection locked="0"/>
    </xf>
    <xf numFmtId="0" fontId="15" fillId="0" borderId="1" xfId="0" applyFont="1" applyBorder="1" applyAlignment="1" applyProtection="1">
      <alignment vertical="top" wrapText="1"/>
      <protection locked="0"/>
    </xf>
    <xf numFmtId="0" fontId="0" fillId="2" borderId="16" xfId="0" applyFill="1" applyBorder="1" applyAlignment="1" applyProtection="1">
      <alignment vertical="center" wrapText="1"/>
      <protection locked="0"/>
    </xf>
    <xf numFmtId="0" fontId="15" fillId="0" borderId="32" xfId="0" applyFont="1" applyBorder="1" applyAlignment="1" applyProtection="1">
      <alignment horizontal="left" vertical="center" wrapText="1"/>
      <protection locked="0"/>
    </xf>
    <xf numFmtId="0" fontId="15" fillId="0" borderId="32" xfId="0" applyFont="1" applyBorder="1" applyAlignment="1" applyProtection="1">
      <alignment vertical="center" wrapText="1"/>
      <protection locked="0"/>
    </xf>
    <xf numFmtId="0" fontId="34" fillId="0" borderId="41" xfId="3" applyFont="1" applyBorder="1" applyAlignment="1" applyProtection="1">
      <alignment wrapText="1"/>
      <protection locked="0"/>
    </xf>
    <xf numFmtId="0" fontId="35" fillId="0" borderId="58" xfId="3" applyFont="1" applyBorder="1" applyAlignment="1" applyProtection="1">
      <alignment vertical="top" wrapText="1"/>
      <protection locked="0"/>
    </xf>
    <xf numFmtId="0" fontId="15" fillId="0" borderId="59" xfId="0" applyFont="1" applyBorder="1" applyAlignment="1" applyProtection="1">
      <alignment vertical="top" wrapText="1"/>
      <protection locked="0"/>
    </xf>
    <xf numFmtId="0" fontId="15" fillId="0" borderId="59" xfId="0" applyFont="1" applyBorder="1" applyProtection="1">
      <protection locked="0"/>
    </xf>
    <xf numFmtId="0" fontId="15" fillId="0" borderId="2" xfId="0" applyFont="1" applyBorder="1" applyProtection="1">
      <protection locked="0"/>
    </xf>
    <xf numFmtId="0" fontId="35" fillId="0" borderId="2" xfId="3" applyFont="1" applyBorder="1" applyAlignment="1" applyProtection="1">
      <alignment wrapText="1"/>
      <protection locked="0"/>
    </xf>
    <xf numFmtId="0" fontId="15" fillId="0" borderId="26" xfId="0" applyFont="1" applyBorder="1" applyProtection="1">
      <protection locked="0"/>
    </xf>
    <xf numFmtId="0" fontId="0" fillId="0" borderId="24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34" xfId="0" applyBorder="1" applyProtection="1">
      <protection locked="0"/>
    </xf>
    <xf numFmtId="0" fontId="0" fillId="12" borderId="10" xfId="0" applyFill="1" applyBorder="1" applyProtection="1">
      <protection locked="0"/>
    </xf>
    <xf numFmtId="0" fontId="0" fillId="12" borderId="32" xfId="0" applyFill="1" applyBorder="1" applyProtection="1">
      <protection locked="0"/>
    </xf>
    <xf numFmtId="0" fontId="0" fillId="0" borderId="33" xfId="0" applyBorder="1" applyProtection="1">
      <protection locked="0"/>
    </xf>
    <xf numFmtId="0" fontId="35" fillId="0" borderId="25" xfId="3" applyFont="1" applyBorder="1" applyProtection="1">
      <protection locked="0"/>
    </xf>
    <xf numFmtId="0" fontId="15" fillId="0" borderId="25" xfId="0" applyFont="1" applyBorder="1" applyProtection="1">
      <protection locked="0"/>
    </xf>
    <xf numFmtId="0" fontId="35" fillId="0" borderId="48" xfId="3" applyFont="1" applyBorder="1" applyAlignment="1" applyProtection="1">
      <alignment vertical="top" wrapText="1"/>
      <protection locked="0"/>
    </xf>
    <xf numFmtId="0" fontId="15" fillId="12" borderId="25" xfId="0" applyFont="1" applyFill="1" applyBorder="1" applyProtection="1">
      <protection locked="0"/>
    </xf>
    <xf numFmtId="0" fontId="15" fillId="12" borderId="33" xfId="0" applyFont="1" applyFill="1" applyBorder="1" applyProtection="1">
      <protection locked="0"/>
    </xf>
    <xf numFmtId="0" fontId="28" fillId="0" borderId="66" xfId="0" applyFont="1" applyBorder="1" applyAlignment="1" applyProtection="1">
      <alignment vertical="top" wrapText="1"/>
      <protection locked="0"/>
    </xf>
    <xf numFmtId="0" fontId="36" fillId="0" borderId="25" xfId="3" applyFont="1" applyBorder="1" applyAlignment="1" applyProtection="1">
      <alignment vertical="top" wrapText="1"/>
      <protection locked="0"/>
    </xf>
    <xf numFmtId="0" fontId="36" fillId="0" borderId="26" xfId="3" applyFont="1" applyBorder="1" applyAlignment="1" applyProtection="1">
      <alignment vertical="top" wrapText="1"/>
      <protection locked="0"/>
    </xf>
    <xf numFmtId="0" fontId="0" fillId="0" borderId="2" xfId="0" applyBorder="1" applyProtection="1">
      <protection locked="0"/>
    </xf>
    <xf numFmtId="0" fontId="34" fillId="0" borderId="26" xfId="3" applyFont="1" applyBorder="1" applyAlignment="1" applyProtection="1">
      <alignment vertical="top" wrapText="1"/>
      <protection locked="0"/>
    </xf>
    <xf numFmtId="0" fontId="22" fillId="12" borderId="1" xfId="0" applyFont="1" applyFill="1" applyBorder="1" applyAlignment="1" applyProtection="1">
      <alignment vertical="center" wrapText="1"/>
    </xf>
    <xf numFmtId="0" fontId="24" fillId="12" borderId="6" xfId="0" applyFont="1" applyFill="1" applyBorder="1" applyAlignment="1" applyProtection="1">
      <alignment vertical="center" wrapText="1"/>
    </xf>
    <xf numFmtId="0" fontId="4" fillId="0" borderId="44" xfId="0" applyFont="1" applyBorder="1" applyAlignment="1" applyProtection="1">
      <alignment vertical="center" wrapText="1"/>
    </xf>
    <xf numFmtId="0" fontId="2" fillId="5" borderId="54" xfId="0" applyFont="1" applyFill="1" applyBorder="1" applyProtection="1"/>
    <xf numFmtId="0" fontId="0" fillId="5" borderId="14" xfId="0" applyFill="1" applyBorder="1" applyProtection="1"/>
    <xf numFmtId="0" fontId="0" fillId="5" borderId="74" xfId="0" applyFill="1" applyBorder="1" applyProtection="1"/>
    <xf numFmtId="0" fontId="4" fillId="11" borderId="44" xfId="0" applyFont="1" applyFill="1" applyBorder="1" applyAlignment="1" applyProtection="1">
      <alignment vertical="center" wrapText="1"/>
    </xf>
    <xf numFmtId="0" fontId="0" fillId="11" borderId="0" xfId="0" applyFill="1" applyProtection="1"/>
    <xf numFmtId="0" fontId="2" fillId="11" borderId="54" xfId="0" applyFont="1" applyFill="1" applyBorder="1" applyProtection="1"/>
    <xf numFmtId="0" fontId="0" fillId="11" borderId="14" xfId="0" applyFill="1" applyBorder="1" applyProtection="1"/>
    <xf numFmtId="0" fontId="0" fillId="11" borderId="74" xfId="0" applyFill="1" applyBorder="1" applyProtection="1"/>
    <xf numFmtId="0" fontId="15" fillId="25" borderId="1" xfId="0" applyFont="1" applyFill="1" applyBorder="1" applyAlignment="1" applyProtection="1">
      <alignment vertical="top" wrapText="1"/>
      <protection locked="0"/>
    </xf>
    <xf numFmtId="9" fontId="23" fillId="11" borderId="1" xfId="1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vertical="center" wrapText="1"/>
    </xf>
    <xf numFmtId="0" fontId="24" fillId="0" borderId="32" xfId="0" applyFont="1" applyBorder="1" applyAlignment="1" applyProtection="1">
      <alignment vertical="center" wrapText="1"/>
    </xf>
    <xf numFmtId="0" fontId="24" fillId="0" borderId="34" xfId="0" applyFont="1" applyBorder="1" applyAlignment="1" applyProtection="1">
      <alignment vertical="center" wrapText="1"/>
    </xf>
    <xf numFmtId="0" fontId="24" fillId="0" borderId="33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/>
      <protection locked="0"/>
    </xf>
    <xf numFmtId="0" fontId="24" fillId="0" borderId="32" xfId="0" applyFont="1" applyBorder="1" applyAlignment="1" applyProtection="1">
      <alignment vertical="center" wrapText="1"/>
    </xf>
    <xf numFmtId="0" fontId="24" fillId="0" borderId="33" xfId="0" applyFont="1" applyBorder="1" applyAlignment="1" applyProtection="1">
      <alignment vertical="center" wrapText="1"/>
    </xf>
    <xf numFmtId="0" fontId="24" fillId="0" borderId="34" xfId="0" applyFont="1" applyBorder="1" applyAlignment="1" applyProtection="1">
      <alignment vertical="center" wrapText="1"/>
    </xf>
    <xf numFmtId="0" fontId="24" fillId="0" borderId="24" xfId="0" applyFont="1" applyBorder="1" applyAlignment="1" applyProtection="1">
      <alignment vertical="center" wrapText="1"/>
    </xf>
    <xf numFmtId="0" fontId="24" fillId="0" borderId="26" xfId="0" applyFont="1" applyBorder="1" applyAlignment="1" applyProtection="1">
      <alignment vertical="center" wrapText="1"/>
    </xf>
    <xf numFmtId="0" fontId="24" fillId="0" borderId="33" xfId="0" applyFont="1" applyFill="1" applyBorder="1" applyAlignment="1" applyProtection="1">
      <alignment vertical="center" wrapText="1"/>
    </xf>
    <xf numFmtId="0" fontId="0" fillId="9" borderId="0" xfId="0" applyFill="1" applyProtection="1">
      <protection locked="0"/>
    </xf>
    <xf numFmtId="0" fontId="35" fillId="0" borderId="60" xfId="3" applyFont="1" applyBorder="1" applyAlignment="1" applyProtection="1">
      <alignment vertical="top" wrapText="1"/>
      <protection locked="0"/>
    </xf>
    <xf numFmtId="0" fontId="35" fillId="0" borderId="25" xfId="3" applyFont="1" applyBorder="1" applyAlignment="1" applyProtection="1">
      <alignment vertical="top" wrapText="1"/>
      <protection locked="0"/>
    </xf>
    <xf numFmtId="0" fontId="35" fillId="0" borderId="2" xfId="3" applyFont="1" applyBorder="1" applyAlignment="1" applyProtection="1">
      <alignment horizontal="left" vertical="center" wrapText="1"/>
      <protection locked="0"/>
    </xf>
    <xf numFmtId="0" fontId="35" fillId="0" borderId="24" xfId="3" applyFont="1" applyBorder="1" applyAlignment="1" applyProtection="1">
      <alignment wrapText="1"/>
      <protection locked="0"/>
    </xf>
    <xf numFmtId="0" fontId="2" fillId="0" borderId="5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0" fillId="2" borderId="5" xfId="0" applyFill="1" applyBorder="1" applyAlignment="1" applyProtection="1">
      <alignment vertical="center" wrapText="1"/>
      <protection locked="0"/>
    </xf>
    <xf numFmtId="0" fontId="35" fillId="0" borderId="46" xfId="3" applyFont="1" applyBorder="1" applyAlignment="1" applyProtection="1">
      <alignment vertical="top" wrapText="1"/>
      <protection locked="0"/>
    </xf>
    <xf numFmtId="0" fontId="35" fillId="12" borderId="66" xfId="3" applyFont="1" applyFill="1" applyBorder="1" applyAlignment="1" applyProtection="1">
      <alignment vertical="top" wrapText="1"/>
      <protection locked="0"/>
    </xf>
    <xf numFmtId="0" fontId="10" fillId="11" borderId="2" xfId="0" applyFont="1" applyFill="1" applyBorder="1" applyAlignment="1" applyProtection="1">
      <alignment vertical="center" wrapText="1"/>
    </xf>
    <xf numFmtId="0" fontId="39" fillId="0" borderId="2" xfId="0" applyFont="1" applyBorder="1" applyAlignment="1" applyProtection="1">
      <alignment vertical="top" wrapText="1"/>
      <protection locked="0"/>
    </xf>
    <xf numFmtId="0" fontId="34" fillId="0" borderId="24" xfId="3" applyFont="1" applyBorder="1" applyProtection="1">
      <protection locked="0"/>
    </xf>
    <xf numFmtId="0" fontId="34" fillId="0" borderId="53" xfId="3" applyFont="1" applyBorder="1" applyAlignment="1" applyProtection="1">
      <alignment vertical="top" wrapText="1"/>
      <protection locked="0"/>
    </xf>
    <xf numFmtId="0" fontId="39" fillId="0" borderId="29" xfId="0" applyFont="1" applyBorder="1" applyProtection="1"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0" fillId="0" borderId="31" xfId="0" applyBorder="1" applyProtection="1">
      <protection locked="0"/>
    </xf>
    <xf numFmtId="0" fontId="15" fillId="25" borderId="33" xfId="0" applyFont="1" applyFill="1" applyBorder="1" applyAlignment="1" applyProtection="1">
      <alignment vertical="top" wrapText="1"/>
      <protection locked="0"/>
    </xf>
    <xf numFmtId="0" fontId="35" fillId="0" borderId="24" xfId="3" applyFont="1" applyBorder="1" applyProtection="1">
      <protection locked="0"/>
    </xf>
    <xf numFmtId="0" fontId="15" fillId="25" borderId="32" xfId="0" applyFont="1" applyFill="1" applyBorder="1" applyAlignment="1" applyProtection="1">
      <alignment vertical="top" wrapText="1"/>
      <protection locked="0"/>
    </xf>
    <xf numFmtId="0" fontId="15" fillId="0" borderId="25" xfId="0" applyFont="1" applyBorder="1" applyAlignment="1" applyProtection="1">
      <alignment vertical="top" wrapText="1"/>
      <protection locked="0"/>
    </xf>
    <xf numFmtId="0" fontId="35" fillId="0" borderId="26" xfId="3" applyFont="1" applyBorder="1" applyAlignment="1" applyProtection="1">
      <alignment vertical="top" wrapText="1"/>
      <protection locked="0"/>
    </xf>
    <xf numFmtId="0" fontId="35" fillId="0" borderId="2" xfId="3" applyFont="1" applyBorder="1" applyAlignment="1" applyProtection="1">
      <alignment vertical="top" wrapText="1"/>
      <protection locked="0"/>
    </xf>
    <xf numFmtId="0" fontId="15" fillId="12" borderId="37" xfId="0" applyFont="1" applyFill="1" applyBorder="1" applyProtection="1">
      <protection locked="0"/>
    </xf>
    <xf numFmtId="0" fontId="15" fillId="12" borderId="34" xfId="0" applyFont="1" applyFill="1" applyBorder="1" applyProtection="1">
      <protection locked="0"/>
    </xf>
    <xf numFmtId="0" fontId="15" fillId="0" borderId="53" xfId="0" applyFont="1" applyBorder="1" applyProtection="1">
      <protection locked="0"/>
    </xf>
    <xf numFmtId="0" fontId="15" fillId="0" borderId="32" xfId="0" applyFont="1" applyBorder="1" applyAlignment="1" applyProtection="1">
      <alignment vertical="top" wrapText="1"/>
      <protection locked="0"/>
    </xf>
    <xf numFmtId="0" fontId="40" fillId="0" borderId="1" xfId="0" applyFont="1" applyBorder="1" applyAlignment="1" applyProtection="1">
      <alignment vertical="top" wrapText="1"/>
      <protection locked="0"/>
    </xf>
    <xf numFmtId="0" fontId="15" fillId="0" borderId="34" xfId="0" applyFont="1" applyBorder="1" applyAlignment="1" applyProtection="1">
      <alignment vertical="top" wrapText="1"/>
      <protection locked="0"/>
    </xf>
    <xf numFmtId="0" fontId="15" fillId="0" borderId="33" xfId="0" applyFont="1" applyBorder="1" applyAlignment="1" applyProtection="1">
      <alignment vertical="top" wrapText="1"/>
      <protection locked="0"/>
    </xf>
    <xf numFmtId="0" fontId="15" fillId="25" borderId="34" xfId="0" applyFont="1" applyFill="1" applyBorder="1" applyAlignment="1" applyProtection="1">
      <alignment vertical="top" wrapText="1"/>
      <protection locked="0"/>
    </xf>
    <xf numFmtId="0" fontId="15" fillId="12" borderId="32" xfId="0" applyFont="1" applyFill="1" applyBorder="1" applyAlignment="1" applyProtection="1">
      <alignment vertical="top" wrapText="1"/>
      <protection locked="0"/>
    </xf>
    <xf numFmtId="0" fontId="15" fillId="12" borderId="34" xfId="0" applyFont="1" applyFill="1" applyBorder="1" applyAlignment="1" applyProtection="1">
      <alignment vertical="top" wrapText="1"/>
      <protection locked="0"/>
    </xf>
    <xf numFmtId="0" fontId="15" fillId="0" borderId="53" xfId="0" applyFont="1" applyBorder="1" applyAlignment="1" applyProtection="1">
      <alignment vertical="top" wrapText="1"/>
      <protection locked="0"/>
    </xf>
    <xf numFmtId="0" fontId="15" fillId="0" borderId="2" xfId="0" applyFont="1" applyBorder="1" applyAlignment="1" applyProtection="1">
      <alignment vertical="top" wrapText="1"/>
      <protection locked="0"/>
    </xf>
    <xf numFmtId="0" fontId="0" fillId="0" borderId="62" xfId="0" applyBorder="1" applyProtection="1">
      <protection locked="0"/>
    </xf>
    <xf numFmtId="0" fontId="15" fillId="12" borderId="32" xfId="0" applyFont="1" applyFill="1" applyBorder="1" applyProtection="1"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16" fillId="0" borderId="33" xfId="0" applyFont="1" applyBorder="1" applyAlignment="1" applyProtection="1">
      <alignment vertical="center" wrapText="1"/>
      <protection locked="0"/>
    </xf>
    <xf numFmtId="0" fontId="16" fillId="11" borderId="5" xfId="0" applyFont="1" applyFill="1" applyBorder="1" applyAlignment="1" applyProtection="1">
      <alignment vertical="center" wrapText="1"/>
      <protection locked="0"/>
    </xf>
    <xf numFmtId="0" fontId="16" fillId="11" borderId="8" xfId="0" applyFont="1" applyFill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16" fillId="11" borderId="10" xfId="0" applyFont="1" applyFill="1" applyBorder="1" applyAlignment="1" applyProtection="1">
      <alignment vertical="center" wrapText="1"/>
      <protection locked="0"/>
    </xf>
    <xf numFmtId="0" fontId="40" fillId="0" borderId="24" xfId="3" applyFont="1" applyBorder="1" applyAlignment="1" applyProtection="1">
      <alignment vertical="center" wrapText="1"/>
      <protection locked="0"/>
    </xf>
    <xf numFmtId="0" fontId="40" fillId="0" borderId="25" xfId="0" applyFont="1" applyBorder="1" applyAlignment="1" applyProtection="1">
      <alignment vertical="center" wrapText="1"/>
      <protection locked="0"/>
    </xf>
    <xf numFmtId="0" fontId="40" fillId="0" borderId="24" xfId="0" applyFont="1" applyBorder="1" applyAlignment="1" applyProtection="1">
      <alignment vertical="center" wrapText="1"/>
      <protection locked="0"/>
    </xf>
    <xf numFmtId="0" fontId="16" fillId="11" borderId="42" xfId="0" applyFont="1" applyFill="1" applyBorder="1" applyAlignment="1" applyProtection="1">
      <alignment vertical="center" wrapText="1"/>
      <protection locked="0"/>
    </xf>
    <xf numFmtId="0" fontId="40" fillId="0" borderId="26" xfId="0" applyFont="1" applyBorder="1" applyAlignment="1" applyProtection="1">
      <alignment vertical="center" wrapText="1"/>
      <protection locked="0"/>
    </xf>
    <xf numFmtId="0" fontId="16" fillId="0" borderId="24" xfId="0" applyFont="1" applyBorder="1" applyAlignment="1" applyProtection="1">
      <alignment vertical="center" wrapText="1"/>
      <protection locked="0"/>
    </xf>
    <xf numFmtId="0" fontId="16" fillId="0" borderId="26" xfId="0" applyFont="1" applyBorder="1" applyAlignment="1" applyProtection="1">
      <alignment vertical="center" wrapText="1"/>
      <protection locked="0"/>
    </xf>
    <xf numFmtId="0" fontId="16" fillId="0" borderId="5" xfId="0" applyFont="1" applyBorder="1" applyAlignment="1" applyProtection="1">
      <alignment vertical="center" wrapText="1"/>
      <protection locked="0"/>
    </xf>
    <xf numFmtId="0" fontId="16" fillId="11" borderId="1" xfId="0" applyFont="1" applyFill="1" applyBorder="1" applyAlignment="1" applyProtection="1">
      <alignment vertical="center" wrapText="1"/>
      <protection locked="0"/>
    </xf>
    <xf numFmtId="0" fontId="16" fillId="12" borderId="10" xfId="0" applyFont="1" applyFill="1" applyBorder="1" applyAlignment="1" applyProtection="1">
      <alignment vertical="center" wrapText="1"/>
      <protection locked="0"/>
    </xf>
    <xf numFmtId="0" fontId="16" fillId="12" borderId="32" xfId="0" applyFont="1" applyFill="1" applyBorder="1" applyAlignment="1" applyProtection="1">
      <alignment vertical="center" wrapText="1"/>
      <protection locked="0"/>
    </xf>
    <xf numFmtId="0" fontId="33" fillId="0" borderId="5" xfId="0" applyFont="1" applyBorder="1" applyAlignment="1" applyProtection="1">
      <alignment vertical="center" wrapText="1"/>
      <protection locked="0"/>
    </xf>
    <xf numFmtId="0" fontId="33" fillId="0" borderId="7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 wrapText="1"/>
      <protection locked="0"/>
    </xf>
    <xf numFmtId="0" fontId="40" fillId="12" borderId="32" xfId="0" applyFont="1" applyFill="1" applyBorder="1" applyAlignment="1" applyProtection="1">
      <alignment vertical="center" wrapText="1"/>
      <protection locked="0"/>
    </xf>
    <xf numFmtId="0" fontId="16" fillId="0" borderId="2" xfId="0" applyFont="1" applyBorder="1" applyAlignment="1" applyProtection="1">
      <alignment vertical="center" wrapText="1"/>
      <protection locked="0"/>
    </xf>
    <xf numFmtId="0" fontId="41" fillId="0" borderId="2" xfId="0" applyFont="1" applyBorder="1" applyAlignment="1" applyProtection="1">
      <alignment vertical="center" wrapText="1"/>
      <protection locked="0"/>
    </xf>
    <xf numFmtId="0" fontId="41" fillId="0" borderId="24" xfId="3" applyFont="1" applyBorder="1" applyAlignment="1" applyProtection="1">
      <alignment vertical="center" wrapText="1"/>
      <protection locked="0"/>
    </xf>
    <xf numFmtId="0" fontId="41" fillId="0" borderId="26" xfId="3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7" fillId="27" borderId="43" xfId="0" applyFont="1" applyFill="1" applyBorder="1" applyProtection="1"/>
    <xf numFmtId="0" fontId="17" fillId="27" borderId="0" xfId="0" applyFont="1" applyFill="1" applyBorder="1" applyProtection="1"/>
    <xf numFmtId="0" fontId="17" fillId="27" borderId="0" xfId="0" applyFont="1" applyFill="1" applyBorder="1" applyProtection="1">
      <protection locked="0"/>
    </xf>
    <xf numFmtId="0" fontId="29" fillId="27" borderId="43" xfId="0" applyFont="1" applyFill="1" applyBorder="1" applyAlignment="1" applyProtection="1">
      <alignment horizontal="center"/>
      <protection locked="0"/>
    </xf>
    <xf numFmtId="0" fontId="29" fillId="27" borderId="0" xfId="0" applyFont="1" applyFill="1" applyBorder="1" applyAlignment="1" applyProtection="1">
      <alignment horizontal="center"/>
      <protection locked="0"/>
    </xf>
    <xf numFmtId="0" fontId="29" fillId="27" borderId="16" xfId="0" applyFont="1" applyFill="1" applyBorder="1" applyAlignment="1" applyProtection="1">
      <alignment horizontal="center"/>
      <protection locked="0"/>
    </xf>
    <xf numFmtId="0" fontId="29" fillId="27" borderId="6" xfId="0" applyFont="1" applyFill="1" applyBorder="1" applyAlignment="1" applyProtection="1">
      <alignment horizontal="center"/>
      <protection locked="0"/>
    </xf>
    <xf numFmtId="0" fontId="17" fillId="27" borderId="6" xfId="0" applyFont="1" applyFill="1" applyBorder="1" applyProtection="1"/>
    <xf numFmtId="0" fontId="44" fillId="9" borderId="0" xfId="0" applyFont="1" applyFill="1" applyBorder="1" applyAlignment="1" applyProtection="1">
      <alignment horizontal="center"/>
    </xf>
    <xf numFmtId="0" fontId="45" fillId="0" borderId="1" xfId="0" applyFont="1" applyBorder="1" applyAlignment="1" applyProtection="1">
      <alignment horizontal="center" vertical="center" wrapText="1"/>
    </xf>
    <xf numFmtId="0" fontId="0" fillId="28" borderId="6" xfId="0" applyFill="1" applyBorder="1" applyAlignment="1" applyProtection="1">
      <alignment vertical="center" wrapText="1"/>
    </xf>
    <xf numFmtId="0" fontId="0" fillId="27" borderId="42" xfId="0" applyFill="1" applyBorder="1" applyProtection="1">
      <protection locked="0"/>
    </xf>
    <xf numFmtId="0" fontId="0" fillId="27" borderId="44" xfId="0" applyFill="1" applyBorder="1" applyProtection="1">
      <protection locked="0"/>
    </xf>
    <xf numFmtId="0" fontId="0" fillId="27" borderId="44" xfId="0" applyFill="1" applyBorder="1" applyProtection="1"/>
    <xf numFmtId="0" fontId="22" fillId="0" borderId="43" xfId="0" applyFont="1" applyBorder="1" applyAlignment="1" applyProtection="1">
      <alignment wrapText="1"/>
    </xf>
    <xf numFmtId="0" fontId="22" fillId="0" borderId="0" xfId="0" applyFont="1" applyBorder="1" applyAlignment="1" applyProtection="1">
      <alignment vertical="center"/>
    </xf>
    <xf numFmtId="0" fontId="24" fillId="10" borderId="24" xfId="0" applyFont="1" applyFill="1" applyBorder="1" applyAlignment="1" applyProtection="1">
      <alignment vertical="center" wrapText="1"/>
    </xf>
    <xf numFmtId="0" fontId="24" fillId="10" borderId="26" xfId="0" applyFont="1" applyFill="1" applyBorder="1" applyAlignment="1" applyProtection="1">
      <alignment vertical="center" wrapText="1"/>
    </xf>
    <xf numFmtId="0" fontId="27" fillId="22" borderId="24" xfId="0" applyFont="1" applyFill="1" applyBorder="1" applyAlignment="1" applyProtection="1">
      <alignment vertical="center" wrapText="1"/>
    </xf>
    <xf numFmtId="0" fontId="27" fillId="22" borderId="25" xfId="0" applyFont="1" applyFill="1" applyBorder="1" applyAlignment="1" applyProtection="1">
      <alignment vertical="center" wrapText="1"/>
    </xf>
    <xf numFmtId="0" fontId="27" fillId="22" borderId="26" xfId="0" applyFont="1" applyFill="1" applyBorder="1" applyAlignment="1" applyProtection="1">
      <alignment vertical="center" wrapText="1"/>
    </xf>
    <xf numFmtId="0" fontId="24" fillId="8" borderId="24" xfId="0" applyFont="1" applyFill="1" applyBorder="1" applyAlignment="1" applyProtection="1">
      <alignment vertical="center" wrapText="1"/>
    </xf>
    <xf numFmtId="0" fontId="24" fillId="8" borderId="25" xfId="0" applyFont="1" applyFill="1" applyBorder="1" applyAlignment="1" applyProtection="1">
      <alignment vertical="center" wrapText="1"/>
    </xf>
    <xf numFmtId="0" fontId="24" fillId="8" borderId="26" xfId="0" applyFont="1" applyFill="1" applyBorder="1" applyAlignment="1" applyProtection="1">
      <alignment vertical="center" wrapText="1"/>
    </xf>
    <xf numFmtId="0" fontId="24" fillId="4" borderId="52" xfId="0" applyFont="1" applyFill="1" applyBorder="1" applyAlignment="1" applyProtection="1">
      <alignment vertical="center" wrapText="1"/>
    </xf>
    <xf numFmtId="0" fontId="22" fillId="4" borderId="52" xfId="0" applyFont="1" applyFill="1" applyBorder="1" applyAlignment="1" applyProtection="1">
      <alignment vertical="center" wrapText="1"/>
    </xf>
    <xf numFmtId="0" fontId="24" fillId="22" borderId="24" xfId="0" applyFont="1" applyFill="1" applyBorder="1" applyAlignment="1" applyProtection="1">
      <alignment vertical="center" wrapText="1"/>
    </xf>
    <xf numFmtId="0" fontId="24" fillId="22" borderId="25" xfId="0" applyFont="1" applyFill="1" applyBorder="1" applyAlignment="1" applyProtection="1">
      <alignment vertical="center" wrapText="1"/>
    </xf>
    <xf numFmtId="0" fontId="5" fillId="12" borderId="42" xfId="0" applyFont="1" applyFill="1" applyBorder="1" applyAlignment="1" applyProtection="1">
      <alignment vertical="center" wrapText="1"/>
    </xf>
    <xf numFmtId="0" fontId="24" fillId="19" borderId="24" xfId="0" applyFont="1" applyFill="1" applyBorder="1" applyAlignment="1" applyProtection="1">
      <alignment vertical="center" wrapText="1"/>
    </xf>
    <xf numFmtId="0" fontId="24" fillId="19" borderId="25" xfId="0" applyFont="1" applyFill="1" applyBorder="1" applyAlignment="1" applyProtection="1">
      <alignment vertical="center" wrapText="1"/>
    </xf>
    <xf numFmtId="0" fontId="24" fillId="19" borderId="26" xfId="0" applyFont="1" applyFill="1" applyBorder="1" applyAlignment="1" applyProtection="1">
      <alignment vertical="center" wrapText="1"/>
    </xf>
    <xf numFmtId="0" fontId="24" fillId="22" borderId="26" xfId="0" applyFont="1" applyFill="1" applyBorder="1" applyAlignment="1" applyProtection="1">
      <alignment vertical="center" wrapText="1"/>
    </xf>
    <xf numFmtId="0" fontId="22" fillId="9" borderId="47" xfId="0" applyFont="1" applyFill="1" applyBorder="1" applyAlignment="1" applyProtection="1">
      <alignment vertical="center" wrapText="1"/>
    </xf>
    <xf numFmtId="0" fontId="24" fillId="21" borderId="2" xfId="0" applyFont="1" applyFill="1" applyBorder="1" applyAlignment="1" applyProtection="1">
      <alignment vertical="center" wrapText="1"/>
    </xf>
    <xf numFmtId="0" fontId="24" fillId="17" borderId="47" xfId="0" applyFont="1" applyFill="1" applyBorder="1" applyAlignment="1" applyProtection="1">
      <alignment vertical="center" wrapText="1"/>
    </xf>
    <xf numFmtId="0" fontId="24" fillId="8" borderId="47" xfId="0" applyFont="1" applyFill="1" applyBorder="1" applyAlignment="1" applyProtection="1">
      <alignment vertical="center" wrapText="1"/>
    </xf>
    <xf numFmtId="0" fontId="3" fillId="11" borderId="42" xfId="0" applyFont="1" applyFill="1" applyBorder="1" applyAlignment="1" applyProtection="1">
      <alignment vertical="center" wrapText="1"/>
    </xf>
    <xf numFmtId="0" fontId="24" fillId="9" borderId="46" xfId="0" applyFont="1" applyFill="1" applyBorder="1" applyAlignment="1" applyProtection="1">
      <alignment vertical="center" wrapText="1"/>
    </xf>
    <xf numFmtId="0" fontId="24" fillId="9" borderId="48" xfId="0" applyFont="1" applyFill="1" applyBorder="1" applyAlignment="1" applyProtection="1">
      <alignment vertical="center" wrapText="1"/>
    </xf>
    <xf numFmtId="0" fontId="24" fillId="9" borderId="24" xfId="0" applyFont="1" applyFill="1" applyBorder="1" applyAlignment="1" applyProtection="1">
      <alignment vertical="center" wrapText="1"/>
    </xf>
    <xf numFmtId="0" fontId="24" fillId="9" borderId="25" xfId="0" applyFont="1" applyFill="1" applyBorder="1" applyAlignment="1" applyProtection="1">
      <alignment vertical="center" wrapText="1"/>
    </xf>
    <xf numFmtId="0" fontId="24" fillId="9" borderId="26" xfId="0" applyFont="1" applyFill="1" applyBorder="1" applyAlignment="1" applyProtection="1">
      <alignment vertical="center" wrapText="1"/>
    </xf>
    <xf numFmtId="0" fontId="24" fillId="16" borderId="25" xfId="0" applyFont="1" applyFill="1" applyBorder="1" applyAlignment="1" applyProtection="1">
      <alignment vertical="center" wrapText="1"/>
    </xf>
    <xf numFmtId="0" fontId="22" fillId="16" borderId="25" xfId="0" applyFont="1" applyFill="1" applyBorder="1" applyAlignment="1" applyProtection="1">
      <alignment vertical="center" wrapText="1"/>
    </xf>
    <xf numFmtId="0" fontId="24" fillId="16" borderId="26" xfId="0" applyFont="1" applyFill="1" applyBorder="1" applyAlignment="1" applyProtection="1">
      <alignment vertical="center" wrapText="1"/>
    </xf>
    <xf numFmtId="0" fontId="24" fillId="18" borderId="24" xfId="0" applyFont="1" applyFill="1" applyBorder="1" applyAlignment="1" applyProtection="1">
      <alignment vertical="center" wrapText="1"/>
    </xf>
    <xf numFmtId="0" fontId="24" fillId="18" borderId="25" xfId="0" applyFont="1" applyFill="1" applyBorder="1" applyAlignment="1" applyProtection="1">
      <alignment vertical="center" wrapText="1"/>
    </xf>
    <xf numFmtId="0" fontId="24" fillId="18" borderId="26" xfId="0" applyFont="1" applyFill="1" applyBorder="1" applyAlignment="1" applyProtection="1">
      <alignment vertical="center" wrapText="1"/>
    </xf>
    <xf numFmtId="0" fontId="5" fillId="5" borderId="2" xfId="0" applyFont="1" applyFill="1" applyBorder="1" applyAlignment="1" applyProtection="1">
      <alignment vertical="center" wrapText="1"/>
    </xf>
    <xf numFmtId="0" fontId="5" fillId="5" borderId="24" xfId="0" applyFont="1" applyFill="1" applyBorder="1" applyAlignment="1" applyProtection="1">
      <alignment vertical="center" wrapText="1"/>
    </xf>
    <xf numFmtId="0" fontId="5" fillId="5" borderId="26" xfId="0" applyFont="1" applyFill="1" applyBorder="1" applyAlignment="1" applyProtection="1">
      <alignment vertical="center" wrapText="1"/>
    </xf>
    <xf numFmtId="0" fontId="24" fillId="0" borderId="60" xfId="0" applyFont="1" applyFill="1" applyBorder="1" applyAlignment="1" applyProtection="1">
      <alignment vertical="center" wrapText="1"/>
    </xf>
    <xf numFmtId="0" fontId="24" fillId="5" borderId="46" xfId="0" applyFont="1" applyFill="1" applyBorder="1" applyAlignment="1" applyProtection="1">
      <alignment vertical="center" wrapText="1"/>
    </xf>
    <xf numFmtId="0" fontId="24" fillId="5" borderId="48" xfId="0" applyFont="1" applyFill="1" applyBorder="1" applyAlignment="1" applyProtection="1">
      <alignment vertical="center" wrapText="1"/>
    </xf>
    <xf numFmtId="0" fontId="24" fillId="0" borderId="29" xfId="0" applyFont="1" applyBorder="1" applyAlignment="1" applyProtection="1">
      <alignment vertical="center" wrapText="1"/>
    </xf>
    <xf numFmtId="0" fontId="24" fillId="16" borderId="24" xfId="0" applyFont="1" applyFill="1" applyBorder="1" applyAlignment="1" applyProtection="1">
      <alignment vertical="center" wrapText="1"/>
    </xf>
    <xf numFmtId="0" fontId="0" fillId="12" borderId="10" xfId="0" applyFill="1" applyBorder="1" applyAlignment="1" applyProtection="1">
      <alignment vertical="top" wrapText="1"/>
      <protection locked="0"/>
    </xf>
    <xf numFmtId="9" fontId="23" fillId="11" borderId="23" xfId="1" applyFont="1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top" wrapText="1"/>
      <protection locked="0"/>
    </xf>
    <xf numFmtId="0" fontId="0" fillId="0" borderId="34" xfId="0" applyBorder="1" applyAlignment="1" applyProtection="1">
      <alignment vertical="top" wrapText="1"/>
      <protection locked="0"/>
    </xf>
    <xf numFmtId="0" fontId="0" fillId="0" borderId="24" xfId="0" applyBorder="1" applyAlignment="1" applyProtection="1">
      <alignment vertical="top"/>
      <protection locked="0"/>
    </xf>
    <xf numFmtId="0" fontId="0" fillId="0" borderId="26" xfId="0" applyBorder="1" applyAlignment="1" applyProtection="1">
      <alignment vertical="top"/>
      <protection locked="0"/>
    </xf>
    <xf numFmtId="0" fontId="15" fillId="12" borderId="33" xfId="0" applyFont="1" applyFill="1" applyBorder="1" applyAlignment="1" applyProtection="1">
      <alignment vertical="top" wrapText="1"/>
      <protection locked="0"/>
    </xf>
    <xf numFmtId="0" fontId="15" fillId="29" borderId="34" xfId="0" applyFont="1" applyFill="1" applyBorder="1" applyAlignment="1" applyProtection="1">
      <alignment vertical="center" wrapText="1"/>
      <protection locked="0"/>
    </xf>
    <xf numFmtId="0" fontId="11" fillId="0" borderId="10" xfId="0" applyFont="1" applyBorder="1" applyProtection="1"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0" xfId="0" applyBorder="1" applyProtection="1"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vertical="top"/>
      <protection locked="0"/>
    </xf>
    <xf numFmtId="0" fontId="0" fillId="0" borderId="12" xfId="0" applyBorder="1" applyAlignment="1" applyProtection="1">
      <alignment vertical="top"/>
      <protection locked="0"/>
    </xf>
    <xf numFmtId="0" fontId="0" fillId="0" borderId="47" xfId="0" applyBorder="1" applyAlignment="1" applyProtection="1">
      <alignment vertical="top"/>
      <protection locked="0"/>
    </xf>
    <xf numFmtId="0" fontId="0" fillId="0" borderId="55" xfId="0" applyBorder="1" applyAlignment="1" applyProtection="1">
      <alignment vertical="top"/>
      <protection locked="0"/>
    </xf>
    <xf numFmtId="0" fontId="0" fillId="0" borderId="76" xfId="0" applyBorder="1" applyAlignment="1" applyProtection="1">
      <alignment vertical="top"/>
      <protection locked="0"/>
    </xf>
    <xf numFmtId="0" fontId="11" fillId="0" borderId="44" xfId="0" applyFont="1" applyBorder="1" applyProtection="1"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0" fillId="0" borderId="5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29" fillId="27" borderId="43" xfId="0" applyFont="1" applyFill="1" applyBorder="1" applyAlignment="1" applyProtection="1">
      <alignment horizontal="center"/>
      <protection locked="0"/>
    </xf>
    <xf numFmtId="0" fontId="29" fillId="27" borderId="0" xfId="0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24" fillId="0" borderId="33" xfId="0" applyFont="1" applyBorder="1" applyAlignment="1" applyProtection="1">
      <alignment vertical="center" wrapText="1"/>
    </xf>
    <xf numFmtId="0" fontId="24" fillId="0" borderId="33" xfId="0" applyFont="1" applyFill="1" applyBorder="1" applyAlignment="1" applyProtection="1">
      <alignment vertical="center" wrapText="1"/>
    </xf>
    <xf numFmtId="0" fontId="24" fillId="0" borderId="32" xfId="0" applyFont="1" applyBorder="1" applyAlignment="1" applyProtection="1">
      <alignment vertical="center" wrapText="1"/>
    </xf>
    <xf numFmtId="0" fontId="24" fillId="0" borderId="34" xfId="0" applyFont="1" applyBorder="1" applyAlignment="1" applyProtection="1">
      <alignment vertical="center" wrapText="1"/>
    </xf>
    <xf numFmtId="0" fontId="2" fillId="2" borderId="16" xfId="0" applyFont="1" applyFill="1" applyBorder="1" applyAlignment="1" applyProtection="1">
      <alignment vertical="center" wrapText="1"/>
    </xf>
    <xf numFmtId="0" fontId="24" fillId="0" borderId="24" xfId="0" applyFont="1" applyBorder="1" applyAlignment="1" applyProtection="1">
      <alignment vertical="center" wrapText="1"/>
    </xf>
    <xf numFmtId="0" fontId="24" fillId="0" borderId="26" xfId="0" applyFont="1" applyBorder="1" applyAlignment="1" applyProtection="1">
      <alignment vertical="center" wrapText="1"/>
    </xf>
    <xf numFmtId="0" fontId="24" fillId="8" borderId="31" xfId="0" applyFont="1" applyFill="1" applyBorder="1" applyAlignment="1" applyProtection="1">
      <alignment vertical="center" wrapText="1"/>
    </xf>
    <xf numFmtId="0" fontId="24" fillId="9" borderId="29" xfId="0" applyFont="1" applyFill="1" applyBorder="1" applyAlignment="1" applyProtection="1">
      <alignment vertical="center" wrapText="1"/>
    </xf>
    <xf numFmtId="0" fontId="24" fillId="9" borderId="31" xfId="0" applyFont="1" applyFill="1" applyBorder="1" applyAlignment="1" applyProtection="1">
      <alignment vertical="center" wrapText="1"/>
    </xf>
    <xf numFmtId="0" fontId="44" fillId="27" borderId="0" xfId="0" applyFont="1" applyFill="1" applyBorder="1" applyAlignment="1" applyProtection="1">
      <alignment horizontal="center"/>
    </xf>
    <xf numFmtId="0" fontId="4" fillId="11" borderId="11" xfId="0" applyFont="1" applyFill="1" applyBorder="1" applyAlignment="1" applyProtection="1">
      <alignment vertical="center" wrapText="1"/>
    </xf>
    <xf numFmtId="0" fontId="24" fillId="8" borderId="61" xfId="0" applyFont="1" applyFill="1" applyBorder="1" applyAlignment="1" applyProtection="1">
      <alignment vertical="center" wrapText="1"/>
    </xf>
    <xf numFmtId="0" fontId="24" fillId="10" borderId="29" xfId="0" applyFont="1" applyFill="1" applyBorder="1" applyAlignment="1" applyProtection="1">
      <alignment vertical="center" wrapText="1"/>
    </xf>
    <xf numFmtId="0" fontId="24" fillId="10" borderId="30" xfId="0" applyFont="1" applyFill="1" applyBorder="1" applyAlignment="1" applyProtection="1">
      <alignment vertical="center" wrapText="1"/>
    </xf>
    <xf numFmtId="0" fontId="24" fillId="10" borderId="31" xfId="0" applyFont="1" applyFill="1" applyBorder="1" applyAlignment="1" applyProtection="1">
      <alignment vertical="center" wrapText="1"/>
    </xf>
    <xf numFmtId="0" fontId="22" fillId="0" borderId="17" xfId="0" applyFont="1" applyFill="1" applyBorder="1" applyAlignment="1" applyProtection="1">
      <alignment vertical="center" wrapText="1"/>
    </xf>
    <xf numFmtId="0" fontId="22" fillId="0" borderId="15" xfId="0" applyFont="1" applyFill="1" applyBorder="1" applyAlignment="1" applyProtection="1">
      <alignment vertical="center" wrapText="1"/>
    </xf>
    <xf numFmtId="0" fontId="22" fillId="0" borderId="15" xfId="0" applyFont="1" applyBorder="1" applyAlignment="1" applyProtection="1">
      <alignment vertical="center" wrapText="1"/>
    </xf>
    <xf numFmtId="0" fontId="24" fillId="0" borderId="20" xfId="0" applyFont="1" applyBorder="1" applyAlignment="1" applyProtection="1">
      <alignment vertical="center" wrapText="1"/>
    </xf>
    <xf numFmtId="0" fontId="22" fillId="0" borderId="15" xfId="0" applyFont="1" applyBorder="1" applyAlignment="1" applyProtection="1">
      <alignment vertical="center" wrapText="1"/>
    </xf>
    <xf numFmtId="0" fontId="24" fillId="0" borderId="23" xfId="0" applyFont="1" applyBorder="1" applyAlignment="1" applyProtection="1">
      <alignment vertical="center" wrapText="1"/>
    </xf>
    <xf numFmtId="0" fontId="35" fillId="0" borderId="24" xfId="3" applyFont="1" applyBorder="1" applyAlignment="1" applyProtection="1">
      <alignment vertical="top" wrapText="1"/>
      <protection locked="0"/>
    </xf>
    <xf numFmtId="0" fontId="0" fillId="26" borderId="0" xfId="0" applyFill="1" applyProtection="1"/>
    <xf numFmtId="0" fontId="0" fillId="12" borderId="0" xfId="0" applyFill="1" applyProtection="1"/>
    <xf numFmtId="0" fontId="28" fillId="0" borderId="1" xfId="0" applyFont="1" applyBorder="1" applyAlignment="1" applyProtection="1">
      <alignment vertical="top" wrapText="1"/>
      <protection locked="0"/>
    </xf>
    <xf numFmtId="0" fontId="15" fillId="0" borderId="41" xfId="0" applyFont="1" applyBorder="1" applyAlignment="1" applyProtection="1">
      <alignment vertical="top" wrapText="1"/>
      <protection locked="0"/>
    </xf>
    <xf numFmtId="0" fontId="15" fillId="0" borderId="8" xfId="0" applyFont="1" applyBorder="1" applyAlignment="1" applyProtection="1">
      <alignment vertical="top" wrapText="1"/>
      <protection locked="0"/>
    </xf>
    <xf numFmtId="0" fontId="15" fillId="0" borderId="0" xfId="0" applyFont="1" applyAlignment="1">
      <alignment wrapText="1"/>
    </xf>
    <xf numFmtId="9" fontId="0" fillId="0" borderId="0" xfId="1" applyFont="1" applyAlignment="1">
      <alignment horizontal="center" vertical="center"/>
    </xf>
    <xf numFmtId="0" fontId="0" fillId="0" borderId="66" xfId="0" applyBorder="1" applyAlignment="1" applyProtection="1">
      <alignment vertical="top"/>
      <protection locked="0"/>
    </xf>
    <xf numFmtId="9" fontId="23" fillId="11" borderId="5" xfId="1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top" wrapText="1"/>
      <protection locked="0"/>
    </xf>
    <xf numFmtId="0" fontId="15" fillId="0" borderId="11" xfId="0" applyFont="1" applyBorder="1" applyAlignment="1" applyProtection="1">
      <alignment vertical="top" wrapText="1"/>
      <protection locked="0"/>
    </xf>
    <xf numFmtId="0" fontId="0" fillId="0" borderId="17" xfId="0" applyBorder="1" applyAlignment="1" applyProtection="1">
      <alignment vertical="top"/>
      <protection locked="0"/>
    </xf>
    <xf numFmtId="0" fontId="0" fillId="0" borderId="18" xfId="0" applyBorder="1" applyAlignment="1" applyProtection="1">
      <alignment vertical="top" wrapText="1"/>
      <protection locked="0"/>
    </xf>
    <xf numFmtId="0" fontId="15" fillId="0" borderId="18" xfId="0" applyFont="1" applyBorder="1" applyAlignment="1" applyProtection="1">
      <alignment vertical="top" wrapText="1"/>
      <protection locked="0"/>
    </xf>
    <xf numFmtId="9" fontId="23" fillId="11" borderId="19" xfId="1" applyFont="1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vertical="top"/>
      <protection locked="0"/>
    </xf>
    <xf numFmtId="9" fontId="23" fillId="11" borderId="20" xfId="1" applyFont="1" applyFill="1" applyBorder="1" applyAlignment="1" applyProtection="1">
      <alignment horizontal="center" vertical="center" wrapText="1"/>
    </xf>
    <xf numFmtId="0" fontId="0" fillId="0" borderId="21" xfId="0" applyBorder="1" applyAlignment="1" applyProtection="1">
      <alignment vertical="top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15" fillId="0" borderId="22" xfId="0" applyFont="1" applyBorder="1" applyAlignment="1" applyProtection="1">
      <alignment vertical="top" wrapText="1"/>
      <protection locked="0"/>
    </xf>
    <xf numFmtId="0" fontId="2" fillId="0" borderId="42" xfId="0" applyFont="1" applyBorder="1" applyProtection="1">
      <protection locked="0"/>
    </xf>
    <xf numFmtId="0" fontId="16" fillId="0" borderId="1" xfId="0" applyFont="1" applyBorder="1" applyAlignment="1" applyProtection="1">
      <alignment vertical="top" wrapText="1"/>
      <protection locked="0"/>
    </xf>
    <xf numFmtId="2" fontId="17" fillId="24" borderId="6" xfId="0" applyNumberFormat="1" applyFont="1" applyFill="1" applyBorder="1" applyProtection="1">
      <protection locked="0"/>
    </xf>
    <xf numFmtId="0" fontId="15" fillId="12" borderId="1" xfId="0" applyFont="1" applyFill="1" applyBorder="1" applyAlignment="1" applyProtection="1">
      <alignment vertical="top" wrapText="1"/>
      <protection locked="0"/>
    </xf>
    <xf numFmtId="0" fontId="15" fillId="12" borderId="34" xfId="0" applyFont="1" applyFill="1" applyBorder="1" applyAlignment="1" applyProtection="1">
      <alignment vertical="center" wrapText="1"/>
      <protection locked="0"/>
    </xf>
    <xf numFmtId="0" fontId="15" fillId="25" borderId="34" xfId="0" applyFont="1" applyFill="1" applyBorder="1" applyAlignment="1" applyProtection="1">
      <alignment vertical="top"/>
      <protection locked="0"/>
    </xf>
    <xf numFmtId="0" fontId="15" fillId="29" borderId="33" xfId="0" applyFont="1" applyFill="1" applyBorder="1" applyAlignment="1" applyProtection="1">
      <alignment vertical="top" wrapText="1"/>
      <protection locked="0"/>
    </xf>
    <xf numFmtId="0" fontId="15" fillId="25" borderId="53" xfId="0" applyFont="1" applyFill="1" applyBorder="1" applyAlignment="1" applyProtection="1">
      <alignment vertical="top" wrapText="1"/>
      <protection locked="0"/>
    </xf>
    <xf numFmtId="0" fontId="15" fillId="0" borderId="26" xfId="0" applyFont="1" applyBorder="1" applyAlignment="1" applyProtection="1">
      <alignment vertical="top" wrapText="1"/>
      <protection locked="0"/>
    </xf>
    <xf numFmtId="0" fontId="15" fillId="12" borderId="33" xfId="0" applyFont="1" applyFill="1" applyBorder="1" applyAlignment="1" applyProtection="1">
      <alignment wrapText="1"/>
      <protection locked="0"/>
    </xf>
    <xf numFmtId="0" fontId="39" fillId="0" borderId="25" xfId="0" applyFont="1" applyBorder="1" applyAlignment="1" applyProtection="1">
      <alignment horizontal="left" vertical="center" wrapText="1"/>
      <protection locked="0"/>
    </xf>
    <xf numFmtId="0" fontId="34" fillId="0" borderId="34" xfId="3" applyFont="1" applyBorder="1" applyAlignment="1" applyProtection="1">
      <alignment wrapText="1"/>
      <protection locked="0"/>
    </xf>
    <xf numFmtId="0" fontId="35" fillId="0" borderId="32" xfId="3" applyFont="1" applyBorder="1" applyAlignment="1" applyProtection="1">
      <alignment vertical="top" wrapText="1"/>
      <protection locked="0"/>
    </xf>
    <xf numFmtId="0" fontId="35" fillId="0" borderId="34" xfId="3" applyFont="1" applyBorder="1" applyAlignment="1" applyProtection="1">
      <alignment vertical="top" wrapText="1"/>
      <protection locked="0"/>
    </xf>
    <xf numFmtId="0" fontId="15" fillId="12" borderId="34" xfId="0" applyFont="1" applyFill="1" applyBorder="1" applyAlignment="1" applyProtection="1">
      <alignment vertical="top"/>
      <protection locked="0"/>
    </xf>
    <xf numFmtId="0" fontId="16" fillId="11" borderId="43" xfId="0" applyFont="1" applyFill="1" applyBorder="1" applyAlignment="1" applyProtection="1">
      <alignment vertical="top" wrapText="1"/>
      <protection locked="0"/>
    </xf>
    <xf numFmtId="0" fontId="16" fillId="11" borderId="1" xfId="0" applyFont="1" applyFill="1" applyBorder="1" applyAlignment="1" applyProtection="1">
      <alignment vertical="top" wrapText="1"/>
      <protection locked="0"/>
    </xf>
    <xf numFmtId="0" fontId="16" fillId="9" borderId="2" xfId="0" applyFont="1" applyFill="1" applyBorder="1" applyAlignment="1" applyProtection="1">
      <alignment vertical="top" wrapText="1"/>
      <protection locked="0"/>
    </xf>
    <xf numFmtId="0" fontId="16" fillId="9" borderId="1" xfId="0" applyFont="1" applyFill="1" applyBorder="1" applyAlignment="1" applyProtection="1">
      <alignment vertical="top" wrapText="1"/>
      <protection locked="0"/>
    </xf>
    <xf numFmtId="0" fontId="15" fillId="0" borderId="43" xfId="0" applyFont="1" applyBorder="1" applyAlignment="1" applyProtection="1">
      <alignment vertical="top" wrapText="1"/>
      <protection locked="0"/>
    </xf>
    <xf numFmtId="0" fontId="15" fillId="12" borderId="1" xfId="0" applyFont="1" applyFill="1" applyBorder="1" applyAlignment="1" applyProtection="1">
      <alignment wrapText="1"/>
      <protection locked="0"/>
    </xf>
    <xf numFmtId="0" fontId="4" fillId="11" borderId="47" xfId="0" applyFont="1" applyFill="1" applyBorder="1" applyAlignment="1" applyProtection="1">
      <alignment vertical="center" wrapText="1"/>
    </xf>
    <xf numFmtId="0" fontId="11" fillId="28" borderId="7" xfId="0" applyFont="1" applyFill="1" applyBorder="1" applyAlignment="1" applyProtection="1">
      <alignment vertical="center" wrapText="1"/>
    </xf>
    <xf numFmtId="0" fontId="24" fillId="0" borderId="34" xfId="0" applyFont="1" applyBorder="1" applyAlignment="1" applyProtection="1">
      <alignment vertical="center" wrapText="1"/>
    </xf>
    <xf numFmtId="0" fontId="20" fillId="24" borderId="44" xfId="0" applyFont="1" applyFill="1" applyBorder="1"/>
    <xf numFmtId="0" fontId="0" fillId="24" borderId="0" xfId="0" applyFill="1"/>
    <xf numFmtId="0" fontId="20" fillId="24" borderId="43" xfId="0" applyFont="1" applyFill="1" applyBorder="1"/>
    <xf numFmtId="0" fontId="20" fillId="24" borderId="0" xfId="0" applyFont="1" applyFill="1"/>
    <xf numFmtId="0" fontId="21" fillId="24" borderId="0" xfId="0" applyFont="1" applyFill="1"/>
    <xf numFmtId="0" fontId="20" fillId="24" borderId="0" xfId="0" applyFont="1" applyFill="1" applyProtection="1">
      <protection locked="0"/>
    </xf>
    <xf numFmtId="0" fontId="17" fillId="24" borderId="43" xfId="0" applyFont="1" applyFill="1" applyBorder="1"/>
    <xf numFmtId="0" fontId="17" fillId="24" borderId="0" xfId="0" applyFont="1" applyFill="1"/>
    <xf numFmtId="0" fontId="17" fillId="24" borderId="0" xfId="0" applyFont="1" applyFill="1" applyProtection="1">
      <protection locked="0"/>
    </xf>
    <xf numFmtId="0" fontId="19" fillId="23" borderId="1" xfId="0" applyFont="1" applyFill="1" applyBorder="1" applyAlignment="1">
      <alignment horizontal="center" vertical="center"/>
    </xf>
    <xf numFmtId="165" fontId="0" fillId="15" borderId="5" xfId="0" applyNumberFormat="1" applyFill="1" applyBorder="1" applyAlignment="1">
      <alignment horizontal="center" vertical="center"/>
    </xf>
    <xf numFmtId="0" fontId="17" fillId="24" borderId="6" xfId="0" applyFont="1" applyFill="1" applyBorder="1"/>
    <xf numFmtId="0" fontId="0" fillId="2" borderId="3" xfId="0" applyFill="1" applyBorder="1" applyAlignment="1">
      <alignment vertical="center" wrapText="1"/>
    </xf>
    <xf numFmtId="0" fontId="0" fillId="9" borderId="3" xfId="0" applyFill="1" applyBorder="1" applyAlignment="1">
      <alignment vertical="center" wrapText="1"/>
    </xf>
    <xf numFmtId="2" fontId="0" fillId="9" borderId="3" xfId="0" applyNumberFormat="1" applyFill="1" applyBorder="1" applyAlignment="1">
      <alignment vertical="center" wrapText="1"/>
    </xf>
    <xf numFmtId="0" fontId="0" fillId="11" borderId="43" xfId="0" applyFill="1" applyBorder="1" applyAlignment="1">
      <alignment vertical="center" wrapText="1"/>
    </xf>
    <xf numFmtId="0" fontId="2" fillId="11" borderId="70" xfId="0" applyFont="1" applyFill="1" applyBorder="1" applyAlignment="1">
      <alignment horizontal="center" vertical="center" wrapText="1"/>
    </xf>
    <xf numFmtId="0" fontId="2" fillId="11" borderId="71" xfId="0" applyFont="1" applyFill="1" applyBorder="1" applyAlignment="1">
      <alignment horizontal="center" vertical="center" wrapText="1"/>
    </xf>
    <xf numFmtId="0" fontId="2" fillId="11" borderId="75" xfId="0" applyFont="1" applyFill="1" applyBorder="1" applyAlignment="1">
      <alignment horizontal="center" vertical="center" wrapText="1"/>
    </xf>
    <xf numFmtId="0" fontId="2" fillId="11" borderId="68" xfId="0" applyFont="1" applyFill="1" applyBorder="1" applyAlignment="1">
      <alignment horizontal="center" vertical="center" wrapText="1"/>
    </xf>
    <xf numFmtId="2" fontId="2" fillId="11" borderId="9" xfId="0" applyNumberFormat="1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1" xfId="0" applyBorder="1"/>
    <xf numFmtId="2" fontId="0" fillId="0" borderId="1" xfId="0" applyNumberFormat="1" applyBorder="1"/>
    <xf numFmtId="2" fontId="0" fillId="0" borderId="4" xfId="0" applyNumberFormat="1" applyBorder="1"/>
    <xf numFmtId="0" fontId="2" fillId="5" borderId="17" xfId="0" applyFont="1" applyFill="1" applyBorder="1"/>
    <xf numFmtId="0" fontId="0" fillId="5" borderId="18" xfId="0" applyFill="1" applyBorder="1"/>
    <xf numFmtId="0" fontId="0" fillId="5" borderId="19" xfId="0" applyFill="1" applyBorder="1"/>
    <xf numFmtId="0" fontId="4" fillId="9" borderId="10" xfId="0" applyFont="1" applyFill="1" applyBorder="1" applyAlignment="1">
      <alignment vertical="center" wrapText="1"/>
    </xf>
    <xf numFmtId="0" fontId="0" fillId="9" borderId="10" xfId="0" applyFill="1" applyBorder="1"/>
    <xf numFmtId="0" fontId="0" fillId="9" borderId="0" xfId="0" applyFill="1"/>
    <xf numFmtId="0" fontId="2" fillId="9" borderId="54" xfId="0" applyFont="1" applyFill="1" applyBorder="1"/>
    <xf numFmtId="0" fontId="0" fillId="9" borderId="14" xfId="0" applyFill="1" applyBorder="1"/>
    <xf numFmtId="0" fontId="0" fillId="9" borderId="74" xfId="0" applyFill="1" applyBorder="1"/>
    <xf numFmtId="0" fontId="4" fillId="11" borderId="10" xfId="0" applyFont="1" applyFill="1" applyBorder="1" applyAlignment="1">
      <alignment vertical="center" wrapText="1"/>
    </xf>
    <xf numFmtId="0" fontId="0" fillId="11" borderId="10" xfId="0" applyFill="1" applyBorder="1"/>
    <xf numFmtId="0" fontId="0" fillId="11" borderId="0" xfId="0" applyFill="1"/>
    <xf numFmtId="0" fontId="2" fillId="11" borderId="54" xfId="0" applyFont="1" applyFill="1" applyBorder="1"/>
    <xf numFmtId="0" fontId="0" fillId="11" borderId="14" xfId="0" applyFill="1" applyBorder="1"/>
    <xf numFmtId="0" fontId="0" fillId="11" borderId="74" xfId="0" applyFill="1" applyBorder="1"/>
    <xf numFmtId="0" fontId="22" fillId="0" borderId="29" xfId="0" applyFont="1" applyBorder="1" applyAlignment="1">
      <alignment vertical="center" wrapText="1"/>
    </xf>
    <xf numFmtId="165" fontId="23" fillId="20" borderId="32" xfId="0" applyNumberFormat="1" applyFont="1" applyFill="1" applyBorder="1" applyAlignment="1">
      <alignment horizontal="center" vertical="center" wrapText="1"/>
    </xf>
    <xf numFmtId="0" fontId="24" fillId="0" borderId="29" xfId="0" applyFont="1" applyBorder="1" applyAlignment="1">
      <alignment vertical="center" wrapText="1"/>
    </xf>
    <xf numFmtId="165" fontId="25" fillId="4" borderId="24" xfId="0" applyNumberFormat="1" applyFont="1" applyFill="1" applyBorder="1" applyAlignment="1">
      <alignment horizontal="center" vertical="center" wrapText="1"/>
    </xf>
    <xf numFmtId="0" fontId="2" fillId="5" borderId="15" xfId="0" applyFont="1" applyFill="1" applyBorder="1"/>
    <xf numFmtId="2" fontId="2" fillId="5" borderId="11" xfId="0" applyNumberFormat="1" applyFont="1" applyFill="1" applyBorder="1"/>
    <xf numFmtId="0" fontId="0" fillId="5" borderId="11" xfId="0" applyFill="1" applyBorder="1"/>
    <xf numFmtId="0" fontId="0" fillId="5" borderId="20" xfId="0" applyFill="1" applyBorder="1"/>
    <xf numFmtId="0" fontId="22" fillId="0" borderId="31" xfId="0" applyFont="1" applyBorder="1" applyAlignment="1">
      <alignment vertical="center" wrapText="1"/>
    </xf>
    <xf numFmtId="165" fontId="23" fillId="20" borderId="34" xfId="0" applyNumberFormat="1" applyFont="1" applyFill="1" applyBorder="1" applyAlignment="1">
      <alignment horizontal="center" vertical="center" wrapText="1"/>
    </xf>
    <xf numFmtId="0" fontId="24" fillId="0" borderId="31" xfId="0" applyFont="1" applyBorder="1" applyAlignment="1">
      <alignment vertical="center" wrapText="1"/>
    </xf>
    <xf numFmtId="165" fontId="25" fillId="4" borderId="26" xfId="0" applyNumberFormat="1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vertical="center"/>
    </xf>
    <xf numFmtId="2" fontId="14" fillId="5" borderId="11" xfId="0" applyNumberFormat="1" applyFont="1" applyFill="1" applyBorder="1" applyAlignment="1">
      <alignment horizontal="center" vertical="center"/>
    </xf>
    <xf numFmtId="0" fontId="22" fillId="0" borderId="61" xfId="0" applyFont="1" applyBorder="1" applyAlignment="1">
      <alignment vertical="center" wrapText="1"/>
    </xf>
    <xf numFmtId="165" fontId="23" fillId="4" borderId="53" xfId="0" applyNumberFormat="1" applyFont="1" applyFill="1" applyBorder="1" applyAlignment="1">
      <alignment horizontal="center" vertical="center" wrapText="1"/>
    </xf>
    <xf numFmtId="0" fontId="24" fillId="0" borderId="53" xfId="0" applyFont="1" applyBorder="1" applyAlignment="1">
      <alignment vertical="center" wrapText="1"/>
    </xf>
    <xf numFmtId="165" fontId="12" fillId="4" borderId="66" xfId="0" applyNumberFormat="1" applyFont="1" applyFill="1" applyBorder="1" applyAlignment="1">
      <alignment horizontal="center" vertical="center" wrapText="1"/>
    </xf>
    <xf numFmtId="9" fontId="0" fillId="5" borderId="11" xfId="1" applyFont="1" applyFill="1" applyBorder="1"/>
    <xf numFmtId="165" fontId="23" fillId="4" borderId="33" xfId="0" applyNumberFormat="1" applyFont="1" applyFill="1" applyBorder="1" applyAlignment="1">
      <alignment horizontal="center" vertical="center" wrapText="1"/>
    </xf>
    <xf numFmtId="0" fontId="24" fillId="0" borderId="41" xfId="0" applyFont="1" applyBorder="1" applyAlignment="1">
      <alignment vertical="center" wrapText="1"/>
    </xf>
    <xf numFmtId="165" fontId="12" fillId="4" borderId="37" xfId="0" applyNumberFormat="1" applyFont="1" applyFill="1" applyBorder="1" applyAlignment="1">
      <alignment horizontal="center" vertical="center" wrapText="1"/>
    </xf>
    <xf numFmtId="0" fontId="13" fillId="5" borderId="21" xfId="0" applyFont="1" applyFill="1" applyBorder="1" applyAlignment="1">
      <alignment vertical="center"/>
    </xf>
    <xf numFmtId="2" fontId="14" fillId="5" borderId="22" xfId="0" applyNumberFormat="1" applyFont="1" applyFill="1" applyBorder="1" applyAlignment="1">
      <alignment horizontal="center" vertical="center"/>
    </xf>
    <xf numFmtId="2" fontId="0" fillId="5" borderId="22" xfId="0" applyNumberFormat="1" applyFill="1" applyBorder="1"/>
    <xf numFmtId="0" fontId="0" fillId="5" borderId="23" xfId="0" applyFill="1" applyBorder="1"/>
    <xf numFmtId="0" fontId="24" fillId="0" borderId="24" xfId="0" applyFont="1" applyBorder="1" applyAlignment="1">
      <alignment vertical="center" wrapText="1"/>
    </xf>
    <xf numFmtId="0" fontId="24" fillId="0" borderId="25" xfId="0" applyFont="1" applyBorder="1" applyAlignment="1">
      <alignment vertical="center" wrapText="1"/>
    </xf>
    <xf numFmtId="165" fontId="25" fillId="4" borderId="25" xfId="0" applyNumberFormat="1" applyFont="1" applyFill="1" applyBorder="1" applyAlignment="1">
      <alignment horizontal="center" vertical="center" wrapText="1"/>
    </xf>
    <xf numFmtId="0" fontId="24" fillId="0" borderId="26" xfId="0" applyFont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24" fillId="0" borderId="32" xfId="0" applyFont="1" applyBorder="1" applyAlignment="1">
      <alignment vertical="center" wrapText="1"/>
    </xf>
    <xf numFmtId="165" fontId="25" fillId="4" borderId="32" xfId="0" applyNumberFormat="1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vertical="center" wrapText="1"/>
    </xf>
    <xf numFmtId="0" fontId="24" fillId="0" borderId="33" xfId="0" applyFont="1" applyBorder="1" applyAlignment="1">
      <alignment vertical="center" wrapText="1"/>
    </xf>
    <xf numFmtId="165" fontId="25" fillId="4" borderId="33" xfId="0" applyNumberFormat="1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vertical="center" wrapText="1"/>
    </xf>
    <xf numFmtId="165" fontId="25" fillId="4" borderId="41" xfId="0" applyNumberFormat="1" applyFont="1" applyFill="1" applyBorder="1" applyAlignment="1">
      <alignment horizontal="center" vertical="center" wrapText="1"/>
    </xf>
    <xf numFmtId="0" fontId="24" fillId="0" borderId="39" xfId="0" applyFont="1" applyBorder="1" applyAlignment="1">
      <alignment vertical="center" wrapText="1"/>
    </xf>
    <xf numFmtId="165" fontId="25" fillId="4" borderId="37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4" fillId="0" borderId="34" xfId="0" applyFont="1" applyBorder="1" applyAlignment="1">
      <alignment vertical="center" wrapText="1"/>
    </xf>
    <xf numFmtId="165" fontId="25" fillId="4" borderId="34" xfId="0" applyNumberFormat="1" applyFont="1" applyFill="1" applyBorder="1" applyAlignment="1">
      <alignment horizontal="center" vertical="center" wrapText="1"/>
    </xf>
    <xf numFmtId="0" fontId="24" fillId="12" borderId="34" xfId="0" applyFont="1" applyFill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165" fontId="25" fillId="4" borderId="2" xfId="0" applyNumberFormat="1" applyFont="1" applyFill="1" applyBorder="1" applyAlignment="1">
      <alignment horizontal="center" vertical="center" wrapText="1"/>
    </xf>
    <xf numFmtId="0" fontId="24" fillId="12" borderId="2" xfId="0" applyFont="1" applyFill="1" applyBorder="1" applyAlignment="1">
      <alignment vertical="center" wrapText="1"/>
    </xf>
    <xf numFmtId="165" fontId="25" fillId="4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Protection="1">
      <protection locked="0"/>
    </xf>
    <xf numFmtId="0" fontId="22" fillId="0" borderId="2" xfId="0" applyFont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24" fillId="0" borderId="58" xfId="0" applyFont="1" applyBorder="1" applyAlignment="1">
      <alignment vertical="center" wrapText="1"/>
    </xf>
    <xf numFmtId="0" fontId="24" fillId="0" borderId="59" xfId="0" applyFont="1" applyBorder="1" applyAlignment="1">
      <alignment vertical="center" wrapText="1"/>
    </xf>
    <xf numFmtId="0" fontId="24" fillId="0" borderId="66" xfId="0" applyFont="1" applyBorder="1" applyAlignment="1">
      <alignment vertical="center" wrapText="1"/>
    </xf>
    <xf numFmtId="165" fontId="25" fillId="4" borderId="53" xfId="0" applyNumberFormat="1" applyFont="1" applyFill="1" applyBorder="1" applyAlignment="1">
      <alignment horizontal="center" vertical="center" wrapText="1"/>
    </xf>
    <xf numFmtId="165" fontId="26" fillId="4" borderId="61" xfId="0" applyNumberFormat="1" applyFont="1" applyFill="1" applyBorder="1" applyAlignment="1">
      <alignment horizontal="center" vertical="center" wrapText="1"/>
    </xf>
    <xf numFmtId="0" fontId="24" fillId="0" borderId="37" xfId="0" applyFont="1" applyBorder="1" applyAlignment="1">
      <alignment vertical="center" wrapText="1"/>
    </xf>
    <xf numFmtId="165" fontId="26" fillId="4" borderId="40" xfId="0" applyNumberFormat="1" applyFont="1" applyFill="1" applyBorder="1" applyAlignment="1">
      <alignment horizontal="center" vertical="center" wrapText="1"/>
    </xf>
    <xf numFmtId="165" fontId="25" fillId="4" borderId="49" xfId="0" applyNumberFormat="1" applyFont="1" applyFill="1" applyBorder="1" applyAlignment="1">
      <alignment horizontal="center" vertical="center" wrapText="1"/>
    </xf>
    <xf numFmtId="165" fontId="25" fillId="4" borderId="28" xfId="0" applyNumberFormat="1" applyFont="1" applyFill="1" applyBorder="1" applyAlignment="1">
      <alignment horizontal="center" vertical="center" wrapText="1"/>
    </xf>
    <xf numFmtId="0" fontId="0" fillId="2" borderId="16" xfId="0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27" fillId="0" borderId="32" xfId="0" applyFont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22" fillId="0" borderId="0" xfId="0" applyFont="1" applyAlignment="1">
      <alignment wrapText="1"/>
    </xf>
    <xf numFmtId="165" fontId="23" fillId="4" borderId="10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165" fontId="25" fillId="4" borderId="10" xfId="0" applyNumberFormat="1" applyFont="1" applyFill="1" applyBorder="1" applyAlignment="1">
      <alignment horizontal="center" vertical="center" wrapText="1"/>
    </xf>
    <xf numFmtId="0" fontId="24" fillId="12" borderId="45" xfId="0" applyFont="1" applyFill="1" applyBorder="1" applyAlignment="1">
      <alignment vertical="center" wrapText="1"/>
    </xf>
    <xf numFmtId="165" fontId="25" fillId="12" borderId="42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vertical="center" wrapText="1"/>
    </xf>
    <xf numFmtId="0" fontId="24" fillId="12" borderId="32" xfId="0" applyFont="1" applyFill="1" applyBorder="1" applyAlignment="1">
      <alignment vertical="center" wrapText="1"/>
    </xf>
    <xf numFmtId="165" fontId="25" fillId="13" borderId="32" xfId="0" applyNumberFormat="1" applyFont="1" applyFill="1" applyBorder="1" applyAlignment="1">
      <alignment horizontal="center" vertical="center" wrapText="1"/>
    </xf>
    <xf numFmtId="0" fontId="24" fillId="12" borderId="29" xfId="0" applyFont="1" applyFill="1" applyBorder="1" applyAlignment="1">
      <alignment vertical="center" wrapText="1"/>
    </xf>
    <xf numFmtId="0" fontId="24" fillId="12" borderId="33" xfId="0" applyFont="1" applyFill="1" applyBorder="1" applyAlignment="1">
      <alignment vertical="center" wrapText="1"/>
    </xf>
    <xf numFmtId="165" fontId="25" fillId="13" borderId="33" xfId="0" applyNumberFormat="1" applyFont="1" applyFill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165" fontId="23" fillId="4" borderId="25" xfId="0" applyNumberFormat="1" applyFont="1" applyFill="1" applyBorder="1" applyAlignment="1">
      <alignment horizontal="center" vertical="center" wrapText="1"/>
    </xf>
    <xf numFmtId="0" fontId="22" fillId="0" borderId="34" xfId="0" applyFont="1" applyBorder="1" applyAlignment="1">
      <alignment vertical="center" wrapText="1"/>
    </xf>
    <xf numFmtId="165" fontId="23" fillId="4" borderId="26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165" fontId="23" fillId="4" borderId="1" xfId="0" applyNumberFormat="1" applyFont="1" applyFill="1" applyBorder="1" applyAlignment="1">
      <alignment horizontal="center" vertical="center" wrapText="1"/>
    </xf>
    <xf numFmtId="165" fontId="23" fillId="4" borderId="16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165" fontId="25" fillId="7" borderId="7" xfId="0" applyNumberFormat="1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vertical="center" wrapText="1"/>
    </xf>
    <xf numFmtId="165" fontId="25" fillId="7" borderId="1" xfId="0" applyNumberFormat="1" applyFont="1" applyFill="1" applyBorder="1" applyAlignment="1">
      <alignment horizontal="center" vertical="center" wrapText="1"/>
    </xf>
    <xf numFmtId="0" fontId="22" fillId="12" borderId="1" xfId="0" applyFont="1" applyFill="1" applyBorder="1" applyAlignment="1">
      <alignment vertical="center" wrapText="1"/>
    </xf>
    <xf numFmtId="165" fontId="23" fillId="7" borderId="2" xfId="0" applyNumberFormat="1" applyFont="1" applyFill="1" applyBorder="1" applyAlignment="1">
      <alignment horizontal="center" vertical="center" wrapText="1"/>
    </xf>
    <xf numFmtId="0" fontId="24" fillId="0" borderId="5" xfId="0" applyFont="1" applyBorder="1" applyAlignment="1">
      <alignment vertical="center" wrapText="1"/>
    </xf>
    <xf numFmtId="165" fontId="25" fillId="14" borderId="7" xfId="0" applyNumberFormat="1" applyFont="1" applyFill="1" applyBorder="1" applyAlignment="1">
      <alignment horizontal="center" vertical="center" wrapText="1"/>
    </xf>
    <xf numFmtId="0" fontId="24" fillId="12" borderId="7" xfId="0" applyFont="1" applyFill="1" applyBorder="1" applyAlignment="1">
      <alignment vertical="center" wrapText="1"/>
    </xf>
    <xf numFmtId="0" fontId="24" fillId="12" borderId="6" xfId="0" applyFont="1" applyFill="1" applyBorder="1" applyAlignment="1">
      <alignment vertical="center" wrapText="1"/>
    </xf>
    <xf numFmtId="165" fontId="25" fillId="4" borderId="7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24" fillId="0" borderId="7" xfId="0" applyFont="1" applyBorder="1" applyAlignment="1">
      <alignment vertical="center" wrapText="1"/>
    </xf>
    <xf numFmtId="165" fontId="23" fillId="4" borderId="2" xfId="0" applyNumberFormat="1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vertical="center" wrapText="1"/>
    </xf>
    <xf numFmtId="0" fontId="24" fillId="0" borderId="61" xfId="0" applyFont="1" applyBorder="1" applyAlignment="1">
      <alignment vertical="center" wrapText="1"/>
    </xf>
    <xf numFmtId="0" fontId="24" fillId="12" borderId="30" xfId="0" applyFont="1" applyFill="1" applyBorder="1" applyAlignment="1">
      <alignment vertical="center" wrapText="1"/>
    </xf>
    <xf numFmtId="0" fontId="24" fillId="12" borderId="31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vertical="center" wrapText="1"/>
    </xf>
    <xf numFmtId="0" fontId="24" fillId="0" borderId="74" xfId="0" applyFont="1" applyBorder="1" applyAlignment="1">
      <alignment vertical="center" wrapText="1"/>
    </xf>
    <xf numFmtId="165" fontId="25" fillId="4" borderId="61" xfId="0" applyNumberFormat="1" applyFont="1" applyFill="1" applyBorder="1" applyAlignment="1">
      <alignment horizontal="center" vertical="center" wrapText="1"/>
    </xf>
    <xf numFmtId="165" fontId="25" fillId="4" borderId="30" xfId="0" applyNumberFormat="1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vertical="center" wrapText="1"/>
    </xf>
    <xf numFmtId="165" fontId="25" fillId="4" borderId="31" xfId="0" applyNumberFormat="1" applyFont="1" applyFill="1" applyBorder="1" applyAlignment="1">
      <alignment horizontal="center" vertical="center" wrapText="1"/>
    </xf>
    <xf numFmtId="165" fontId="25" fillId="4" borderId="29" xfId="0" applyNumberFormat="1" applyFont="1" applyFill="1" applyBorder="1" applyAlignment="1">
      <alignment horizontal="center" vertical="center" wrapText="1"/>
    </xf>
    <xf numFmtId="165" fontId="25" fillId="4" borderId="27" xfId="0" applyNumberFormat="1" applyFont="1" applyFill="1" applyBorder="1" applyAlignment="1">
      <alignment horizontal="center" vertical="center" wrapText="1"/>
    </xf>
    <xf numFmtId="0" fontId="10" fillId="11" borderId="42" xfId="0" applyFont="1" applyFill="1" applyBorder="1" applyAlignment="1">
      <alignment vertical="center" wrapText="1"/>
    </xf>
    <xf numFmtId="0" fontId="2" fillId="14" borderId="2" xfId="0" applyFont="1" applyFill="1" applyBorder="1" applyAlignment="1">
      <alignment horizontal="center" vertical="center"/>
    </xf>
    <xf numFmtId="1" fontId="2" fillId="14" borderId="5" xfId="0" applyNumberFormat="1" applyFont="1" applyFill="1" applyBorder="1" applyAlignment="1">
      <alignment horizontal="center" vertical="center"/>
    </xf>
    <xf numFmtId="0" fontId="0" fillId="14" borderId="6" xfId="0" applyFill="1" applyBorder="1"/>
    <xf numFmtId="0" fontId="0" fillId="14" borderId="65" xfId="0" applyFill="1" applyBorder="1"/>
    <xf numFmtId="0" fontId="2" fillId="23" borderId="0" xfId="0" applyFont="1" applyFill="1" applyAlignment="1">
      <alignment horizontal="center"/>
    </xf>
    <xf numFmtId="0" fontId="2" fillId="0" borderId="0" xfId="0" applyFont="1"/>
    <xf numFmtId="165" fontId="12" fillId="4" borderId="53" xfId="0" applyNumberFormat="1" applyFont="1" applyFill="1" applyBorder="1" applyAlignment="1">
      <alignment horizontal="center" vertical="center" wrapText="1"/>
    </xf>
    <xf numFmtId="165" fontId="12" fillId="4" borderId="41" xfId="0" applyNumberFormat="1" applyFont="1" applyFill="1" applyBorder="1" applyAlignment="1">
      <alignment horizontal="center" vertical="center" wrapText="1"/>
    </xf>
    <xf numFmtId="0" fontId="40" fillId="0" borderId="34" xfId="0" applyFont="1" applyBorder="1" applyAlignment="1" applyProtection="1">
      <alignment vertical="center" wrapText="1"/>
      <protection locked="0"/>
    </xf>
    <xf numFmtId="0" fontId="6" fillId="3" borderId="1" xfId="0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5" fontId="23" fillId="4" borderId="5" xfId="0" applyNumberFormat="1" applyFont="1" applyFill="1" applyBorder="1" applyAlignment="1">
      <alignment horizontal="center" vertical="center" wrapText="1"/>
    </xf>
    <xf numFmtId="165" fontId="23" fillId="7" borderId="1" xfId="0" applyNumberFormat="1" applyFont="1" applyFill="1" applyBorder="1" applyAlignment="1">
      <alignment horizontal="center" vertical="center" wrapText="1"/>
    </xf>
    <xf numFmtId="9" fontId="48" fillId="27" borderId="9" xfId="1" applyFont="1" applyFill="1" applyBorder="1" applyAlignment="1" applyProtection="1">
      <alignment horizontal="center" vertical="center" wrapText="1"/>
    </xf>
    <xf numFmtId="9" fontId="48" fillId="11" borderId="1" xfId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27" borderId="45" xfId="0" applyFont="1" applyFill="1" applyBorder="1" applyProtection="1">
      <protection locked="0"/>
    </xf>
    <xf numFmtId="0" fontId="50" fillId="27" borderId="9" xfId="0" applyFont="1" applyFill="1" applyBorder="1" applyProtection="1">
      <protection locked="0"/>
    </xf>
    <xf numFmtId="0" fontId="50" fillId="27" borderId="7" xfId="0" applyFont="1" applyFill="1" applyBorder="1" applyProtection="1">
      <protection locked="0"/>
    </xf>
    <xf numFmtId="9" fontId="48" fillId="11" borderId="32" xfId="1" applyFont="1" applyFill="1" applyBorder="1" applyAlignment="1" applyProtection="1">
      <alignment horizontal="center" vertical="center" wrapText="1"/>
    </xf>
    <xf numFmtId="0" fontId="49" fillId="3" borderId="0" xfId="0" applyFont="1" applyFill="1" applyBorder="1" applyAlignment="1" applyProtection="1">
      <alignment vertical="center" wrapText="1"/>
    </xf>
    <xf numFmtId="0" fontId="49" fillId="3" borderId="6" xfId="0" applyFont="1" applyFill="1" applyBorder="1" applyAlignment="1" applyProtection="1">
      <alignment vertical="center" wrapText="1"/>
    </xf>
    <xf numFmtId="0" fontId="52" fillId="3" borderId="42" xfId="0" applyFont="1" applyFill="1" applyBorder="1" applyAlignment="1" applyProtection="1">
      <alignment vertical="center" wrapText="1"/>
    </xf>
    <xf numFmtId="0" fontId="52" fillId="3" borderId="0" xfId="0" applyFont="1" applyFill="1" applyBorder="1" applyAlignment="1" applyProtection="1">
      <alignment vertical="center" wrapText="1"/>
    </xf>
    <xf numFmtId="0" fontId="47" fillId="2" borderId="16" xfId="0" applyFont="1" applyFill="1" applyBorder="1" applyAlignment="1" applyProtection="1">
      <alignment vertical="center" wrapText="1"/>
    </xf>
    <xf numFmtId="0" fontId="49" fillId="3" borderId="42" xfId="0" applyFont="1" applyFill="1" applyBorder="1" applyAlignment="1" applyProtection="1">
      <alignment vertical="center" wrapText="1"/>
    </xf>
    <xf numFmtId="0" fontId="47" fillId="3" borderId="0" xfId="0" applyFont="1" applyFill="1" applyBorder="1" applyAlignment="1" applyProtection="1">
      <alignment vertical="center" wrapText="1"/>
    </xf>
    <xf numFmtId="0" fontId="49" fillId="3" borderId="2" xfId="0" applyFont="1" applyFill="1" applyBorder="1" applyAlignment="1" applyProtection="1">
      <alignment vertical="center" wrapText="1"/>
    </xf>
    <xf numFmtId="0" fontId="11" fillId="2" borderId="16" xfId="0" applyFont="1" applyFill="1" applyBorder="1" applyAlignment="1" applyProtection="1">
      <alignment vertical="center" wrapText="1"/>
    </xf>
    <xf numFmtId="0" fontId="49" fillId="3" borderId="16" xfId="0" applyFont="1" applyFill="1" applyBorder="1" applyAlignment="1" applyProtection="1">
      <alignment vertical="center" wrapText="1"/>
    </xf>
    <xf numFmtId="0" fontId="47" fillId="9" borderId="3" xfId="0" applyFont="1" applyFill="1" applyBorder="1" applyAlignment="1" applyProtection="1">
      <alignment vertical="center" wrapText="1"/>
    </xf>
    <xf numFmtId="0" fontId="52" fillId="3" borderId="2" xfId="0" applyFont="1" applyFill="1" applyBorder="1" applyAlignment="1" applyProtection="1">
      <alignment vertical="center" wrapText="1"/>
    </xf>
    <xf numFmtId="0" fontId="47" fillId="2" borderId="2" xfId="0" applyFont="1" applyFill="1" applyBorder="1" applyAlignment="1" applyProtection="1">
      <alignment vertical="center" wrapText="1"/>
    </xf>
    <xf numFmtId="0" fontId="49" fillId="11" borderId="42" xfId="0" applyFont="1" applyFill="1" applyBorder="1" applyAlignment="1" applyProtection="1">
      <alignment vertical="center" wrapText="1"/>
    </xf>
    <xf numFmtId="0" fontId="49" fillId="3" borderId="44" xfId="0" applyFont="1" applyFill="1" applyBorder="1" applyAlignment="1" applyProtection="1">
      <alignment vertical="center" wrapText="1"/>
    </xf>
    <xf numFmtId="0" fontId="53" fillId="11" borderId="16" xfId="0" applyFont="1" applyFill="1" applyBorder="1" applyAlignment="1" applyProtection="1">
      <alignment vertical="center" wrapText="1"/>
    </xf>
    <xf numFmtId="9" fontId="48" fillId="11" borderId="10" xfId="1" applyFont="1" applyFill="1" applyBorder="1" applyAlignment="1" applyProtection="1">
      <alignment horizontal="center" vertical="center" wrapText="1"/>
    </xf>
    <xf numFmtId="9" fontId="48" fillId="11" borderId="34" xfId="1" applyFont="1" applyFill="1" applyBorder="1" applyAlignment="1" applyProtection="1">
      <alignment horizontal="center" vertical="center" wrapText="1"/>
    </xf>
    <xf numFmtId="9" fontId="51" fillId="6" borderId="1" xfId="1" applyFont="1" applyFill="1" applyBorder="1" applyAlignment="1" applyProtection="1">
      <alignment horizontal="center" vertical="center" wrapText="1"/>
    </xf>
    <xf numFmtId="0" fontId="21" fillId="27" borderId="43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9" fontId="51" fillId="6" borderId="10" xfId="1" applyFont="1" applyFill="1" applyBorder="1" applyAlignment="1" applyProtection="1">
      <alignment horizontal="center" vertical="center" wrapText="1"/>
    </xf>
    <xf numFmtId="9" fontId="51" fillId="6" borderId="8" xfId="1" applyFont="1" applyFill="1" applyBorder="1" applyAlignment="1" applyProtection="1">
      <alignment horizontal="center" vertical="center" wrapText="1"/>
    </xf>
    <xf numFmtId="9" fontId="51" fillId="6" borderId="5" xfId="1" applyFont="1" applyFill="1" applyBorder="1" applyAlignment="1" applyProtection="1">
      <alignment horizontal="center" vertical="center" wrapText="1"/>
    </xf>
    <xf numFmtId="0" fontId="26" fillId="11" borderId="2" xfId="0" applyFont="1" applyFill="1" applyBorder="1" applyAlignment="1" applyProtection="1">
      <alignment vertical="center" wrapText="1"/>
    </xf>
    <xf numFmtId="0" fontId="26" fillId="11" borderId="3" xfId="0" applyFont="1" applyFill="1" applyBorder="1" applyAlignment="1" applyProtection="1">
      <alignment vertical="center" wrapText="1"/>
    </xf>
    <xf numFmtId="0" fontId="26" fillId="11" borderId="4" xfId="0" applyFont="1" applyFill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/>
      <protection locked="0"/>
    </xf>
    <xf numFmtId="0" fontId="24" fillId="0" borderId="24" xfId="0" applyFont="1" applyBorder="1" applyAlignment="1" applyProtection="1">
      <alignment vertical="center" wrapText="1"/>
    </xf>
    <xf numFmtId="0" fontId="24" fillId="0" borderId="26" xfId="0" applyFont="1" applyBorder="1" applyAlignment="1" applyProtection="1">
      <alignment vertical="center" wrapText="1"/>
    </xf>
    <xf numFmtId="9" fontId="11" fillId="0" borderId="10" xfId="0" applyNumberFormat="1" applyFont="1" applyBorder="1" applyAlignment="1" applyProtection="1">
      <alignment horizontal="center" vertical="center" wrapText="1"/>
    </xf>
    <xf numFmtId="9" fontId="11" fillId="0" borderId="5" xfId="0" applyNumberFormat="1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3" fillId="3" borderId="42" xfId="0" applyFont="1" applyFill="1" applyBorder="1" applyAlignment="1" applyProtection="1">
      <alignment vertical="center" wrapText="1"/>
    </xf>
    <xf numFmtId="0" fontId="23" fillId="3" borderId="44" xfId="0" applyFont="1" applyFill="1" applyBorder="1" applyAlignment="1" applyProtection="1">
      <alignment vertical="center" wrapText="1"/>
    </xf>
    <xf numFmtId="0" fontId="23" fillId="3" borderId="45" xfId="0" applyFont="1" applyFill="1" applyBorder="1" applyAlignment="1" applyProtection="1">
      <alignment vertical="center" wrapText="1"/>
    </xf>
    <xf numFmtId="0" fontId="24" fillId="0" borderId="32" xfId="0" applyFont="1" applyBorder="1" applyAlignment="1" applyProtection="1">
      <alignment horizontal="left" vertical="center" wrapText="1"/>
    </xf>
    <xf numFmtId="0" fontId="24" fillId="0" borderId="33" xfId="0" applyFont="1" applyBorder="1" applyAlignment="1" applyProtection="1">
      <alignment horizontal="left" vertical="center" wrapText="1"/>
    </xf>
    <xf numFmtId="0" fontId="24" fillId="0" borderId="34" xfId="0" applyFont="1" applyBorder="1" applyAlignment="1" applyProtection="1">
      <alignment horizontal="left" vertical="center" wrapText="1"/>
    </xf>
    <xf numFmtId="0" fontId="24" fillId="0" borderId="32" xfId="0" applyFont="1" applyBorder="1" applyAlignment="1" applyProtection="1">
      <alignment vertical="center" wrapText="1"/>
    </xf>
    <xf numFmtId="0" fontId="24" fillId="0" borderId="33" xfId="0" applyFont="1" applyBorder="1" applyAlignment="1" applyProtection="1">
      <alignment vertical="center" wrapText="1"/>
    </xf>
    <xf numFmtId="0" fontId="24" fillId="0" borderId="34" xfId="0" applyFont="1" applyBorder="1" applyAlignment="1" applyProtection="1">
      <alignment vertical="center" wrapText="1"/>
    </xf>
    <xf numFmtId="0" fontId="24" fillId="0" borderId="10" xfId="0" applyFont="1" applyFill="1" applyBorder="1" applyAlignment="1" applyProtection="1">
      <alignment horizontal="left" vertical="center" wrapText="1"/>
    </xf>
    <xf numFmtId="0" fontId="24" fillId="0" borderId="8" xfId="0" applyFont="1" applyFill="1" applyBorder="1" applyAlignment="1" applyProtection="1">
      <alignment horizontal="left" vertical="center" wrapText="1"/>
    </xf>
    <xf numFmtId="0" fontId="24" fillId="0" borderId="5" xfId="0" applyFont="1" applyFill="1" applyBorder="1" applyAlignment="1" applyProtection="1">
      <alignment horizontal="left" vertical="center" wrapText="1"/>
    </xf>
    <xf numFmtId="9" fontId="11" fillId="0" borderId="10" xfId="1" applyFont="1" applyBorder="1" applyAlignment="1" applyProtection="1">
      <alignment horizontal="center" vertical="center" wrapText="1"/>
    </xf>
    <xf numFmtId="9" fontId="11" fillId="0" borderId="8" xfId="1" applyFont="1" applyBorder="1" applyAlignment="1">
      <alignment horizontal="center" vertical="center" wrapText="1"/>
    </xf>
    <xf numFmtId="9" fontId="11" fillId="0" borderId="5" xfId="1" applyFont="1" applyBorder="1" applyAlignment="1">
      <alignment horizontal="center" vertical="center" wrapText="1"/>
    </xf>
    <xf numFmtId="0" fontId="23" fillId="3" borderId="2" xfId="0" applyFont="1" applyFill="1" applyBorder="1" applyAlignment="1" applyProtection="1">
      <alignment vertical="center" wrapText="1"/>
    </xf>
    <xf numFmtId="0" fontId="23" fillId="3" borderId="3" xfId="0" applyFont="1" applyFill="1" applyBorder="1" applyAlignment="1" applyProtection="1">
      <alignment vertical="center" wrapText="1"/>
    </xf>
    <xf numFmtId="0" fontId="23" fillId="3" borderId="4" xfId="0" applyFont="1" applyFill="1" applyBorder="1" applyAlignment="1" applyProtection="1">
      <alignment vertical="center" wrapText="1"/>
    </xf>
    <xf numFmtId="0" fontId="24" fillId="0" borderId="10" xfId="0" applyFont="1" applyFill="1" applyBorder="1" applyAlignment="1" applyProtection="1">
      <alignment horizontal="center" vertical="center" wrapText="1"/>
    </xf>
    <xf numFmtId="0" fontId="24" fillId="0" borderId="8" xfId="0" applyFont="1" applyFill="1" applyBorder="1" applyAlignment="1" applyProtection="1">
      <alignment horizontal="center" vertical="center" wrapText="1"/>
    </xf>
    <xf numFmtId="0" fontId="24" fillId="0" borderId="5" xfId="0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24" fillId="0" borderId="25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vertical="center" wrapText="1"/>
    </xf>
    <xf numFmtId="2" fontId="24" fillId="0" borderId="24" xfId="0" applyNumberFormat="1" applyFont="1" applyFill="1" applyBorder="1" applyAlignment="1" applyProtection="1">
      <alignment horizontal="left" vertical="center" wrapText="1"/>
    </xf>
    <xf numFmtId="2" fontId="15" fillId="0" borderId="26" xfId="0" applyNumberFormat="1" applyFont="1" applyBorder="1" applyAlignment="1" applyProtection="1">
      <alignment horizontal="left" vertical="center" wrapText="1"/>
    </xf>
    <xf numFmtId="9" fontId="51" fillId="6" borderId="32" xfId="1" applyFont="1" applyFill="1" applyBorder="1" applyAlignment="1" applyProtection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16" xfId="0" applyFont="1" applyFill="1" applyBorder="1" applyAlignment="1" applyProtection="1">
      <alignment vertical="center" wrapText="1"/>
    </xf>
    <xf numFmtId="0" fontId="2" fillId="2" borderId="6" xfId="0" applyFont="1" applyFill="1" applyBorder="1" applyAlignment="1" applyProtection="1">
      <alignment vertical="center" wrapText="1"/>
    </xf>
    <xf numFmtId="0" fontId="2" fillId="2" borderId="7" xfId="0" applyFont="1" applyFill="1" applyBorder="1" applyAlignment="1" applyProtection="1">
      <alignment vertical="center" wrapText="1"/>
    </xf>
    <xf numFmtId="0" fontId="2" fillId="2" borderId="16" xfId="0" applyFont="1" applyFill="1" applyBorder="1" applyAlignment="1" applyProtection="1">
      <alignment vertical="center" wrapText="1"/>
      <protection locked="0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2" fillId="2" borderId="7" xfId="0" applyFont="1" applyFill="1" applyBorder="1" applyAlignment="1" applyProtection="1">
      <alignment vertical="center" wrapText="1"/>
      <protection locked="0"/>
    </xf>
    <xf numFmtId="0" fontId="26" fillId="3" borderId="2" xfId="0" applyFont="1" applyFill="1" applyBorder="1" applyAlignment="1" applyProtection="1">
      <alignment vertical="center" wrapText="1"/>
    </xf>
    <xf numFmtId="0" fontId="26" fillId="3" borderId="3" xfId="0" applyFont="1" applyFill="1" applyBorder="1" applyAlignment="1" applyProtection="1">
      <alignment vertical="center" wrapText="1"/>
    </xf>
    <xf numFmtId="0" fontId="26" fillId="3" borderId="4" xfId="0" applyFont="1" applyFill="1" applyBorder="1" applyAlignment="1" applyProtection="1">
      <alignment vertical="center" wrapText="1"/>
    </xf>
    <xf numFmtId="0" fontId="11" fillId="0" borderId="33" xfId="0" applyFont="1" applyBorder="1" applyAlignment="1" applyProtection="1">
      <alignment horizontal="center" vertical="center" wrapText="1"/>
    </xf>
    <xf numFmtId="0" fontId="11" fillId="0" borderId="34" xfId="0" applyFont="1" applyBorder="1" applyAlignment="1" applyProtection="1">
      <alignment horizontal="center" vertical="center" wrapText="1"/>
    </xf>
    <xf numFmtId="0" fontId="24" fillId="0" borderId="32" xfId="0" applyFont="1" applyFill="1" applyBorder="1" applyAlignment="1" applyProtection="1">
      <alignment horizontal="left" vertical="center" wrapText="1"/>
    </xf>
    <xf numFmtId="0" fontId="24" fillId="0" borderId="33" xfId="0" applyFont="1" applyFill="1" applyBorder="1" applyAlignment="1" applyProtection="1">
      <alignment horizontal="left" vertical="center" wrapText="1"/>
    </xf>
    <xf numFmtId="0" fontId="24" fillId="0" borderId="34" xfId="0" applyFont="1" applyFill="1" applyBorder="1" applyAlignment="1" applyProtection="1">
      <alignment horizontal="left" vertical="center" wrapText="1"/>
    </xf>
    <xf numFmtId="9" fontId="51" fillId="0" borderId="32" xfId="1" applyFont="1" applyFill="1" applyBorder="1" applyAlignment="1" applyProtection="1">
      <alignment horizontal="center" vertical="center" wrapText="1"/>
    </xf>
    <xf numFmtId="9" fontId="51" fillId="0" borderId="33" xfId="1" applyFont="1" applyFill="1" applyBorder="1" applyAlignment="1" applyProtection="1">
      <alignment horizontal="center" vertical="center" wrapText="1"/>
    </xf>
    <xf numFmtId="9" fontId="51" fillId="0" borderId="34" xfId="1" applyFont="1" applyFill="1" applyBorder="1" applyAlignment="1" applyProtection="1">
      <alignment horizontal="center" vertical="center" wrapText="1"/>
    </xf>
    <xf numFmtId="0" fontId="24" fillId="12" borderId="41" xfId="0" applyFont="1" applyFill="1" applyBorder="1" applyAlignment="1" applyProtection="1">
      <alignment vertical="center" wrapText="1"/>
    </xf>
    <xf numFmtId="0" fontId="24" fillId="12" borderId="5" xfId="0" applyFont="1" applyFill="1" applyBorder="1" applyAlignment="1" applyProtection="1">
      <alignment vertical="center" wrapText="1"/>
    </xf>
    <xf numFmtId="9" fontId="51" fillId="0" borderId="10" xfId="1" applyFont="1" applyBorder="1" applyAlignment="1" applyProtection="1">
      <alignment horizontal="center" vertical="center" wrapText="1"/>
    </xf>
    <xf numFmtId="9" fontId="51" fillId="0" borderId="5" xfId="1" applyFont="1" applyBorder="1" applyAlignment="1" applyProtection="1">
      <alignment horizontal="center" vertical="center" wrapText="1"/>
    </xf>
    <xf numFmtId="0" fontId="23" fillId="3" borderId="50" xfId="0" applyFont="1" applyFill="1" applyBorder="1" applyAlignment="1" applyProtection="1">
      <alignment vertical="center" wrapText="1"/>
    </xf>
    <xf numFmtId="0" fontId="23" fillId="3" borderId="35" xfId="0" applyFont="1" applyFill="1" applyBorder="1" applyAlignment="1" applyProtection="1">
      <alignment vertical="center" wrapText="1"/>
    </xf>
    <xf numFmtId="0" fontId="23" fillId="3" borderId="36" xfId="0" applyFont="1" applyFill="1" applyBorder="1" applyAlignment="1" applyProtection="1">
      <alignment vertical="center" wrapText="1"/>
    </xf>
    <xf numFmtId="0" fontId="30" fillId="3" borderId="2" xfId="0" applyFont="1" applyFill="1" applyBorder="1" applyAlignment="1" applyProtection="1">
      <alignment vertical="center" wrapText="1"/>
    </xf>
    <xf numFmtId="0" fontId="30" fillId="3" borderId="3" xfId="0" applyFont="1" applyFill="1" applyBorder="1" applyAlignment="1" applyProtection="1">
      <alignment vertical="center" wrapText="1"/>
    </xf>
    <xf numFmtId="0" fontId="30" fillId="3" borderId="4" xfId="0" applyFont="1" applyFill="1" applyBorder="1" applyAlignment="1" applyProtection="1">
      <alignment vertical="center" wrapText="1"/>
    </xf>
    <xf numFmtId="0" fontId="15" fillId="0" borderId="33" xfId="0" applyFont="1" applyBorder="1" applyAlignment="1" applyProtection="1">
      <alignment horizontal="left" vertical="center" wrapText="1"/>
    </xf>
    <xf numFmtId="0" fontId="15" fillId="0" borderId="34" xfId="0" applyFont="1" applyBorder="1" applyAlignment="1" applyProtection="1">
      <alignment horizontal="left" vertical="center" wrapText="1"/>
    </xf>
    <xf numFmtId="9" fontId="48" fillId="11" borderId="10" xfId="1" applyFont="1" applyFill="1" applyBorder="1" applyAlignment="1" applyProtection="1">
      <alignment horizontal="center" vertical="center" wrapText="1"/>
    </xf>
    <xf numFmtId="9" fontId="48" fillId="11" borderId="8" xfId="1" applyFont="1" applyFill="1" applyBorder="1" applyAlignment="1" applyProtection="1">
      <alignment horizontal="center" vertical="center" wrapText="1"/>
    </xf>
    <xf numFmtId="0" fontId="15" fillId="0" borderId="33" xfId="0" applyFont="1" applyBorder="1" applyAlignment="1" applyProtection="1">
      <alignment vertical="center" wrapText="1"/>
    </xf>
    <xf numFmtId="0" fontId="24" fillId="0" borderId="33" xfId="0" applyFont="1" applyFill="1" applyBorder="1" applyAlignment="1" applyProtection="1">
      <alignment vertical="center" wrapText="1"/>
    </xf>
    <xf numFmtId="0" fontId="15" fillId="0" borderId="33" xfId="0" applyFont="1" applyFill="1" applyBorder="1" applyAlignment="1" applyProtection="1">
      <alignment vertical="center" wrapText="1"/>
    </xf>
    <xf numFmtId="0" fontId="23" fillId="3" borderId="6" xfId="0" applyFont="1" applyFill="1" applyBorder="1" applyAlignment="1" applyProtection="1">
      <alignment vertical="center" wrapText="1"/>
    </xf>
    <xf numFmtId="0" fontId="23" fillId="3" borderId="7" xfId="0" applyFont="1" applyFill="1" applyBorder="1" applyAlignment="1" applyProtection="1">
      <alignment vertical="center" wrapText="1"/>
    </xf>
    <xf numFmtId="9" fontId="48" fillId="11" borderId="5" xfId="1" applyFont="1" applyFill="1" applyBorder="1" applyAlignment="1" applyProtection="1">
      <alignment horizontal="center" vertical="center" wrapText="1"/>
    </xf>
    <xf numFmtId="0" fontId="22" fillId="0" borderId="42" xfId="0" applyFont="1" applyBorder="1" applyAlignment="1" applyProtection="1">
      <alignment vertical="center" wrapText="1"/>
    </xf>
    <xf numFmtId="0" fontId="22" fillId="0" borderId="43" xfId="0" applyFont="1" applyBorder="1" applyAlignment="1" applyProtection="1">
      <alignment vertical="center" wrapText="1"/>
    </xf>
    <xf numFmtId="0" fontId="22" fillId="0" borderId="16" xfId="0" applyFont="1" applyBorder="1" applyAlignment="1" applyProtection="1">
      <alignment vertical="center" wrapText="1"/>
    </xf>
    <xf numFmtId="0" fontId="22" fillId="0" borderId="15" xfId="0" applyFont="1" applyBorder="1" applyAlignment="1" applyProtection="1">
      <alignment vertical="center" wrapText="1"/>
    </xf>
    <xf numFmtId="0" fontId="22" fillId="0" borderId="21" xfId="0" applyFont="1" applyBorder="1" applyAlignment="1" applyProtection="1">
      <alignment vertical="center" wrapText="1"/>
    </xf>
    <xf numFmtId="0" fontId="22" fillId="0" borderId="24" xfId="0" applyFont="1" applyBorder="1" applyAlignment="1" applyProtection="1">
      <alignment horizontal="left" vertical="center" wrapText="1"/>
    </xf>
    <xf numFmtId="0" fontId="22" fillId="0" borderId="26" xfId="0" applyFont="1" applyBorder="1" applyAlignment="1" applyProtection="1">
      <alignment horizontal="left" vertical="center" wrapText="1"/>
    </xf>
    <xf numFmtId="9" fontId="48" fillId="11" borderId="32" xfId="1" applyFont="1" applyFill="1" applyBorder="1" applyAlignment="1" applyProtection="1">
      <alignment horizontal="center" vertical="center" wrapText="1"/>
    </xf>
    <xf numFmtId="9" fontId="48" fillId="11" borderId="34" xfId="1" applyFont="1" applyFill="1" applyBorder="1" applyAlignment="1" applyProtection="1">
      <alignment horizontal="center" vertical="center" wrapText="1"/>
    </xf>
    <xf numFmtId="0" fontId="22" fillId="0" borderId="24" xfId="0" applyFont="1" applyBorder="1" applyAlignment="1" applyProtection="1">
      <alignment vertical="center" wrapText="1"/>
    </xf>
    <xf numFmtId="0" fontId="15" fillId="0" borderId="26" xfId="0" applyFont="1" applyBorder="1" applyAlignment="1" applyProtection="1">
      <alignment vertical="center" wrapText="1"/>
    </xf>
    <xf numFmtId="9" fontId="51" fillId="4" borderId="10" xfId="1" applyFont="1" applyFill="1" applyBorder="1" applyAlignment="1" applyProtection="1">
      <alignment horizontal="center" vertical="center" wrapText="1"/>
    </xf>
    <xf numFmtId="9" fontId="51" fillId="4" borderId="5" xfId="1" applyFont="1" applyFill="1" applyBorder="1" applyAlignment="1" applyProtection="1">
      <alignment horizontal="center" vertical="center" wrapText="1"/>
    </xf>
    <xf numFmtId="0" fontId="29" fillId="27" borderId="43" xfId="0" applyFont="1" applyFill="1" applyBorder="1" applyAlignment="1" applyProtection="1">
      <alignment horizontal="center"/>
      <protection locked="0"/>
    </xf>
    <xf numFmtId="0" fontId="29" fillId="27" borderId="0" xfId="0" applyFont="1" applyFill="1" applyBorder="1" applyAlignment="1" applyProtection="1">
      <alignment horizontal="center"/>
      <protection locked="0"/>
    </xf>
    <xf numFmtId="0" fontId="11" fillId="28" borderId="16" xfId="0" applyFont="1" applyFill="1" applyBorder="1" applyAlignment="1" applyProtection="1">
      <alignment vertical="center" wrapText="1"/>
    </xf>
    <xf numFmtId="0" fontId="11" fillId="28" borderId="6" xfId="0" applyFont="1" applyFill="1" applyBorder="1" applyAlignment="1" applyProtection="1">
      <alignment vertical="center" wrapText="1"/>
    </xf>
    <xf numFmtId="0" fontId="11" fillId="28" borderId="7" xfId="0" applyFont="1" applyFill="1" applyBorder="1" applyAlignment="1" applyProtection="1">
      <alignment vertical="center" wrapText="1"/>
    </xf>
    <xf numFmtId="0" fontId="11" fillId="2" borderId="2" xfId="0" applyFont="1" applyFill="1" applyBorder="1" applyAlignment="1" applyProtection="1">
      <alignment vertical="center" wrapText="1"/>
    </xf>
    <xf numFmtId="0" fontId="11" fillId="2" borderId="3" xfId="0" applyFont="1" applyFill="1" applyBorder="1" applyAlignment="1" applyProtection="1">
      <alignment vertical="center" wrapText="1"/>
    </xf>
    <xf numFmtId="0" fontId="11" fillId="2" borderId="4" xfId="0" applyFont="1" applyFill="1" applyBorder="1" applyAlignment="1" applyProtection="1">
      <alignment vertical="center" wrapText="1"/>
    </xf>
    <xf numFmtId="0" fontId="42" fillId="4" borderId="0" xfId="0" applyFont="1" applyFill="1" applyBorder="1" applyAlignment="1" applyProtection="1">
      <alignment horizontal="center" vertical="center" wrapText="1"/>
    </xf>
    <xf numFmtId="0" fontId="43" fillId="4" borderId="0" xfId="0" applyFont="1" applyFill="1" applyBorder="1" applyAlignment="1">
      <alignment vertical="center" wrapText="1"/>
    </xf>
    <xf numFmtId="9" fontId="48" fillId="11" borderId="45" xfId="1" applyFont="1" applyFill="1" applyBorder="1" applyAlignment="1" applyProtection="1">
      <alignment horizontal="center" vertical="center" wrapText="1"/>
    </xf>
    <xf numFmtId="9" fontId="48" fillId="11" borderId="9" xfId="1" applyFont="1" applyFill="1" applyBorder="1" applyAlignment="1" applyProtection="1">
      <alignment horizontal="center" vertical="center" wrapText="1"/>
    </xf>
    <xf numFmtId="9" fontId="48" fillId="11" borderId="7" xfId="1" applyFont="1" applyFill="1" applyBorder="1" applyAlignment="1" applyProtection="1">
      <alignment horizontal="center" vertical="center" wrapText="1"/>
    </xf>
    <xf numFmtId="9" fontId="48" fillId="11" borderId="58" xfId="1" applyFont="1" applyFill="1" applyBorder="1" applyAlignment="1" applyProtection="1">
      <alignment horizontal="center" vertical="center" wrapText="1"/>
    </xf>
    <xf numFmtId="9" fontId="48" fillId="11" borderId="60" xfId="1" applyFont="1" applyFill="1" applyBorder="1" applyAlignment="1" applyProtection="1">
      <alignment horizontal="center" vertical="center" wrapText="1"/>
    </xf>
    <xf numFmtId="9" fontId="51" fillId="6" borderId="45" xfId="1" applyFont="1" applyFill="1" applyBorder="1" applyAlignment="1" applyProtection="1">
      <alignment horizontal="center" vertical="center" wrapText="1"/>
    </xf>
    <xf numFmtId="9" fontId="51" fillId="6" borderId="9" xfId="1" applyFont="1" applyFill="1" applyBorder="1" applyAlignment="1" applyProtection="1">
      <alignment horizontal="center" vertical="center" wrapText="1"/>
    </xf>
    <xf numFmtId="9" fontId="51" fillId="6" borderId="7" xfId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29" fillId="12" borderId="2" xfId="0" applyFont="1" applyFill="1" applyBorder="1" applyAlignment="1" applyProtection="1">
      <alignment vertical="top" wrapText="1"/>
      <protection locked="0"/>
    </xf>
    <xf numFmtId="0" fontId="29" fillId="12" borderId="3" xfId="0" applyFont="1" applyFill="1" applyBorder="1" applyAlignment="1" applyProtection="1">
      <alignment vertical="top" wrapText="1"/>
      <protection locked="0"/>
    </xf>
    <xf numFmtId="0" fontId="29" fillId="12" borderId="4" xfId="0" applyFont="1" applyFill="1" applyBorder="1" applyAlignment="1" applyProtection="1">
      <alignment vertical="top" wrapText="1"/>
      <protection locked="0"/>
    </xf>
    <xf numFmtId="0" fontId="29" fillId="24" borderId="16" xfId="0" applyFont="1" applyFill="1" applyBorder="1" applyAlignment="1" applyProtection="1">
      <alignment horizontal="center"/>
      <protection locked="0"/>
    </xf>
    <xf numFmtId="0" fontId="29" fillId="24" borderId="6" xfId="0" applyFont="1" applyFill="1" applyBorder="1" applyAlignment="1" applyProtection="1">
      <alignment horizontal="center"/>
      <protection locked="0"/>
    </xf>
    <xf numFmtId="0" fontId="11" fillId="2" borderId="2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11" fillId="9" borderId="2" xfId="0" applyFont="1" applyFill="1" applyBorder="1" applyAlignment="1">
      <alignment vertical="center" wrapText="1"/>
    </xf>
    <xf numFmtId="0" fontId="11" fillId="9" borderId="3" xfId="0" applyFont="1" applyFill="1" applyBorder="1" applyAlignment="1">
      <alignment vertical="center" wrapText="1"/>
    </xf>
    <xf numFmtId="0" fontId="11" fillId="9" borderId="4" xfId="0" applyFont="1" applyFill="1" applyBorder="1" applyAlignment="1">
      <alignment vertical="center" wrapText="1"/>
    </xf>
    <xf numFmtId="0" fontId="2" fillId="11" borderId="2" xfId="0" applyFont="1" applyFill="1" applyBorder="1" applyAlignment="1">
      <alignment vertical="center" wrapText="1"/>
    </xf>
    <xf numFmtId="0" fontId="2" fillId="11" borderId="3" xfId="0" applyFont="1" applyFill="1" applyBorder="1" applyAlignment="1">
      <alignment vertical="center" wrapText="1"/>
    </xf>
    <xf numFmtId="0" fontId="2" fillId="11" borderId="4" xfId="0" applyFont="1" applyFill="1" applyBorder="1" applyAlignment="1">
      <alignment vertical="center" wrapText="1"/>
    </xf>
    <xf numFmtId="0" fontId="8" fillId="0" borderId="9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165" fontId="23" fillId="4" borderId="10" xfId="0" applyNumberFormat="1" applyFont="1" applyFill="1" applyBorder="1" applyAlignment="1">
      <alignment horizontal="center" vertical="center" wrapText="1"/>
    </xf>
    <xf numFmtId="165" fontId="23" fillId="4" borderId="5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165" fontId="23" fillId="20" borderId="10" xfId="0" applyNumberFormat="1" applyFont="1" applyFill="1" applyBorder="1" applyAlignment="1">
      <alignment horizontal="center" vertical="center" wrapText="1"/>
    </xf>
    <xf numFmtId="165" fontId="23" fillId="20" borderId="5" xfId="0" applyNumberFormat="1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3" borderId="4" xfId="0" applyFont="1" applyFill="1" applyBorder="1" applyAlignment="1">
      <alignment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165" fontId="25" fillId="4" borderId="10" xfId="0" applyNumberFormat="1" applyFont="1" applyFill="1" applyBorder="1" applyAlignment="1">
      <alignment horizontal="center" vertical="center" wrapText="1"/>
    </xf>
    <xf numFmtId="165" fontId="25" fillId="4" borderId="8" xfId="0" applyNumberFormat="1" applyFont="1" applyFill="1" applyBorder="1" applyAlignment="1">
      <alignment horizontal="center" vertical="center" wrapText="1"/>
    </xf>
    <xf numFmtId="165" fontId="25" fillId="4" borderId="5" xfId="0" applyNumberFormat="1" applyFont="1" applyFill="1" applyBorder="1" applyAlignment="1">
      <alignment horizontal="center" vertical="center" wrapText="1"/>
    </xf>
    <xf numFmtId="0" fontId="22" fillId="0" borderId="8" xfId="0" applyFont="1" applyBorder="1" applyAlignment="1">
      <alignment vertical="center" wrapText="1"/>
    </xf>
    <xf numFmtId="165" fontId="23" fillId="4" borderId="8" xfId="0" applyNumberFormat="1" applyFont="1" applyFill="1" applyBorder="1" applyAlignment="1">
      <alignment horizontal="center" vertical="center" wrapText="1"/>
    </xf>
    <xf numFmtId="165" fontId="23" fillId="4" borderId="41" xfId="0" applyNumberFormat="1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vertical="center" wrapText="1"/>
    </xf>
    <xf numFmtId="0" fontId="30" fillId="3" borderId="3" xfId="0" applyFont="1" applyFill="1" applyBorder="1" applyAlignment="1">
      <alignment vertical="center" wrapText="1"/>
    </xf>
    <xf numFmtId="0" fontId="30" fillId="3" borderId="4" xfId="0" applyFont="1" applyFill="1" applyBorder="1" applyAlignment="1">
      <alignment vertical="center" wrapText="1"/>
    </xf>
    <xf numFmtId="0" fontId="24" fillId="0" borderId="41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24" fillId="0" borderId="53" xfId="0" applyFont="1" applyBorder="1" applyAlignment="1">
      <alignment vertical="center" wrapText="1"/>
    </xf>
    <xf numFmtId="165" fontId="25" fillId="4" borderId="41" xfId="0" applyNumberFormat="1" applyFont="1" applyFill="1" applyBorder="1" applyAlignment="1">
      <alignment horizontal="center" vertical="center" wrapText="1"/>
    </xf>
    <xf numFmtId="165" fontId="25" fillId="4" borderId="53" xfId="0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26" fillId="3" borderId="2" xfId="0" applyFont="1" applyFill="1" applyBorder="1" applyAlignment="1">
      <alignment vertical="center" wrapText="1"/>
    </xf>
    <xf numFmtId="0" fontId="26" fillId="3" borderId="3" xfId="0" applyFont="1" applyFill="1" applyBorder="1" applyAlignment="1">
      <alignment vertical="center" wrapText="1"/>
    </xf>
    <xf numFmtId="0" fontId="26" fillId="3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4" fillId="12" borderId="41" xfId="0" applyFont="1" applyFill="1" applyBorder="1" applyAlignment="1">
      <alignment vertical="center" wrapText="1"/>
    </xf>
    <xf numFmtId="0" fontId="24" fillId="12" borderId="5" xfId="0" applyFont="1" applyFill="1" applyBorder="1" applyAlignment="1">
      <alignment vertical="center" wrapText="1"/>
    </xf>
    <xf numFmtId="165" fontId="25" fillId="13" borderId="41" xfId="0" applyNumberFormat="1" applyFont="1" applyFill="1" applyBorder="1" applyAlignment="1">
      <alignment horizontal="center" vertical="center" wrapText="1"/>
    </xf>
    <xf numFmtId="165" fontId="25" fillId="13" borderId="5" xfId="0" applyNumberFormat="1" applyFont="1" applyFill="1" applyBorder="1" applyAlignment="1">
      <alignment horizontal="center" vertical="center" wrapText="1"/>
    </xf>
    <xf numFmtId="2" fontId="24" fillId="0" borderId="10" xfId="0" applyNumberFormat="1" applyFont="1" applyBorder="1" applyAlignment="1">
      <alignment horizontal="left" vertical="center" wrapText="1"/>
    </xf>
    <xf numFmtId="2" fontId="24" fillId="0" borderId="5" xfId="0" applyNumberFormat="1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165" fontId="28" fillId="4" borderId="10" xfId="0" applyNumberFormat="1" applyFont="1" applyFill="1" applyBorder="1" applyAlignment="1">
      <alignment horizontal="center" vertical="center" wrapText="1"/>
    </xf>
    <xf numFmtId="165" fontId="28" fillId="4" borderId="8" xfId="0" applyNumberFormat="1" applyFont="1" applyFill="1" applyBorder="1" applyAlignment="1">
      <alignment horizontal="center" vertical="center" wrapText="1"/>
    </xf>
    <xf numFmtId="165" fontId="28" fillId="4" borderId="5" xfId="0" applyNumberFormat="1" applyFont="1" applyFill="1" applyBorder="1" applyAlignment="1">
      <alignment horizontal="center" vertical="center" wrapText="1"/>
    </xf>
    <xf numFmtId="165" fontId="25" fillId="4" borderId="41" xfId="2" applyNumberFormat="1" applyFont="1" applyFill="1" applyBorder="1" applyAlignment="1">
      <alignment horizontal="center" vertical="center" wrapText="1"/>
    </xf>
    <xf numFmtId="165" fontId="25" fillId="4" borderId="8" xfId="2" applyNumberFormat="1" applyFont="1" applyFill="1" applyBorder="1" applyAlignment="1">
      <alignment horizontal="center" vertical="center" wrapText="1"/>
    </xf>
    <xf numFmtId="165" fontId="25" fillId="4" borderId="53" xfId="2" applyNumberFormat="1" applyFont="1" applyFill="1" applyBorder="1" applyAlignment="1">
      <alignment horizontal="center" vertical="center" wrapText="1"/>
    </xf>
    <xf numFmtId="0" fontId="26" fillId="11" borderId="2" xfId="0" applyFont="1" applyFill="1" applyBorder="1" applyAlignment="1">
      <alignment vertical="center" wrapText="1"/>
    </xf>
    <xf numFmtId="0" fontId="26" fillId="11" borderId="3" xfId="0" applyFont="1" applyFill="1" applyBorder="1" applyAlignment="1">
      <alignment vertical="center" wrapText="1"/>
    </xf>
    <xf numFmtId="0" fontId="26" fillId="11" borderId="4" xfId="0" applyFont="1" applyFill="1" applyBorder="1" applyAlignment="1">
      <alignment vertical="center" wrapText="1"/>
    </xf>
    <xf numFmtId="0" fontId="46" fillId="12" borderId="3" xfId="0" applyFont="1" applyFill="1" applyBorder="1" applyAlignment="1">
      <alignment vertical="top" wrapText="1"/>
    </xf>
    <xf numFmtId="0" fontId="46" fillId="12" borderId="4" xfId="0" applyFont="1" applyFill="1" applyBorder="1" applyAlignment="1">
      <alignment vertical="top" wrapText="1"/>
    </xf>
    <xf numFmtId="0" fontId="2" fillId="3" borderId="43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11" borderId="43" xfId="0" applyFont="1" applyFill="1" applyBorder="1" applyAlignment="1">
      <alignment vertical="center" wrapText="1"/>
    </xf>
    <xf numFmtId="0" fontId="2" fillId="11" borderId="0" xfId="0" applyFont="1" applyFill="1" applyAlignment="1">
      <alignment vertical="center" wrapText="1"/>
    </xf>
    <xf numFmtId="0" fontId="2" fillId="11" borderId="9" xfId="0" applyFont="1" applyFill="1" applyBorder="1" applyAlignment="1">
      <alignment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22" fillId="0" borderId="53" xfId="0" applyFont="1" applyBorder="1" applyAlignment="1">
      <alignment vertical="center" wrapText="1"/>
    </xf>
    <xf numFmtId="0" fontId="15" fillId="0" borderId="34" xfId="0" applyFont="1" applyBorder="1" applyAlignment="1">
      <alignment vertical="center" wrapText="1"/>
    </xf>
    <xf numFmtId="165" fontId="23" fillId="4" borderId="53" xfId="0" applyNumberFormat="1" applyFont="1" applyFill="1" applyBorder="1" applyAlignment="1">
      <alignment horizontal="center" vertical="center" wrapText="1"/>
    </xf>
    <xf numFmtId="165" fontId="23" fillId="4" borderId="34" xfId="0" applyNumberFormat="1" applyFont="1" applyFill="1" applyBorder="1" applyAlignment="1">
      <alignment horizontal="center" vertical="center" wrapText="1"/>
    </xf>
    <xf numFmtId="0" fontId="22" fillId="0" borderId="24" xfId="0" applyFont="1" applyBorder="1" applyAlignment="1">
      <alignment horizontal="left" vertical="center" wrapText="1"/>
    </xf>
    <xf numFmtId="0" fontId="22" fillId="0" borderId="26" xfId="0" applyFont="1" applyBorder="1" applyAlignment="1">
      <alignment horizontal="left" vertical="center" wrapText="1"/>
    </xf>
    <xf numFmtId="165" fontId="23" fillId="20" borderId="32" xfId="0" applyNumberFormat="1" applyFont="1" applyFill="1" applyBorder="1" applyAlignment="1">
      <alignment horizontal="center" vertical="center" wrapText="1"/>
    </xf>
    <xf numFmtId="165" fontId="23" fillId="20" borderId="34" xfId="0" applyNumberFormat="1" applyFont="1" applyFill="1" applyBorder="1" applyAlignment="1">
      <alignment horizontal="center" vertical="center" wrapText="1"/>
    </xf>
    <xf numFmtId="0" fontId="23" fillId="3" borderId="42" xfId="0" applyFont="1" applyFill="1" applyBorder="1" applyAlignment="1">
      <alignment vertical="center" wrapText="1"/>
    </xf>
    <xf numFmtId="0" fontId="23" fillId="3" borderId="44" xfId="0" applyFont="1" applyFill="1" applyBorder="1" applyAlignment="1">
      <alignment vertical="center" wrapText="1"/>
    </xf>
    <xf numFmtId="0" fontId="23" fillId="3" borderId="45" xfId="0" applyFont="1" applyFill="1" applyBorder="1" applyAlignment="1">
      <alignment vertical="center" wrapText="1"/>
    </xf>
    <xf numFmtId="0" fontId="24" fillId="0" borderId="32" xfId="0" applyFont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15" fillId="0" borderId="33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165" fontId="25" fillId="4" borderId="32" xfId="0" applyNumberFormat="1" applyFont="1" applyFill="1" applyBorder="1" applyAlignment="1">
      <alignment horizontal="center" vertical="center" wrapText="1"/>
    </xf>
    <xf numFmtId="0" fontId="25" fillId="4" borderId="33" xfId="0" applyFont="1" applyFill="1" applyBorder="1" applyAlignment="1">
      <alignment horizontal="center" vertical="center" wrapText="1"/>
    </xf>
    <xf numFmtId="0" fontId="28" fillId="4" borderId="33" xfId="0" applyFont="1" applyFill="1" applyBorder="1" applyAlignment="1">
      <alignment horizontal="center" vertical="center" wrapText="1"/>
    </xf>
    <xf numFmtId="0" fontId="28" fillId="4" borderId="34" xfId="0" applyFont="1" applyFill="1" applyBorder="1" applyAlignment="1">
      <alignment horizontal="center" vertical="center" wrapText="1"/>
    </xf>
    <xf numFmtId="0" fontId="24" fillId="0" borderId="41" xfId="0" applyFont="1" applyBorder="1" applyAlignment="1">
      <alignment horizontal="left" vertical="center" wrapText="1"/>
    </xf>
    <xf numFmtId="0" fontId="25" fillId="4" borderId="41" xfId="0" applyFont="1" applyFill="1" applyBorder="1" applyAlignment="1">
      <alignment horizontal="center" vertical="center" wrapText="1"/>
    </xf>
    <xf numFmtId="0" fontId="30" fillId="3" borderId="43" xfId="0" applyFont="1" applyFill="1" applyBorder="1" applyAlignment="1">
      <alignment vertical="center" wrapText="1"/>
    </xf>
    <xf numFmtId="0" fontId="30" fillId="3" borderId="0" xfId="0" applyFont="1" applyFill="1" applyAlignment="1">
      <alignment vertical="center" wrapText="1"/>
    </xf>
    <xf numFmtId="0" fontId="30" fillId="3" borderId="9" xfId="0" applyFont="1" applyFill="1" applyBorder="1" applyAlignment="1">
      <alignment vertical="center" wrapText="1"/>
    </xf>
    <xf numFmtId="0" fontId="24" fillId="0" borderId="33" xfId="0" applyFont="1" applyBorder="1" applyAlignment="1">
      <alignment vertical="center" wrapText="1"/>
    </xf>
    <xf numFmtId="0" fontId="15" fillId="0" borderId="33" xfId="0" applyFont="1" applyBorder="1" applyAlignment="1">
      <alignment vertical="center" wrapText="1"/>
    </xf>
    <xf numFmtId="165" fontId="25" fillId="4" borderId="33" xfId="0" applyNumberFormat="1" applyFont="1" applyFill="1" applyBorder="1" applyAlignment="1">
      <alignment horizontal="center" vertical="center" wrapText="1"/>
    </xf>
    <xf numFmtId="0" fontId="23" fillId="3" borderId="70" xfId="0" applyFont="1" applyFill="1" applyBorder="1" applyAlignment="1">
      <alignment vertical="center" wrapText="1"/>
    </xf>
    <xf numFmtId="0" fontId="23" fillId="3" borderId="68" xfId="0" applyFont="1" applyFill="1" applyBorder="1" applyAlignment="1">
      <alignment vertical="center" wrapText="1"/>
    </xf>
    <xf numFmtId="0" fontId="23" fillId="3" borderId="71" xfId="0" applyFont="1" applyFill="1" applyBorder="1" applyAlignment="1">
      <alignment vertical="center" wrapText="1"/>
    </xf>
    <xf numFmtId="0" fontId="24" fillId="0" borderId="32" xfId="0" applyFont="1" applyBorder="1" applyAlignment="1">
      <alignment vertical="center" wrapText="1"/>
    </xf>
    <xf numFmtId="0" fontId="24" fillId="0" borderId="34" xfId="0" applyFont="1" applyBorder="1" applyAlignment="1">
      <alignment vertical="center" wrapText="1"/>
    </xf>
    <xf numFmtId="0" fontId="25" fillId="4" borderId="34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vertical="center" wrapText="1"/>
    </xf>
    <xf numFmtId="165" fontId="25" fillId="4" borderId="61" xfId="0" applyNumberFormat="1" applyFont="1" applyFill="1" applyBorder="1" applyAlignment="1">
      <alignment horizontal="center" vertical="center" wrapText="1"/>
    </xf>
    <xf numFmtId="0" fontId="25" fillId="4" borderId="40" xfId="0" applyFont="1" applyFill="1" applyBorder="1" applyAlignment="1">
      <alignment horizontal="center" vertical="center" wrapText="1"/>
    </xf>
    <xf numFmtId="0" fontId="24" fillId="0" borderId="34" xfId="0" applyFont="1" applyBorder="1" applyAlignment="1">
      <alignment horizontal="left"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165" fontId="25" fillId="4" borderId="34" xfId="0" applyNumberFormat="1" applyFont="1" applyFill="1" applyBorder="1" applyAlignment="1">
      <alignment horizontal="center" vertical="center" wrapText="1"/>
    </xf>
    <xf numFmtId="165" fontId="25" fillId="13" borderId="33" xfId="0" applyNumberFormat="1" applyFont="1" applyFill="1" applyBorder="1" applyAlignment="1">
      <alignment horizontal="center" vertical="center" wrapText="1"/>
    </xf>
    <xf numFmtId="165" fontId="25" fillId="13" borderId="34" xfId="0" applyNumberFormat="1" applyFont="1" applyFill="1" applyBorder="1" applyAlignment="1">
      <alignment horizontal="center" vertical="center" wrapText="1"/>
    </xf>
    <xf numFmtId="2" fontId="24" fillId="0" borderId="24" xfId="0" applyNumberFormat="1" applyFont="1" applyBorder="1" applyAlignment="1">
      <alignment horizontal="left" vertical="center" wrapText="1"/>
    </xf>
    <xf numFmtId="2" fontId="15" fillId="0" borderId="26" xfId="0" applyNumberFormat="1" applyFont="1" applyBorder="1" applyAlignment="1">
      <alignment horizontal="left" vertical="center" wrapText="1"/>
    </xf>
    <xf numFmtId="0" fontId="15" fillId="0" borderId="34" xfId="0" applyFont="1" applyBorder="1" applyAlignment="1">
      <alignment horizontal="center" vertical="center" wrapText="1"/>
    </xf>
    <xf numFmtId="0" fontId="23" fillId="3" borderId="16" xfId="0" applyFont="1" applyFill="1" applyBorder="1" applyAlignment="1">
      <alignment vertical="center" wrapText="1"/>
    </xf>
    <xf numFmtId="0" fontId="23" fillId="3" borderId="6" xfId="0" applyFont="1" applyFill="1" applyBorder="1" applyAlignment="1">
      <alignment vertical="center" wrapText="1"/>
    </xf>
    <xf numFmtId="0" fontId="23" fillId="3" borderId="7" xfId="0" applyFont="1" applyFill="1" applyBorder="1" applyAlignment="1">
      <alignment vertical="center" wrapText="1"/>
    </xf>
    <xf numFmtId="165" fontId="25" fillId="4" borderId="43" xfId="0" applyNumberFormat="1" applyFont="1" applyFill="1" applyBorder="1" applyAlignment="1">
      <alignment horizontal="center" vertical="center" wrapText="1"/>
    </xf>
    <xf numFmtId="0" fontId="25" fillId="4" borderId="43" xfId="0" applyFont="1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8" fillId="4" borderId="8" xfId="0" applyFont="1" applyFill="1" applyBorder="1" applyAlignment="1">
      <alignment horizontal="center" vertical="center" wrapText="1"/>
    </xf>
    <xf numFmtId="0" fontId="28" fillId="4" borderId="5" xfId="0" applyFont="1" applyFill="1" applyBorder="1" applyAlignment="1">
      <alignment horizontal="center" vertical="center" wrapText="1"/>
    </xf>
    <xf numFmtId="0" fontId="24" fillId="0" borderId="25" xfId="0" applyFont="1" applyBorder="1" applyAlignment="1">
      <alignment vertical="center" wrapText="1"/>
    </xf>
    <xf numFmtId="165" fontId="25" fillId="4" borderId="33" xfId="2" applyNumberFormat="1" applyFont="1" applyFill="1" applyBorder="1" applyAlignment="1">
      <alignment horizontal="center" vertical="center" wrapText="1"/>
    </xf>
    <xf numFmtId="165" fontId="25" fillId="4" borderId="29" xfId="0" applyNumberFormat="1" applyFont="1" applyFill="1" applyBorder="1" applyAlignment="1">
      <alignment horizontal="center" vertical="center" wrapText="1"/>
    </xf>
    <xf numFmtId="0" fontId="25" fillId="4" borderId="30" xfId="0" applyFont="1" applyFill="1" applyBorder="1" applyAlignment="1">
      <alignment horizontal="center" vertical="center" wrapText="1"/>
    </xf>
    <xf numFmtId="0" fontId="25" fillId="4" borderId="31" xfId="0" applyFont="1" applyFill="1" applyBorder="1" applyAlignment="1">
      <alignment horizontal="center" vertical="center" wrapText="1"/>
    </xf>
    <xf numFmtId="0" fontId="26" fillId="11" borderId="43" xfId="0" applyFont="1" applyFill="1" applyBorder="1" applyAlignment="1">
      <alignment vertical="center" wrapText="1"/>
    </xf>
    <xf numFmtId="0" fontId="26" fillId="11" borderId="0" xfId="0" applyFont="1" applyFill="1" applyAlignment="1">
      <alignment vertical="center" wrapText="1"/>
    </xf>
    <xf numFmtId="0" fontId="26" fillId="11" borderId="9" xfId="0" applyFont="1" applyFill="1" applyBorder="1" applyAlignment="1">
      <alignment vertical="center" wrapText="1"/>
    </xf>
    <xf numFmtId="0" fontId="24" fillId="0" borderId="24" xfId="0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165" fontId="25" fillId="4" borderId="24" xfId="0" applyNumberFormat="1" applyFont="1" applyFill="1" applyBorder="1" applyAlignment="1">
      <alignment horizontal="center" vertical="center" wrapText="1"/>
    </xf>
    <xf numFmtId="0" fontId="25" fillId="4" borderId="26" xfId="0" applyFont="1" applyFill="1" applyBorder="1" applyAlignment="1">
      <alignment horizontal="center" vertical="center" wrapText="1"/>
    </xf>
    <xf numFmtId="165" fontId="25" fillId="4" borderId="26" xfId="0" applyNumberFormat="1" applyFont="1" applyFill="1" applyBorder="1" applyAlignment="1">
      <alignment horizontal="center" vertical="center" wrapText="1"/>
    </xf>
    <xf numFmtId="9" fontId="37" fillId="11" borderId="1" xfId="1" applyFont="1" applyFill="1" applyBorder="1" applyAlignment="1" applyProtection="1">
      <alignment horizontal="center" vertical="center" wrapText="1"/>
      <protection hidden="1"/>
    </xf>
    <xf numFmtId="1" fontId="37" fillId="11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9" borderId="42" xfId="0" applyFont="1" applyFill="1" applyBorder="1" applyAlignment="1" applyProtection="1">
      <alignment vertical="center" wrapText="1"/>
      <protection hidden="1"/>
    </xf>
    <xf numFmtId="0" fontId="4" fillId="9" borderId="45" xfId="0" applyFont="1" applyFill="1" applyBorder="1" applyAlignment="1" applyProtection="1">
      <alignment vertical="center" wrapText="1"/>
      <protection hidden="1"/>
    </xf>
    <xf numFmtId="0" fontId="4" fillId="9" borderId="44" xfId="0" applyFont="1" applyFill="1" applyBorder="1" applyAlignment="1" applyProtection="1">
      <alignment vertical="center" wrapText="1"/>
      <protection hidden="1"/>
    </xf>
    <xf numFmtId="0" fontId="4" fillId="9" borderId="10" xfId="0" applyFont="1" applyFill="1" applyBorder="1" applyAlignment="1" applyProtection="1">
      <alignment vertical="center" wrapText="1"/>
      <protection hidden="1"/>
    </xf>
    <xf numFmtId="9" fontId="23" fillId="11" borderId="4" xfId="1" applyFont="1" applyFill="1" applyBorder="1" applyAlignment="1" applyProtection="1">
      <alignment horizontal="center" vertical="center" wrapText="1"/>
      <protection hidden="1"/>
    </xf>
    <xf numFmtId="2" fontId="23" fillId="11" borderId="4" xfId="1" applyNumberFormat="1" applyFont="1" applyFill="1" applyBorder="1" applyAlignment="1" applyProtection="1">
      <alignment horizontal="center" vertical="center" wrapText="1"/>
      <protection hidden="1"/>
    </xf>
    <xf numFmtId="9" fontId="23" fillId="11" borderId="1" xfId="1" applyFont="1" applyFill="1" applyBorder="1" applyAlignment="1" applyProtection="1">
      <alignment horizontal="center" vertical="center" wrapText="1"/>
      <protection hidden="1"/>
    </xf>
    <xf numFmtId="0" fontId="4" fillId="11" borderId="42" xfId="0" applyFont="1" applyFill="1" applyBorder="1" applyAlignment="1" applyProtection="1">
      <alignment vertical="center" wrapText="1"/>
      <protection hidden="1"/>
    </xf>
    <xf numFmtId="0" fontId="4" fillId="11" borderId="45" xfId="0" applyFont="1" applyFill="1" applyBorder="1" applyAlignment="1" applyProtection="1">
      <alignment vertical="center" wrapText="1"/>
      <protection hidden="1"/>
    </xf>
    <xf numFmtId="0" fontId="4" fillId="11" borderId="44" xfId="0" applyFont="1" applyFill="1" applyBorder="1" applyAlignment="1" applyProtection="1">
      <alignment vertical="center" wrapText="1"/>
      <protection hidden="1"/>
    </xf>
    <xf numFmtId="0" fontId="4" fillId="11" borderId="10" xfId="0" applyFont="1" applyFill="1" applyBorder="1" applyAlignment="1" applyProtection="1">
      <alignment vertical="center" wrapText="1"/>
      <protection hidden="1"/>
    </xf>
    <xf numFmtId="165" fontId="26" fillId="25" borderId="17" xfId="1" applyNumberFormat="1" applyFont="1" applyFill="1" applyBorder="1" applyAlignment="1" applyProtection="1">
      <alignment horizontal="center" vertical="center" wrapText="1"/>
      <protection hidden="1"/>
    </xf>
    <xf numFmtId="165" fontId="26" fillId="25" borderId="19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49" xfId="1" applyNumberFormat="1" applyFont="1" applyBorder="1" applyAlignment="1" applyProtection="1">
      <alignment horizontal="center" vertical="center" wrapText="1"/>
      <protection hidden="1"/>
    </xf>
    <xf numFmtId="165" fontId="24" fillId="0" borderId="18" xfId="1" applyNumberFormat="1" applyFont="1" applyBorder="1" applyAlignment="1" applyProtection="1">
      <alignment horizontal="center" vertical="center" wrapText="1"/>
      <protection hidden="1"/>
    </xf>
    <xf numFmtId="165" fontId="24" fillId="0" borderId="46" xfId="1" applyNumberFormat="1" applyFont="1" applyBorder="1" applyAlignment="1" applyProtection="1">
      <alignment horizontal="center" vertical="center" wrapText="1"/>
      <protection hidden="1"/>
    </xf>
    <xf numFmtId="9" fontId="24" fillId="11" borderId="32" xfId="1" applyFont="1" applyFill="1" applyBorder="1" applyAlignment="1" applyProtection="1">
      <alignment horizontal="center" vertical="center" wrapText="1"/>
      <protection hidden="1"/>
    </xf>
    <xf numFmtId="9" fontId="22" fillId="11" borderId="10" xfId="1" applyFont="1" applyFill="1" applyBorder="1" applyAlignment="1" applyProtection="1">
      <alignment horizontal="center" vertical="center" wrapText="1"/>
      <protection hidden="1"/>
    </xf>
    <xf numFmtId="2" fontId="22" fillId="11" borderId="10" xfId="1" applyNumberFormat="1" applyFont="1" applyFill="1" applyBorder="1" applyAlignment="1" applyProtection="1">
      <alignment horizontal="center" vertical="center" wrapText="1"/>
      <protection hidden="1"/>
    </xf>
    <xf numFmtId="9" fontId="23" fillId="11" borderId="10" xfId="1" applyFont="1" applyFill="1" applyBorder="1" applyAlignment="1" applyProtection="1">
      <alignment horizontal="center" vertical="center" wrapText="1"/>
      <protection hidden="1"/>
    </xf>
    <xf numFmtId="0" fontId="24" fillId="8" borderId="29" xfId="0" applyFont="1" applyFill="1" applyBorder="1" applyAlignment="1" applyProtection="1">
      <alignment vertical="center" wrapText="1"/>
      <protection hidden="1"/>
    </xf>
    <xf numFmtId="165" fontId="26" fillId="25" borderId="21" xfId="1" applyNumberFormat="1" applyFont="1" applyFill="1" applyBorder="1" applyAlignment="1" applyProtection="1">
      <alignment horizontal="center" vertical="center" wrapText="1"/>
      <protection hidden="1"/>
    </xf>
    <xf numFmtId="165" fontId="26" fillId="25" borderId="2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28" xfId="1" applyNumberFormat="1" applyFont="1" applyBorder="1" applyAlignment="1" applyProtection="1">
      <alignment horizontal="center" vertical="center" wrapText="1"/>
      <protection hidden="1"/>
    </xf>
    <xf numFmtId="165" fontId="24" fillId="0" borderId="22" xfId="1" applyNumberFormat="1" applyFont="1" applyBorder="1" applyAlignment="1" applyProtection="1">
      <alignment horizontal="center" vertical="center" wrapText="1"/>
      <protection hidden="1"/>
    </xf>
    <xf numFmtId="165" fontId="24" fillId="0" borderId="48" xfId="1" applyNumberFormat="1" applyFont="1" applyBorder="1" applyAlignment="1" applyProtection="1">
      <alignment horizontal="center" vertical="center" wrapText="1"/>
      <protection hidden="1"/>
    </xf>
    <xf numFmtId="9" fontId="24" fillId="11" borderId="41" xfId="1" applyFont="1" applyFill="1" applyBorder="1" applyAlignment="1" applyProtection="1">
      <alignment horizontal="center" vertical="center" wrapText="1"/>
      <protection hidden="1"/>
    </xf>
    <xf numFmtId="9" fontId="22" fillId="11" borderId="5" xfId="1" applyFont="1" applyFill="1" applyBorder="1" applyAlignment="1" applyProtection="1">
      <alignment horizontal="center" vertical="center" wrapText="1"/>
      <protection hidden="1"/>
    </xf>
    <xf numFmtId="2" fontId="22" fillId="11" borderId="5" xfId="1" applyNumberFormat="1" applyFont="1" applyFill="1" applyBorder="1" applyAlignment="1" applyProtection="1">
      <alignment horizontal="center" vertical="center" wrapText="1"/>
      <protection hidden="1"/>
    </xf>
    <xf numFmtId="9" fontId="23" fillId="11" borderId="5" xfId="1" applyFont="1" applyFill="1" applyBorder="1" applyAlignment="1" applyProtection="1">
      <alignment horizontal="center" vertical="center" wrapText="1"/>
      <protection hidden="1"/>
    </xf>
    <xf numFmtId="0" fontId="24" fillId="8" borderId="31" xfId="0" applyFont="1" applyFill="1" applyBorder="1" applyAlignment="1" applyProtection="1">
      <alignment vertical="center" wrapText="1"/>
      <protection hidden="1"/>
    </xf>
    <xf numFmtId="165" fontId="10" fillId="25" borderId="54" xfId="1" applyNumberFormat="1" applyFont="1" applyFill="1" applyBorder="1" applyAlignment="1" applyProtection="1">
      <alignment horizontal="center" vertical="center" wrapText="1"/>
      <protection hidden="1"/>
    </xf>
    <xf numFmtId="165" fontId="10" fillId="25" borderId="74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73" xfId="1" applyNumberFormat="1" applyFont="1" applyBorder="1" applyAlignment="1" applyProtection="1">
      <alignment horizontal="center" vertical="center" wrapText="1"/>
      <protection hidden="1"/>
    </xf>
    <xf numFmtId="165" fontId="24" fillId="0" borderId="14" xfId="0" applyNumberFormat="1" applyFont="1" applyBorder="1" applyAlignment="1" applyProtection="1">
      <alignment horizontal="center" vertical="center" wrapText="1"/>
      <protection hidden="1"/>
    </xf>
    <xf numFmtId="165" fontId="24" fillId="0" borderId="12" xfId="1" applyNumberFormat="1" applyFont="1" applyBorder="1" applyAlignment="1" applyProtection="1">
      <alignment horizontal="center" vertical="center" wrapText="1"/>
      <protection hidden="1"/>
    </xf>
    <xf numFmtId="0" fontId="24" fillId="9" borderId="62" xfId="0" applyFont="1" applyFill="1" applyBorder="1" applyAlignment="1" applyProtection="1">
      <alignment vertical="center" wrapText="1"/>
      <protection hidden="1"/>
    </xf>
    <xf numFmtId="165" fontId="10" fillId="0" borderId="38" xfId="1" applyNumberFormat="1" applyFont="1" applyBorder="1" applyAlignment="1" applyProtection="1">
      <alignment horizontal="center" vertical="center" wrapText="1"/>
      <protection hidden="1"/>
    </xf>
    <xf numFmtId="165" fontId="10" fillId="0" borderId="39" xfId="1" applyNumberFormat="1" applyFont="1" applyBorder="1" applyAlignment="1" applyProtection="1">
      <alignment horizontal="center" vertical="center" wrapText="1"/>
      <protection hidden="1"/>
    </xf>
    <xf numFmtId="165" fontId="24" fillId="0" borderId="63" xfId="0" applyNumberFormat="1" applyFont="1" applyBorder="1" applyAlignment="1" applyProtection="1">
      <alignment horizontal="center" vertical="center" wrapText="1"/>
      <protection hidden="1"/>
    </xf>
    <xf numFmtId="0" fontId="24" fillId="0" borderId="13" xfId="0" applyFont="1" applyBorder="1" applyAlignment="1" applyProtection="1">
      <alignment horizontal="center" vertical="center" wrapText="1"/>
      <protection hidden="1"/>
    </xf>
    <xf numFmtId="165" fontId="24" fillId="0" borderId="55" xfId="0" applyNumberFormat="1" applyFont="1" applyBorder="1" applyAlignment="1" applyProtection="1">
      <alignment horizontal="center" vertical="center" wrapText="1"/>
      <protection hidden="1"/>
    </xf>
    <xf numFmtId="9" fontId="24" fillId="11" borderId="34" xfId="1" applyFont="1" applyFill="1" applyBorder="1" applyAlignment="1" applyProtection="1">
      <alignment horizontal="center" vertical="center" wrapText="1"/>
      <protection hidden="1"/>
    </xf>
    <xf numFmtId="0" fontId="24" fillId="9" borderId="64" xfId="0" applyFont="1" applyFill="1" applyBorder="1" applyAlignment="1" applyProtection="1">
      <alignment vertical="center" wrapText="1"/>
      <protection hidden="1"/>
    </xf>
    <xf numFmtId="165" fontId="27" fillId="26" borderId="17" xfId="0" applyNumberFormat="1" applyFont="1" applyFill="1" applyBorder="1" applyAlignment="1" applyProtection="1">
      <alignment horizontal="center" vertical="center" wrapText="1"/>
      <protection hidden="1"/>
    </xf>
    <xf numFmtId="165" fontId="27" fillId="26" borderId="19" xfId="0" applyNumberFormat="1" applyFont="1" applyFill="1" applyBorder="1" applyAlignment="1" applyProtection="1">
      <alignment horizontal="center" vertical="center" wrapText="1"/>
      <protection hidden="1"/>
    </xf>
    <xf numFmtId="165" fontId="24" fillId="0" borderId="49" xfId="0" applyNumberFormat="1" applyFont="1" applyBorder="1" applyAlignment="1" applyProtection="1">
      <alignment horizontal="center" vertical="center" wrapText="1"/>
      <protection hidden="1"/>
    </xf>
    <xf numFmtId="165" fontId="24" fillId="0" borderId="18" xfId="0" applyNumberFormat="1" applyFont="1" applyBorder="1" applyAlignment="1" applyProtection="1">
      <alignment horizontal="center" vertical="center" wrapText="1"/>
      <protection hidden="1"/>
    </xf>
    <xf numFmtId="9" fontId="24" fillId="11" borderId="53" xfId="1" applyFont="1" applyFill="1" applyBorder="1" applyAlignment="1" applyProtection="1">
      <alignment horizontal="center" vertical="center" wrapText="1"/>
      <protection hidden="1"/>
    </xf>
    <xf numFmtId="9" fontId="24" fillId="6" borderId="10" xfId="1" applyFont="1" applyFill="1" applyBorder="1" applyAlignment="1" applyProtection="1">
      <alignment horizontal="center" vertical="center" wrapText="1"/>
      <protection hidden="1"/>
    </xf>
    <xf numFmtId="2" fontId="24" fillId="6" borderId="10" xfId="1" applyNumberFormat="1" applyFont="1" applyFill="1" applyBorder="1" applyAlignment="1" applyProtection="1">
      <alignment horizontal="center" vertical="center" wrapText="1"/>
      <protection hidden="1"/>
    </xf>
    <xf numFmtId="0" fontId="24" fillId="10" borderId="58" xfId="0" applyFont="1" applyFill="1" applyBorder="1" applyAlignment="1" applyProtection="1">
      <alignment vertical="center" wrapText="1"/>
      <protection hidden="1"/>
    </xf>
    <xf numFmtId="165" fontId="26" fillId="12" borderId="15" xfId="0" applyNumberFormat="1" applyFont="1" applyFill="1" applyBorder="1" applyAlignment="1" applyProtection="1">
      <alignment horizontal="center" vertical="center" wrapText="1"/>
      <protection hidden="1"/>
    </xf>
    <xf numFmtId="165" fontId="26" fillId="12" borderId="20" xfId="0" applyNumberFormat="1" applyFont="1" applyFill="1" applyBorder="1" applyAlignment="1" applyProtection="1">
      <alignment horizontal="center" vertical="center" wrapText="1"/>
      <protection hidden="1"/>
    </xf>
    <xf numFmtId="165" fontId="24" fillId="0" borderId="27" xfId="0" applyNumberFormat="1" applyFont="1" applyBorder="1" applyAlignment="1" applyProtection="1">
      <alignment horizontal="center" vertical="center" wrapText="1"/>
      <protection hidden="1"/>
    </xf>
    <xf numFmtId="165" fontId="24" fillId="0" borderId="11" xfId="0" applyNumberFormat="1" applyFont="1" applyBorder="1" applyAlignment="1" applyProtection="1">
      <alignment horizontal="center" vertical="center" wrapText="1"/>
      <protection hidden="1"/>
    </xf>
    <xf numFmtId="165" fontId="24" fillId="0" borderId="47" xfId="1" applyNumberFormat="1" applyFont="1" applyBorder="1" applyAlignment="1" applyProtection="1">
      <alignment horizontal="center" vertical="center" wrapText="1"/>
      <protection hidden="1"/>
    </xf>
    <xf numFmtId="9" fontId="24" fillId="11" borderId="33" xfId="1" applyFont="1" applyFill="1" applyBorder="1" applyAlignment="1" applyProtection="1">
      <alignment horizontal="center" vertical="center" wrapText="1"/>
      <protection hidden="1"/>
    </xf>
    <xf numFmtId="9" fontId="24" fillId="6" borderId="8" xfId="1" applyFont="1" applyFill="1" applyBorder="1" applyAlignment="1" applyProtection="1">
      <alignment horizontal="center" vertical="center" wrapText="1"/>
      <protection hidden="1"/>
    </xf>
    <xf numFmtId="2" fontId="24" fillId="6" borderId="8" xfId="1" applyNumberFormat="1" applyFont="1" applyFill="1" applyBorder="1" applyAlignment="1" applyProtection="1">
      <alignment horizontal="center" vertical="center" wrapText="1"/>
      <protection hidden="1"/>
    </xf>
    <xf numFmtId="9" fontId="23" fillId="11" borderId="8" xfId="1" applyFont="1" applyFill="1" applyBorder="1" applyAlignment="1" applyProtection="1">
      <alignment horizontal="center" vertical="center" wrapText="1"/>
      <protection hidden="1"/>
    </xf>
    <xf numFmtId="0" fontId="24" fillId="10" borderId="59" xfId="0" applyFont="1" applyFill="1" applyBorder="1" applyAlignment="1" applyProtection="1">
      <alignment vertical="center" wrapText="1"/>
      <protection hidden="1"/>
    </xf>
    <xf numFmtId="165" fontId="26" fillId="30" borderId="21" xfId="0" applyNumberFormat="1" applyFont="1" applyFill="1" applyBorder="1" applyAlignment="1" applyProtection="1">
      <alignment horizontal="center" vertical="center" wrapText="1"/>
      <protection hidden="1"/>
    </xf>
    <xf numFmtId="165" fontId="26" fillId="12" borderId="23" xfId="0" applyNumberFormat="1" applyFont="1" applyFill="1" applyBorder="1" applyAlignment="1" applyProtection="1">
      <alignment horizontal="center" vertical="center" wrapText="1"/>
      <protection hidden="1"/>
    </xf>
    <xf numFmtId="165" fontId="24" fillId="0" borderId="28" xfId="0" applyNumberFormat="1" applyFont="1" applyBorder="1" applyAlignment="1" applyProtection="1">
      <alignment horizontal="center" vertical="center" wrapText="1"/>
      <protection hidden="1"/>
    </xf>
    <xf numFmtId="165" fontId="24" fillId="0" borderId="22" xfId="0" applyNumberFormat="1" applyFont="1" applyBorder="1" applyAlignment="1" applyProtection="1">
      <alignment horizontal="center" vertical="center" wrapText="1"/>
      <protection hidden="1"/>
    </xf>
    <xf numFmtId="9" fontId="24" fillId="6" borderId="5" xfId="1" applyFont="1" applyFill="1" applyBorder="1" applyAlignment="1" applyProtection="1">
      <alignment horizontal="center" vertical="center" wrapText="1"/>
      <protection hidden="1"/>
    </xf>
    <xf numFmtId="2" fontId="24" fillId="6" borderId="5" xfId="1" applyNumberFormat="1" applyFont="1" applyFill="1" applyBorder="1" applyAlignment="1" applyProtection="1">
      <alignment horizontal="center" vertical="center" wrapText="1"/>
      <protection hidden="1"/>
    </xf>
    <xf numFmtId="0" fontId="24" fillId="10" borderId="60" xfId="0" applyFont="1" applyFill="1" applyBorder="1" applyAlignment="1" applyProtection="1">
      <alignment vertical="center" wrapText="1"/>
      <protection hidden="1"/>
    </xf>
    <xf numFmtId="0" fontId="32" fillId="3" borderId="43" xfId="0" applyFont="1" applyFill="1" applyBorder="1" applyAlignment="1" applyProtection="1">
      <alignment vertical="center" wrapText="1"/>
      <protection hidden="1"/>
    </xf>
    <xf numFmtId="0" fontId="32" fillId="3" borderId="9" xfId="0" applyFont="1" applyFill="1" applyBorder="1" applyAlignment="1" applyProtection="1">
      <alignment vertical="center" wrapText="1"/>
      <protection hidden="1"/>
    </xf>
    <xf numFmtId="0" fontId="3" fillId="3" borderId="0" xfId="0" applyFont="1" applyFill="1" applyAlignment="1" applyProtection="1">
      <alignment vertical="center" wrapText="1"/>
      <protection hidden="1"/>
    </xf>
    <xf numFmtId="0" fontId="3" fillId="3" borderId="8" xfId="0" applyFont="1" applyFill="1" applyBorder="1" applyAlignment="1" applyProtection="1">
      <alignment vertical="center" wrapText="1"/>
      <protection hidden="1"/>
    </xf>
    <xf numFmtId="0" fontId="26" fillId="0" borderId="17" xfId="0" applyFont="1" applyBorder="1" applyAlignment="1" applyProtection="1">
      <alignment horizontal="center" vertical="center" wrapText="1"/>
      <protection hidden="1"/>
    </xf>
    <xf numFmtId="0" fontId="26" fillId="0" borderId="19" xfId="0" applyFont="1" applyBorder="1" applyAlignment="1" applyProtection="1">
      <alignment horizontal="center" vertical="center" wrapText="1"/>
      <protection hidden="1"/>
    </xf>
    <xf numFmtId="0" fontId="24" fillId="0" borderId="49" xfId="0" applyFont="1" applyBorder="1" applyAlignment="1" applyProtection="1">
      <alignment horizontal="center" vertical="center" wrapText="1"/>
      <protection hidden="1"/>
    </xf>
    <xf numFmtId="165" fontId="24" fillId="0" borderId="46" xfId="0" applyNumberFormat="1" applyFont="1" applyBorder="1" applyAlignment="1" applyProtection="1">
      <alignment horizontal="center" vertical="center" wrapText="1"/>
      <protection hidden="1"/>
    </xf>
    <xf numFmtId="0" fontId="27" fillId="22" borderId="58" xfId="0" applyFont="1" applyFill="1" applyBorder="1" applyAlignment="1" applyProtection="1">
      <alignment vertical="center" wrapText="1"/>
      <protection hidden="1"/>
    </xf>
    <xf numFmtId="0" fontId="26" fillId="25" borderId="15" xfId="0" applyFont="1" applyFill="1" applyBorder="1" applyAlignment="1" applyProtection="1">
      <alignment horizontal="center" vertical="center" wrapText="1"/>
      <protection hidden="1"/>
    </xf>
    <xf numFmtId="2" fontId="26" fillId="25" borderId="20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27" xfId="0" applyFont="1" applyBorder="1" applyAlignment="1" applyProtection="1">
      <alignment horizontal="center" vertical="center" wrapText="1"/>
      <protection hidden="1"/>
    </xf>
    <xf numFmtId="165" fontId="24" fillId="0" borderId="47" xfId="0" applyNumberFormat="1" applyFont="1" applyBorder="1" applyAlignment="1" applyProtection="1">
      <alignment horizontal="center" vertical="center" wrapText="1"/>
      <protection hidden="1"/>
    </xf>
    <xf numFmtId="9" fontId="22" fillId="11" borderId="8" xfId="1" applyFont="1" applyFill="1" applyBorder="1" applyAlignment="1" applyProtection="1">
      <alignment horizontal="center" vertical="center" wrapText="1"/>
      <protection hidden="1"/>
    </xf>
    <xf numFmtId="2" fontId="22" fillId="11" borderId="8" xfId="1" applyNumberFormat="1" applyFont="1" applyFill="1" applyBorder="1" applyAlignment="1" applyProtection="1">
      <alignment horizontal="center" vertical="center" wrapText="1"/>
      <protection hidden="1"/>
    </xf>
    <xf numFmtId="0" fontId="27" fillId="22" borderId="59" xfId="0" applyFont="1" applyFill="1" applyBorder="1" applyAlignment="1" applyProtection="1">
      <alignment vertical="center" wrapText="1"/>
      <protection hidden="1"/>
    </xf>
    <xf numFmtId="0" fontId="27" fillId="25" borderId="15" xfId="0" applyFont="1" applyFill="1" applyBorder="1" applyAlignment="1" applyProtection="1">
      <alignment horizontal="center" vertical="center" wrapText="1"/>
      <protection hidden="1"/>
    </xf>
    <xf numFmtId="1" fontId="26" fillId="0" borderId="21" xfId="0" applyNumberFormat="1" applyFont="1" applyBorder="1" applyAlignment="1" applyProtection="1">
      <alignment horizontal="center" vertical="center" wrapText="1"/>
      <protection hidden="1"/>
    </xf>
    <xf numFmtId="0" fontId="26" fillId="0" borderId="23" xfId="0" applyFont="1" applyBorder="1" applyAlignment="1" applyProtection="1">
      <alignment horizontal="center" vertical="center" wrapText="1"/>
      <protection hidden="1"/>
    </xf>
    <xf numFmtId="0" fontId="24" fillId="0" borderId="28" xfId="0" applyFont="1" applyBorder="1" applyAlignment="1" applyProtection="1">
      <alignment horizontal="center" vertical="center" wrapText="1"/>
      <protection hidden="1"/>
    </xf>
    <xf numFmtId="165" fontId="24" fillId="0" borderId="48" xfId="0" applyNumberFormat="1" applyFont="1" applyBorder="1" applyAlignment="1" applyProtection="1">
      <alignment horizontal="center" vertical="center" wrapText="1"/>
      <protection hidden="1"/>
    </xf>
    <xf numFmtId="0" fontId="27" fillId="22" borderId="60" xfId="0" applyFont="1" applyFill="1" applyBorder="1" applyAlignment="1" applyProtection="1">
      <alignment vertical="center" wrapText="1"/>
      <protection hidden="1"/>
    </xf>
    <xf numFmtId="0" fontId="3" fillId="3" borderId="44" xfId="0" applyFont="1" applyFill="1" applyBorder="1" applyAlignment="1" applyProtection="1">
      <alignment vertical="center" wrapText="1"/>
      <protection hidden="1"/>
    </xf>
    <xf numFmtId="0" fontId="3" fillId="3" borderId="1" xfId="0" applyFont="1" applyFill="1" applyBorder="1" applyAlignment="1" applyProtection="1">
      <alignment vertical="center" wrapText="1"/>
      <protection hidden="1"/>
    </xf>
    <xf numFmtId="165" fontId="26" fillId="25" borderId="17" xfId="0" applyNumberFormat="1" applyFont="1" applyFill="1" applyBorder="1" applyAlignment="1" applyProtection="1">
      <alignment horizontal="center" vertical="center" wrapText="1"/>
      <protection hidden="1"/>
    </xf>
    <xf numFmtId="9" fontId="26" fillId="0" borderId="19" xfId="0" applyNumberFormat="1" applyFont="1" applyBorder="1" applyAlignment="1" applyProtection="1">
      <alignment horizontal="center" vertical="center" wrapText="1"/>
      <protection hidden="1"/>
    </xf>
    <xf numFmtId="9" fontId="24" fillId="11" borderId="5" xfId="1" applyFont="1" applyFill="1" applyBorder="1" applyAlignment="1" applyProtection="1">
      <alignment horizontal="center" vertical="center" wrapText="1"/>
      <protection hidden="1"/>
    </xf>
    <xf numFmtId="0" fontId="24" fillId="8" borderId="58" xfId="0" applyFont="1" applyFill="1" applyBorder="1" applyAlignment="1" applyProtection="1">
      <alignment vertical="center" wrapText="1"/>
      <protection hidden="1"/>
    </xf>
    <xf numFmtId="0" fontId="26" fillId="0" borderId="20" xfId="0" applyFont="1" applyBorder="1" applyAlignment="1" applyProtection="1">
      <alignment horizontal="center" vertical="center" wrapText="1"/>
      <protection hidden="1"/>
    </xf>
    <xf numFmtId="0" fontId="24" fillId="8" borderId="59" xfId="0" applyFont="1" applyFill="1" applyBorder="1" applyAlignment="1" applyProtection="1">
      <alignment vertical="center" wrapText="1"/>
      <protection hidden="1"/>
    </xf>
    <xf numFmtId="0" fontId="26" fillId="25" borderId="21" xfId="0" applyFont="1" applyFill="1" applyBorder="1" applyAlignment="1" applyProtection="1">
      <alignment horizontal="center" vertical="center" wrapText="1"/>
      <protection hidden="1"/>
    </xf>
    <xf numFmtId="0" fontId="26" fillId="25" borderId="23" xfId="0" applyFont="1" applyFill="1" applyBorder="1" applyAlignment="1" applyProtection="1">
      <alignment horizontal="center" vertical="center" wrapText="1"/>
      <protection hidden="1"/>
    </xf>
    <xf numFmtId="0" fontId="24" fillId="8" borderId="60" xfId="0" applyFont="1" applyFill="1" applyBorder="1" applyAlignment="1" applyProtection="1">
      <alignment vertical="center" wrapText="1"/>
      <protection hidden="1"/>
    </xf>
    <xf numFmtId="0" fontId="32" fillId="3" borderId="70" xfId="0" applyFont="1" applyFill="1" applyBorder="1" applyAlignment="1" applyProtection="1">
      <alignment vertical="center" wrapText="1"/>
      <protection hidden="1"/>
    </xf>
    <xf numFmtId="0" fontId="32" fillId="3" borderId="71" xfId="0" applyFont="1" applyFill="1" applyBorder="1" applyAlignment="1" applyProtection="1">
      <alignment vertical="center" wrapText="1"/>
      <protection hidden="1"/>
    </xf>
    <xf numFmtId="0" fontId="3" fillId="3" borderId="75" xfId="0" applyFont="1" applyFill="1" applyBorder="1" applyAlignment="1" applyProtection="1">
      <alignment vertical="center" wrapText="1"/>
      <protection hidden="1"/>
    </xf>
    <xf numFmtId="0" fontId="3" fillId="3" borderId="68" xfId="0" applyFont="1" applyFill="1" applyBorder="1" applyAlignment="1" applyProtection="1">
      <alignment vertical="center" wrapText="1"/>
      <protection hidden="1"/>
    </xf>
    <xf numFmtId="0" fontId="3" fillId="3" borderId="76" xfId="0" applyFont="1" applyFill="1" applyBorder="1" applyAlignment="1" applyProtection="1">
      <alignment vertical="center" wrapText="1"/>
      <protection hidden="1"/>
    </xf>
    <xf numFmtId="9" fontId="5" fillId="11" borderId="1" xfId="1" applyFont="1" applyFill="1" applyBorder="1" applyAlignment="1" applyProtection="1">
      <alignment horizontal="center" vertical="center" wrapText="1"/>
      <protection hidden="1"/>
    </xf>
    <xf numFmtId="165" fontId="26" fillId="12" borderId="50" xfId="0" applyNumberFormat="1" applyFont="1" applyFill="1" applyBorder="1" applyAlignment="1" applyProtection="1">
      <alignment horizontal="center" vertical="center" wrapText="1"/>
      <protection hidden="1"/>
    </xf>
    <xf numFmtId="165" fontId="26" fillId="12" borderId="36" xfId="0" applyNumberFormat="1" applyFont="1" applyFill="1" applyBorder="1" applyAlignment="1" applyProtection="1">
      <alignment horizontal="center" vertical="center" wrapText="1"/>
      <protection hidden="1"/>
    </xf>
    <xf numFmtId="165" fontId="22" fillId="12" borderId="51" xfId="0" applyNumberFormat="1" applyFont="1" applyFill="1" applyBorder="1" applyAlignment="1" applyProtection="1">
      <alignment horizontal="center" vertical="center" wrapText="1"/>
      <protection hidden="1"/>
    </xf>
    <xf numFmtId="165" fontId="22" fillId="12" borderId="35" xfId="0" applyNumberFormat="1" applyFont="1" applyFill="1" applyBorder="1" applyAlignment="1" applyProtection="1">
      <alignment horizontal="center" vertical="center" wrapText="1"/>
      <protection hidden="1"/>
    </xf>
    <xf numFmtId="165" fontId="24" fillId="12" borderId="52" xfId="0" applyNumberFormat="1" applyFont="1" applyFill="1" applyBorder="1" applyAlignment="1" applyProtection="1">
      <alignment horizontal="center" vertical="center" wrapText="1"/>
      <protection hidden="1"/>
    </xf>
    <xf numFmtId="9" fontId="24" fillId="11" borderId="1" xfId="1" applyFont="1" applyFill="1" applyBorder="1" applyAlignment="1" applyProtection="1">
      <alignment horizontal="center" vertical="center" wrapText="1"/>
      <protection hidden="1"/>
    </xf>
    <xf numFmtId="9" fontId="22" fillId="11" borderId="4" xfId="1" applyFont="1" applyFill="1" applyBorder="1" applyAlignment="1" applyProtection="1">
      <alignment horizontal="center" vertical="center" wrapText="1"/>
      <protection hidden="1"/>
    </xf>
    <xf numFmtId="2" fontId="23" fillId="11" borderId="1" xfId="1" applyNumberFormat="1" applyFont="1" applyFill="1" applyBorder="1" applyAlignment="1" applyProtection="1">
      <alignment horizontal="center" vertical="center" wrapText="1"/>
      <protection hidden="1"/>
    </xf>
    <xf numFmtId="0" fontId="24" fillId="4" borderId="51" xfId="0" applyFont="1" applyFill="1" applyBorder="1" applyAlignment="1" applyProtection="1">
      <alignment vertical="center" wrapText="1"/>
      <protection hidden="1"/>
    </xf>
    <xf numFmtId="165" fontId="26" fillId="0" borderId="50" xfId="0" applyNumberFormat="1" applyFont="1" applyBorder="1" applyAlignment="1" applyProtection="1">
      <alignment horizontal="center" vertical="center" wrapText="1"/>
      <protection hidden="1"/>
    </xf>
    <xf numFmtId="165" fontId="26" fillId="0" borderId="36" xfId="0" applyNumberFormat="1" applyFont="1" applyBorder="1" applyAlignment="1" applyProtection="1">
      <alignment horizontal="center" vertical="center" wrapText="1"/>
      <protection hidden="1"/>
    </xf>
    <xf numFmtId="0" fontId="22" fillId="0" borderId="75" xfId="0" applyFont="1" applyBorder="1" applyAlignment="1" applyProtection="1">
      <alignment horizontal="center" vertical="center" wrapText="1"/>
      <protection hidden="1"/>
    </xf>
    <xf numFmtId="165" fontId="24" fillId="0" borderId="68" xfId="0" applyNumberFormat="1" applyFont="1" applyBorder="1" applyAlignment="1" applyProtection="1">
      <alignment horizontal="center" vertical="center" wrapText="1"/>
      <protection hidden="1"/>
    </xf>
    <xf numFmtId="165" fontId="24" fillId="0" borderId="76" xfId="0" applyNumberFormat="1" applyFont="1" applyBorder="1" applyAlignment="1" applyProtection="1">
      <alignment horizontal="center" vertical="center" wrapText="1"/>
      <protection hidden="1"/>
    </xf>
    <xf numFmtId="0" fontId="26" fillId="25" borderId="50" xfId="0" applyFont="1" applyFill="1" applyBorder="1" applyAlignment="1" applyProtection="1">
      <alignment horizontal="center" vertical="center" wrapText="1"/>
      <protection hidden="1"/>
    </xf>
    <xf numFmtId="0" fontId="26" fillId="25" borderId="36" xfId="0" applyFont="1" applyFill="1" applyBorder="1" applyAlignment="1" applyProtection="1">
      <alignment horizontal="center" vertical="center" wrapText="1"/>
      <protection hidden="1"/>
    </xf>
    <xf numFmtId="0" fontId="22" fillId="12" borderId="51" xfId="0" applyFont="1" applyFill="1" applyBorder="1" applyAlignment="1" applyProtection="1">
      <alignment horizontal="center" vertical="center" wrapText="1"/>
      <protection hidden="1"/>
    </xf>
    <xf numFmtId="165" fontId="24" fillId="12" borderId="35" xfId="0" applyNumberFormat="1" applyFont="1" applyFill="1" applyBorder="1" applyAlignment="1" applyProtection="1">
      <alignment horizontal="center" vertical="center" wrapText="1"/>
      <protection hidden="1"/>
    </xf>
    <xf numFmtId="0" fontId="26" fillId="12" borderId="50" xfId="0" applyFont="1" applyFill="1" applyBorder="1" applyAlignment="1" applyProtection="1">
      <alignment horizontal="center" vertical="center" wrapText="1"/>
      <protection hidden="1"/>
    </xf>
    <xf numFmtId="0" fontId="26" fillId="12" borderId="36" xfId="0" applyFont="1" applyFill="1" applyBorder="1" applyAlignment="1" applyProtection="1">
      <alignment horizontal="center" vertical="center" wrapText="1"/>
      <protection hidden="1"/>
    </xf>
    <xf numFmtId="0" fontId="22" fillId="0" borderId="51" xfId="0" applyFont="1" applyBorder="1" applyAlignment="1" applyProtection="1">
      <alignment horizontal="center" vertical="center" wrapText="1"/>
      <protection hidden="1"/>
    </xf>
    <xf numFmtId="165" fontId="24" fillId="0" borderId="35" xfId="0" applyNumberFormat="1" applyFont="1" applyBorder="1" applyAlignment="1" applyProtection="1">
      <alignment horizontal="center" vertical="center" wrapText="1"/>
      <protection hidden="1"/>
    </xf>
    <xf numFmtId="165" fontId="24" fillId="0" borderId="52" xfId="0" applyNumberFormat="1" applyFont="1" applyBorder="1" applyAlignment="1" applyProtection="1">
      <alignment horizontal="center" vertical="center" wrapText="1"/>
      <protection hidden="1"/>
    </xf>
    <xf numFmtId="0" fontId="22" fillId="4" borderId="51" xfId="0" applyFont="1" applyFill="1" applyBorder="1" applyAlignment="1" applyProtection="1">
      <alignment vertical="center" wrapText="1"/>
      <protection hidden="1"/>
    </xf>
    <xf numFmtId="0" fontId="10" fillId="3" borderId="43" xfId="0" applyFont="1" applyFill="1" applyBorder="1" applyAlignment="1" applyProtection="1">
      <alignment vertical="center" wrapText="1"/>
      <protection hidden="1"/>
    </xf>
    <xf numFmtId="0" fontId="10" fillId="3" borderId="9" xfId="0" applyFont="1" applyFill="1" applyBorder="1" applyAlignment="1" applyProtection="1">
      <alignment vertical="center" wrapText="1"/>
      <protection hidden="1"/>
    </xf>
    <xf numFmtId="0" fontId="6" fillId="3" borderId="6" xfId="0" applyFont="1" applyFill="1" applyBorder="1" applyAlignment="1" applyProtection="1">
      <alignment vertical="center" wrapText="1"/>
      <protection hidden="1"/>
    </xf>
    <xf numFmtId="0" fontId="31" fillId="3" borderId="1" xfId="0" applyFont="1" applyFill="1" applyBorder="1" applyAlignment="1" applyProtection="1">
      <alignment vertical="center" wrapText="1"/>
      <protection hidden="1"/>
    </xf>
    <xf numFmtId="0" fontId="6" fillId="3" borderId="7" xfId="0" applyFont="1" applyFill="1" applyBorder="1" applyAlignment="1" applyProtection="1">
      <alignment vertical="center" wrapText="1"/>
      <protection hidden="1"/>
    </xf>
    <xf numFmtId="3" fontId="26" fillId="25" borderId="17" xfId="0" applyNumberFormat="1" applyFont="1" applyFill="1" applyBorder="1" applyAlignment="1" applyProtection="1">
      <alignment horizontal="center" vertical="center" wrapText="1"/>
      <protection hidden="1"/>
    </xf>
    <xf numFmtId="4" fontId="26" fillId="0" borderId="19" xfId="0" applyNumberFormat="1" applyFont="1" applyBorder="1" applyAlignment="1" applyProtection="1">
      <alignment horizontal="center" vertical="center" wrapText="1"/>
      <protection hidden="1"/>
    </xf>
    <xf numFmtId="4" fontId="24" fillId="0" borderId="49" xfId="0" applyNumberFormat="1" applyFont="1" applyBorder="1" applyAlignment="1" applyProtection="1">
      <alignment horizontal="center" vertical="center" wrapText="1"/>
      <protection hidden="1"/>
    </xf>
    <xf numFmtId="4" fontId="24" fillId="0" borderId="18" xfId="1" applyNumberFormat="1" applyFont="1" applyBorder="1" applyAlignment="1" applyProtection="1">
      <alignment horizontal="center" vertical="center" wrapText="1"/>
      <protection hidden="1"/>
    </xf>
    <xf numFmtId="4" fontId="24" fillId="0" borderId="46" xfId="0" applyNumberFormat="1" applyFont="1" applyBorder="1" applyAlignment="1" applyProtection="1">
      <alignment horizontal="center" vertical="center" wrapText="1"/>
      <protection hidden="1"/>
    </xf>
    <xf numFmtId="0" fontId="24" fillId="22" borderId="58" xfId="0" applyFont="1" applyFill="1" applyBorder="1" applyAlignment="1" applyProtection="1">
      <alignment vertical="center" wrapText="1"/>
      <protection hidden="1"/>
    </xf>
    <xf numFmtId="0" fontId="24" fillId="12" borderId="27" xfId="0" applyFont="1" applyFill="1" applyBorder="1" applyAlignment="1" applyProtection="1">
      <alignment horizontal="center" vertical="center" wrapText="1"/>
      <protection hidden="1"/>
    </xf>
    <xf numFmtId="0" fontId="24" fillId="12" borderId="11" xfId="0" applyFont="1" applyFill="1" applyBorder="1" applyAlignment="1" applyProtection="1">
      <alignment horizontal="center" vertical="center" wrapText="1"/>
      <protection hidden="1"/>
    </xf>
    <xf numFmtId="4" fontId="24" fillId="0" borderId="47" xfId="0" applyNumberFormat="1" applyFont="1" applyBorder="1" applyAlignment="1" applyProtection="1">
      <alignment horizontal="center" vertical="center" wrapText="1"/>
      <protection hidden="1"/>
    </xf>
    <xf numFmtId="0" fontId="24" fillId="22" borderId="59" xfId="0" applyFont="1" applyFill="1" applyBorder="1" applyAlignment="1" applyProtection="1">
      <alignment vertical="center" wrapText="1"/>
      <protection hidden="1"/>
    </xf>
    <xf numFmtId="0" fontId="10" fillId="3" borderId="2" xfId="0" applyFont="1" applyFill="1" applyBorder="1" applyAlignment="1" applyProtection="1">
      <alignment vertical="center" wrapText="1"/>
      <protection hidden="1"/>
    </xf>
    <xf numFmtId="0" fontId="10" fillId="3" borderId="4" xfId="0" applyFont="1" applyFill="1" applyBorder="1" applyAlignment="1" applyProtection="1">
      <alignment vertical="center" wrapText="1"/>
      <protection hidden="1"/>
    </xf>
    <xf numFmtId="0" fontId="6" fillId="3" borderId="3" xfId="0" applyFont="1" applyFill="1" applyBorder="1" applyAlignment="1" applyProtection="1">
      <alignment vertical="center" wrapText="1"/>
      <protection hidden="1"/>
    </xf>
    <xf numFmtId="0" fontId="31" fillId="3" borderId="5" xfId="0" applyFont="1" applyFill="1" applyBorder="1" applyAlignment="1" applyProtection="1">
      <alignment vertical="center" wrapText="1"/>
      <protection hidden="1"/>
    </xf>
    <xf numFmtId="0" fontId="6" fillId="3" borderId="45" xfId="0" applyFont="1" applyFill="1" applyBorder="1" applyAlignment="1" applyProtection="1">
      <alignment vertical="center" wrapText="1"/>
      <protection hidden="1"/>
    </xf>
    <xf numFmtId="0" fontId="26" fillId="25" borderId="54" xfId="0" applyFont="1" applyFill="1" applyBorder="1" applyAlignment="1" applyProtection="1">
      <alignment horizontal="center" vertical="center" wrapText="1"/>
      <protection hidden="1"/>
    </xf>
    <xf numFmtId="0" fontId="26" fillId="25" borderId="74" xfId="0" applyFont="1" applyFill="1" applyBorder="1" applyAlignment="1" applyProtection="1">
      <alignment horizontal="center" vertical="center" wrapText="1"/>
      <protection hidden="1"/>
    </xf>
    <xf numFmtId="0" fontId="24" fillId="0" borderId="73" xfId="0" applyFont="1" applyBorder="1" applyAlignment="1" applyProtection="1">
      <alignment horizontal="center" vertical="center" wrapText="1"/>
      <protection hidden="1"/>
    </xf>
    <xf numFmtId="0" fontId="24" fillId="0" borderId="14" xfId="0" applyFont="1" applyBorder="1" applyAlignment="1" applyProtection="1">
      <alignment horizontal="center" vertical="center" wrapText="1"/>
      <protection hidden="1"/>
    </xf>
    <xf numFmtId="167" fontId="24" fillId="0" borderId="12" xfId="0" applyNumberFormat="1" applyFont="1" applyBorder="1" applyAlignment="1" applyProtection="1">
      <alignment horizontal="center" vertical="center" wrapText="1"/>
      <protection hidden="1"/>
    </xf>
    <xf numFmtId="9" fontId="24" fillId="0" borderId="10" xfId="1" applyFont="1" applyBorder="1" applyAlignment="1" applyProtection="1">
      <alignment horizontal="center" vertical="center" wrapText="1"/>
      <protection hidden="1"/>
    </xf>
    <xf numFmtId="0" fontId="24" fillId="5" borderId="27" xfId="0" applyFont="1" applyFill="1" applyBorder="1" applyAlignment="1" applyProtection="1">
      <alignment vertical="center" wrapText="1"/>
      <protection hidden="1"/>
    </xf>
    <xf numFmtId="0" fontId="26" fillId="25" borderId="38" xfId="0" applyFont="1" applyFill="1" applyBorder="1" applyAlignment="1" applyProtection="1">
      <alignment horizontal="center" vertical="center" wrapText="1"/>
      <protection hidden="1"/>
    </xf>
    <xf numFmtId="0" fontId="26" fillId="25" borderId="39" xfId="0" applyFont="1" applyFill="1" applyBorder="1" applyAlignment="1" applyProtection="1">
      <alignment horizontal="center" vertical="center" wrapText="1"/>
      <protection hidden="1"/>
    </xf>
    <xf numFmtId="0" fontId="24" fillId="0" borderId="63" xfId="0" applyFont="1" applyBorder="1" applyAlignment="1" applyProtection="1">
      <alignment horizontal="center" vertical="center" wrapText="1"/>
      <protection hidden="1"/>
    </xf>
    <xf numFmtId="167" fontId="24" fillId="0" borderId="55" xfId="0" applyNumberFormat="1" applyFont="1" applyBorder="1" applyAlignment="1" applyProtection="1">
      <alignment horizontal="center" vertical="center" wrapText="1"/>
      <protection hidden="1"/>
    </xf>
    <xf numFmtId="9" fontId="24" fillId="0" borderId="5" xfId="1" applyFont="1" applyBorder="1" applyAlignment="1" applyProtection="1">
      <alignment horizontal="center" vertical="center" wrapText="1"/>
      <protection hidden="1"/>
    </xf>
    <xf numFmtId="0" fontId="32" fillId="3" borderId="2" xfId="0" applyFont="1" applyFill="1" applyBorder="1" applyAlignment="1" applyProtection="1">
      <alignment vertical="center" wrapText="1"/>
      <protection hidden="1"/>
    </xf>
    <xf numFmtId="0" fontId="32" fillId="3" borderId="4" xfId="0" applyFont="1" applyFill="1" applyBorder="1" applyAlignment="1" applyProtection="1">
      <alignment vertical="center" wrapText="1"/>
      <protection hidden="1"/>
    </xf>
    <xf numFmtId="0" fontId="3" fillId="3" borderId="3" xfId="0" applyFont="1" applyFill="1" applyBorder="1" applyAlignment="1" applyProtection="1">
      <alignment vertical="center" wrapText="1"/>
      <protection hidden="1"/>
    </xf>
    <xf numFmtId="0" fontId="3" fillId="3" borderId="45" xfId="0" applyFont="1" applyFill="1" applyBorder="1" applyAlignment="1" applyProtection="1">
      <alignment vertical="center" wrapText="1"/>
      <protection hidden="1"/>
    </xf>
    <xf numFmtId="0" fontId="26" fillId="25" borderId="17" xfId="0" applyFont="1" applyFill="1" applyBorder="1" applyAlignment="1" applyProtection="1">
      <alignment horizontal="center" vertical="center" wrapText="1"/>
      <protection hidden="1"/>
    </xf>
    <xf numFmtId="0" fontId="26" fillId="25" borderId="19" xfId="0" applyFont="1" applyFill="1" applyBorder="1" applyAlignment="1" applyProtection="1">
      <alignment horizontal="center" vertical="center" wrapText="1"/>
      <protection hidden="1"/>
    </xf>
    <xf numFmtId="1" fontId="24" fillId="0" borderId="49" xfId="1" applyNumberFormat="1" applyFont="1" applyBorder="1" applyAlignment="1" applyProtection="1">
      <alignment horizontal="center" vertical="center" wrapText="1"/>
      <protection hidden="1"/>
    </xf>
    <xf numFmtId="166" fontId="24" fillId="0" borderId="46" xfId="0" applyNumberFormat="1" applyFont="1" applyBorder="1" applyAlignment="1" applyProtection="1">
      <alignment horizontal="center" vertical="center" wrapText="1"/>
      <protection hidden="1"/>
    </xf>
    <xf numFmtId="0" fontId="26" fillId="12" borderId="23" xfId="0" applyFont="1" applyFill="1" applyBorder="1" applyAlignment="1" applyProtection="1">
      <alignment horizontal="center" vertical="center" wrapText="1"/>
      <protection hidden="1"/>
    </xf>
    <xf numFmtId="1" fontId="24" fillId="0" borderId="77" xfId="1" applyNumberFormat="1" applyFont="1" applyBorder="1" applyAlignment="1" applyProtection="1">
      <alignment horizontal="center" vertical="center" wrapText="1"/>
      <protection hidden="1"/>
    </xf>
    <xf numFmtId="165" fontId="24" fillId="0" borderId="67" xfId="0" applyNumberFormat="1" applyFont="1" applyBorder="1" applyAlignment="1" applyProtection="1">
      <alignment horizontal="center" vertical="center" wrapText="1"/>
      <protection hidden="1"/>
    </xf>
    <xf numFmtId="166" fontId="24" fillId="0" borderId="65" xfId="0" applyNumberFormat="1" applyFont="1" applyBorder="1" applyAlignment="1" applyProtection="1">
      <alignment horizontal="center" vertical="center" wrapText="1"/>
      <protection hidden="1"/>
    </xf>
    <xf numFmtId="0" fontId="16" fillId="2" borderId="16" xfId="0" applyFont="1" applyFill="1" applyBorder="1" applyAlignment="1" applyProtection="1">
      <alignment vertical="center" wrapText="1"/>
      <protection hidden="1"/>
    </xf>
    <xf numFmtId="0" fontId="16" fillId="2" borderId="7" xfId="0" applyFont="1" applyFill="1" applyBorder="1" applyAlignment="1" applyProtection="1">
      <alignment vertical="center" wrapText="1"/>
      <protection hidden="1"/>
    </xf>
    <xf numFmtId="0" fontId="0" fillId="2" borderId="0" xfId="0" applyFill="1" applyAlignment="1" applyProtection="1">
      <alignment vertical="center" wrapText="1"/>
      <protection hidden="1"/>
    </xf>
    <xf numFmtId="0" fontId="0" fillId="2" borderId="8" xfId="0" applyFill="1" applyBorder="1" applyAlignment="1" applyProtection="1">
      <alignment vertical="center" wrapText="1"/>
      <protection hidden="1"/>
    </xf>
    <xf numFmtId="0" fontId="0" fillId="2" borderId="7" xfId="0" applyFill="1" applyBorder="1" applyAlignment="1" applyProtection="1">
      <alignment vertical="center" wrapText="1"/>
      <protection hidden="1"/>
    </xf>
    <xf numFmtId="0" fontId="4" fillId="3" borderId="3" xfId="0" applyFont="1" applyFill="1" applyBorder="1" applyAlignment="1" applyProtection="1">
      <alignment vertical="center" wrapText="1"/>
      <protection hidden="1"/>
    </xf>
    <xf numFmtId="0" fontId="24" fillId="0" borderId="18" xfId="0" applyFont="1" applyBorder="1" applyAlignment="1" applyProtection="1">
      <alignment horizontal="center" vertical="center" wrapText="1"/>
      <protection hidden="1"/>
    </xf>
    <xf numFmtId="0" fontId="24" fillId="0" borderId="19" xfId="0" applyFont="1" applyBorder="1" applyAlignment="1" applyProtection="1">
      <alignment horizontal="center" vertical="center" wrapText="1"/>
      <protection hidden="1"/>
    </xf>
    <xf numFmtId="9" fontId="25" fillId="6" borderId="10" xfId="1" applyFont="1" applyFill="1" applyBorder="1" applyAlignment="1" applyProtection="1">
      <alignment horizontal="center" vertical="center" wrapText="1"/>
      <protection hidden="1"/>
    </xf>
    <xf numFmtId="0" fontId="26" fillId="25" borderId="56" xfId="0" applyFont="1" applyFill="1" applyBorder="1" applyAlignment="1" applyProtection="1">
      <alignment horizontal="center" vertical="center" wrapText="1"/>
      <protection hidden="1"/>
    </xf>
    <xf numFmtId="0" fontId="26" fillId="25" borderId="57" xfId="0" applyFont="1" applyFill="1" applyBorder="1" applyAlignment="1" applyProtection="1">
      <alignment horizontal="center" vertical="center" wrapText="1"/>
      <protection hidden="1"/>
    </xf>
    <xf numFmtId="0" fontId="24" fillId="0" borderId="22" xfId="0" applyFont="1" applyBorder="1" applyAlignment="1" applyProtection="1">
      <alignment horizontal="center" vertical="center" wrapText="1"/>
      <protection hidden="1"/>
    </xf>
    <xf numFmtId="166" fontId="24" fillId="0" borderId="23" xfId="0" applyNumberFormat="1" applyFont="1" applyBorder="1" applyAlignment="1" applyProtection="1">
      <alignment horizontal="center" vertical="center" wrapText="1"/>
      <protection hidden="1"/>
    </xf>
    <xf numFmtId="9" fontId="25" fillId="6" borderId="5" xfId="1" applyFont="1" applyFill="1" applyBorder="1" applyAlignment="1" applyProtection="1">
      <alignment horizontal="center" vertical="center" wrapText="1"/>
      <protection hidden="1"/>
    </xf>
    <xf numFmtId="0" fontId="16" fillId="3" borderId="2" xfId="0" applyFont="1" applyFill="1" applyBorder="1" applyAlignment="1" applyProtection="1">
      <alignment vertical="center" wrapText="1"/>
      <protection hidden="1"/>
    </xf>
    <xf numFmtId="0" fontId="16" fillId="3" borderId="4" xfId="0" applyFont="1" applyFill="1" applyBorder="1" applyAlignment="1" applyProtection="1">
      <alignment vertical="center" wrapText="1"/>
      <protection hidden="1"/>
    </xf>
    <xf numFmtId="0" fontId="0" fillId="3" borderId="3" xfId="0" applyFill="1" applyBorder="1" applyAlignment="1" applyProtection="1">
      <alignment vertical="center" wrapText="1"/>
      <protection hidden="1"/>
    </xf>
    <xf numFmtId="0" fontId="0" fillId="3" borderId="5" xfId="0" applyFill="1" applyBorder="1" applyAlignment="1" applyProtection="1">
      <alignment vertical="center" wrapText="1"/>
      <protection hidden="1"/>
    </xf>
    <xf numFmtId="0" fontId="0" fillId="3" borderId="0" xfId="0" applyFill="1" applyAlignment="1" applyProtection="1">
      <alignment vertical="center" wrapText="1"/>
      <protection hidden="1"/>
    </xf>
    <xf numFmtId="0" fontId="10" fillId="29" borderId="72" xfId="0" applyFont="1" applyFill="1" applyBorder="1" applyAlignment="1" applyProtection="1">
      <alignment horizontal="center" vertical="center" wrapText="1"/>
      <protection hidden="1"/>
    </xf>
    <xf numFmtId="0" fontId="10" fillId="29" borderId="69" xfId="0" applyFont="1" applyFill="1" applyBorder="1" applyAlignment="1" applyProtection="1">
      <alignment horizontal="center" vertical="center" wrapText="1"/>
      <protection hidden="1"/>
    </xf>
    <xf numFmtId="2" fontId="24" fillId="0" borderId="51" xfId="0" applyNumberFormat="1" applyFont="1" applyBorder="1" applyAlignment="1" applyProtection="1">
      <alignment horizontal="center" vertical="center" wrapText="1"/>
      <protection hidden="1"/>
    </xf>
    <xf numFmtId="0" fontId="24" fillId="12" borderId="35" xfId="0" applyFont="1" applyFill="1" applyBorder="1" applyAlignment="1" applyProtection="1">
      <alignment horizontal="center" vertical="center" wrapText="1"/>
      <protection hidden="1"/>
    </xf>
    <xf numFmtId="0" fontId="24" fillId="0" borderId="36" xfId="0" applyFont="1" applyBorder="1" applyAlignment="1" applyProtection="1">
      <alignment horizontal="center" vertical="center" wrapText="1"/>
      <protection hidden="1"/>
    </xf>
    <xf numFmtId="0" fontId="5" fillId="12" borderId="45" xfId="0" applyFont="1" applyFill="1" applyBorder="1" applyAlignment="1" applyProtection="1">
      <alignment vertical="center" wrapText="1"/>
      <protection hidden="1"/>
    </xf>
    <xf numFmtId="0" fontId="3" fillId="3" borderId="10" xfId="0" applyFont="1" applyFill="1" applyBorder="1" applyAlignment="1" applyProtection="1">
      <alignment vertical="center" wrapText="1"/>
      <protection hidden="1"/>
    </xf>
    <xf numFmtId="0" fontId="3" fillId="3" borderId="4" xfId="0" applyFont="1" applyFill="1" applyBorder="1" applyAlignment="1" applyProtection="1">
      <alignment vertical="center" wrapText="1"/>
      <protection hidden="1"/>
    </xf>
    <xf numFmtId="0" fontId="26" fillId="12" borderId="17" xfId="0" applyFont="1" applyFill="1" applyBorder="1" applyAlignment="1" applyProtection="1">
      <alignment horizontal="center" vertical="center" wrapText="1"/>
      <protection hidden="1"/>
    </xf>
    <xf numFmtId="0" fontId="26" fillId="12" borderId="19" xfId="0" applyFont="1" applyFill="1" applyBorder="1" applyAlignment="1" applyProtection="1">
      <alignment horizontal="center" vertical="center" wrapText="1"/>
      <protection hidden="1"/>
    </xf>
    <xf numFmtId="2" fontId="24" fillId="0" borderId="10" xfId="1" applyNumberFormat="1" applyFont="1" applyBorder="1" applyAlignment="1" applyProtection="1">
      <alignment horizontal="center" vertical="center" wrapText="1"/>
      <protection hidden="1"/>
    </xf>
    <xf numFmtId="0" fontId="24" fillId="19" borderId="58" xfId="0" applyFont="1" applyFill="1" applyBorder="1" applyAlignment="1" applyProtection="1">
      <alignment vertical="center" wrapText="1"/>
      <protection hidden="1"/>
    </xf>
    <xf numFmtId="0" fontId="26" fillId="25" borderId="20" xfId="0" applyFont="1" applyFill="1" applyBorder="1" applyAlignment="1" applyProtection="1">
      <alignment horizontal="center" vertical="center" wrapText="1"/>
      <protection hidden="1"/>
    </xf>
    <xf numFmtId="9" fontId="24" fillId="0" borderId="8" xfId="1" applyFont="1" applyBorder="1" applyAlignment="1" applyProtection="1">
      <alignment horizontal="center" vertical="center" wrapText="1"/>
      <protection hidden="1"/>
    </xf>
    <xf numFmtId="2" fontId="24" fillId="0" borderId="8" xfId="1" applyNumberFormat="1" applyFont="1" applyBorder="1" applyAlignment="1" applyProtection="1">
      <alignment horizontal="center" vertical="center" wrapText="1"/>
      <protection hidden="1"/>
    </xf>
    <xf numFmtId="0" fontId="24" fillId="19" borderId="59" xfId="0" applyFont="1" applyFill="1" applyBorder="1" applyAlignment="1" applyProtection="1">
      <alignment vertical="center" wrapText="1"/>
      <protection hidden="1"/>
    </xf>
    <xf numFmtId="2" fontId="26" fillId="12" borderId="20" xfId="0" applyNumberFormat="1" applyFont="1" applyFill="1" applyBorder="1" applyAlignment="1" applyProtection="1">
      <alignment horizontal="center" vertical="center" wrapText="1"/>
      <protection hidden="1"/>
    </xf>
    <xf numFmtId="2" fontId="24" fillId="12" borderId="11" xfId="0" applyNumberFormat="1" applyFont="1" applyFill="1" applyBorder="1" applyAlignment="1" applyProtection="1">
      <alignment horizontal="center" vertical="center" wrapText="1"/>
      <protection hidden="1"/>
    </xf>
    <xf numFmtId="1" fontId="26" fillId="30" borderId="15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11" xfId="0" applyFont="1" applyBorder="1" applyAlignment="1" applyProtection="1">
      <alignment horizontal="center" vertical="center" wrapText="1"/>
      <protection hidden="1"/>
    </xf>
    <xf numFmtId="1" fontId="26" fillId="25" borderId="21" xfId="0" applyNumberFormat="1" applyFont="1" applyFill="1" applyBorder="1" applyAlignment="1" applyProtection="1">
      <alignment horizontal="center" vertical="center" wrapText="1"/>
      <protection hidden="1"/>
    </xf>
    <xf numFmtId="4" fontId="24" fillId="0" borderId="48" xfId="0" applyNumberFormat="1" applyFont="1" applyBorder="1" applyAlignment="1" applyProtection="1">
      <alignment horizontal="center" vertical="center" wrapText="1"/>
      <protection hidden="1"/>
    </xf>
    <xf numFmtId="2" fontId="24" fillId="0" borderId="5" xfId="1" applyNumberFormat="1" applyFont="1" applyBorder="1" applyAlignment="1" applyProtection="1">
      <alignment horizontal="center" vertical="center" wrapText="1"/>
      <protection hidden="1"/>
    </xf>
    <xf numFmtId="0" fontId="24" fillId="19" borderId="60" xfId="0" applyFont="1" applyFill="1" applyBorder="1" applyAlignment="1" applyProtection="1">
      <alignment vertical="center" wrapText="1"/>
      <protection hidden="1"/>
    </xf>
    <xf numFmtId="0" fontId="33" fillId="2" borderId="16" xfId="0" applyFont="1" applyFill="1" applyBorder="1" applyAlignment="1" applyProtection="1">
      <alignment vertical="center" wrapText="1"/>
      <protection hidden="1"/>
    </xf>
    <xf numFmtId="0" fontId="33" fillId="2" borderId="7" xfId="0" applyFont="1" applyFill="1" applyBorder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0" fontId="2" fillId="2" borderId="7" xfId="0" applyFont="1" applyFill="1" applyBorder="1" applyAlignment="1" applyProtection="1">
      <alignment vertical="center" wrapText="1"/>
      <protection hidden="1"/>
    </xf>
    <xf numFmtId="165" fontId="26" fillId="25" borderId="19" xfId="0" applyNumberFormat="1" applyFont="1" applyFill="1" applyBorder="1" applyAlignment="1" applyProtection="1">
      <alignment horizontal="center" vertical="center" wrapText="1"/>
      <protection hidden="1"/>
    </xf>
    <xf numFmtId="4" fontId="24" fillId="12" borderId="46" xfId="0" applyNumberFormat="1" applyFont="1" applyFill="1" applyBorder="1" applyAlignment="1" applyProtection="1">
      <alignment horizontal="center" vertical="center" wrapText="1"/>
      <protection hidden="1"/>
    </xf>
    <xf numFmtId="1" fontId="24" fillId="0" borderId="27" xfId="1" applyNumberFormat="1" applyFont="1" applyBorder="1" applyAlignment="1" applyProtection="1">
      <alignment horizontal="center" vertical="center" wrapText="1"/>
      <protection hidden="1"/>
    </xf>
    <xf numFmtId="4" fontId="24" fillId="12" borderId="47" xfId="0" applyNumberFormat="1" applyFont="1" applyFill="1" applyBorder="1" applyAlignment="1" applyProtection="1">
      <alignment horizontal="center" vertical="center" wrapText="1"/>
      <protection hidden="1"/>
    </xf>
    <xf numFmtId="165" fontId="26" fillId="25" borderId="15" xfId="0" applyNumberFormat="1" applyFont="1" applyFill="1" applyBorder="1" applyAlignment="1" applyProtection="1">
      <alignment horizontal="center" vertical="center" wrapText="1"/>
      <protection hidden="1"/>
    </xf>
    <xf numFmtId="165" fontId="26" fillId="25" borderId="20" xfId="0" applyNumberFormat="1" applyFont="1" applyFill="1" applyBorder="1" applyAlignment="1" applyProtection="1">
      <alignment horizontal="center" vertical="center" wrapText="1"/>
      <protection hidden="1"/>
    </xf>
    <xf numFmtId="165" fontId="26" fillId="29" borderId="15" xfId="0" applyNumberFormat="1" applyFont="1" applyFill="1" applyBorder="1" applyAlignment="1" applyProtection="1">
      <alignment horizontal="center" vertical="center" wrapText="1"/>
      <protection hidden="1"/>
    </xf>
    <xf numFmtId="165" fontId="26" fillId="29" borderId="20" xfId="0" applyNumberFormat="1" applyFont="1" applyFill="1" applyBorder="1" applyAlignment="1" applyProtection="1">
      <alignment horizontal="center" vertical="center" wrapText="1"/>
      <protection hidden="1"/>
    </xf>
    <xf numFmtId="165" fontId="24" fillId="12" borderId="27" xfId="0" applyNumberFormat="1" applyFont="1" applyFill="1" applyBorder="1" applyAlignment="1" applyProtection="1">
      <alignment horizontal="center" vertical="center" wrapText="1"/>
      <protection hidden="1"/>
    </xf>
    <xf numFmtId="165" fontId="24" fillId="12" borderId="11" xfId="0" applyNumberFormat="1" applyFont="1" applyFill="1" applyBorder="1" applyAlignment="1" applyProtection="1">
      <alignment horizontal="center" vertical="center" wrapText="1"/>
      <protection hidden="1"/>
    </xf>
    <xf numFmtId="165" fontId="26" fillId="29" borderId="21" xfId="0" applyNumberFormat="1" applyFont="1" applyFill="1" applyBorder="1" applyAlignment="1" applyProtection="1">
      <alignment horizontal="center" vertical="center" wrapText="1"/>
      <protection hidden="1"/>
    </xf>
    <xf numFmtId="165" fontId="26" fillId="29" borderId="23" xfId="0" applyNumberFormat="1" applyFont="1" applyFill="1" applyBorder="1" applyAlignment="1" applyProtection="1">
      <alignment horizontal="center" vertical="center" wrapText="1"/>
      <protection hidden="1"/>
    </xf>
    <xf numFmtId="165" fontId="24" fillId="12" borderId="28" xfId="0" applyNumberFormat="1" applyFont="1" applyFill="1" applyBorder="1" applyAlignment="1" applyProtection="1">
      <alignment horizontal="center" vertical="center" wrapText="1"/>
      <protection hidden="1"/>
    </xf>
    <xf numFmtId="165" fontId="24" fillId="12" borderId="22" xfId="0" applyNumberFormat="1" applyFont="1" applyFill="1" applyBorder="1" applyAlignment="1" applyProtection="1">
      <alignment horizontal="center" vertical="center" wrapText="1"/>
      <protection hidden="1"/>
    </xf>
    <xf numFmtId="4" fontId="24" fillId="12" borderId="48" xfId="0" applyNumberFormat="1" applyFont="1" applyFill="1" applyBorder="1" applyAlignment="1" applyProtection="1">
      <alignment horizontal="center" vertical="center" wrapText="1"/>
      <protection hidden="1"/>
    </xf>
    <xf numFmtId="0" fontId="24" fillId="22" borderId="60" xfId="0" applyFont="1" applyFill="1" applyBorder="1" applyAlignment="1" applyProtection="1">
      <alignment vertical="center" wrapText="1"/>
      <protection hidden="1"/>
    </xf>
    <xf numFmtId="0" fontId="3" fillId="3" borderId="7" xfId="0" applyFont="1" applyFill="1" applyBorder="1" applyAlignment="1" applyProtection="1">
      <alignment vertical="center" wrapText="1"/>
      <protection hidden="1"/>
    </xf>
    <xf numFmtId="2" fontId="26" fillId="25" borderId="50" xfId="0" applyNumberFormat="1" applyFont="1" applyFill="1" applyBorder="1" applyAlignment="1" applyProtection="1">
      <alignment horizontal="center" vertical="center" wrapText="1"/>
      <protection hidden="1"/>
    </xf>
    <xf numFmtId="2" fontId="26" fillId="25" borderId="36" xfId="0" applyNumberFormat="1" applyFont="1" applyFill="1" applyBorder="1" applyAlignment="1" applyProtection="1">
      <alignment horizontal="center" vertical="center" wrapText="1"/>
      <protection hidden="1"/>
    </xf>
    <xf numFmtId="1" fontId="24" fillId="0" borderId="51" xfId="1" applyNumberFormat="1" applyFont="1" applyBorder="1" applyAlignment="1" applyProtection="1">
      <alignment horizontal="center" vertical="center" wrapText="1"/>
      <protection hidden="1"/>
    </xf>
    <xf numFmtId="0" fontId="24" fillId="12" borderId="52" xfId="0" applyFont="1" applyFill="1" applyBorder="1" applyAlignment="1" applyProtection="1">
      <alignment horizontal="center" vertical="center" wrapText="1"/>
      <protection hidden="1"/>
    </xf>
    <xf numFmtId="9" fontId="24" fillId="6" borderId="4" xfId="1" applyFont="1" applyFill="1" applyBorder="1" applyAlignment="1" applyProtection="1">
      <alignment horizontal="center" vertical="center" wrapText="1"/>
      <protection hidden="1"/>
    </xf>
    <xf numFmtId="0" fontId="22" fillId="0" borderId="3" xfId="0" applyFont="1" applyBorder="1" applyAlignment="1" applyProtection="1">
      <alignment horizontal="left" vertical="center" wrapText="1"/>
      <protection hidden="1"/>
    </xf>
    <xf numFmtId="0" fontId="16" fillId="9" borderId="2" xfId="0" applyFont="1" applyFill="1" applyBorder="1" applyAlignment="1" applyProtection="1">
      <alignment vertical="center" wrapText="1"/>
      <protection hidden="1"/>
    </xf>
    <xf numFmtId="0" fontId="16" fillId="9" borderId="4" xfId="0" applyFont="1" applyFill="1" applyBorder="1" applyAlignment="1" applyProtection="1">
      <alignment vertical="center" wrapText="1"/>
      <protection hidden="1"/>
    </xf>
    <xf numFmtId="0" fontId="0" fillId="9" borderId="6" xfId="0" applyFill="1" applyBorder="1" applyAlignment="1" applyProtection="1">
      <alignment vertical="center" wrapText="1"/>
      <protection hidden="1"/>
    </xf>
    <xf numFmtId="0" fontId="0" fillId="9" borderId="1" xfId="0" applyFill="1" applyBorder="1" applyAlignment="1" applyProtection="1">
      <alignment vertical="center" wrapText="1"/>
      <protection hidden="1"/>
    </xf>
    <xf numFmtId="0" fontId="0" fillId="9" borderId="3" xfId="0" applyFill="1" applyBorder="1" applyAlignment="1" applyProtection="1">
      <alignment vertical="center" wrapText="1"/>
      <protection hidden="1"/>
    </xf>
    <xf numFmtId="0" fontId="3" fillId="3" borderId="5" xfId="0" applyFont="1" applyFill="1" applyBorder="1" applyAlignment="1" applyProtection="1">
      <alignment vertical="center" wrapText="1"/>
      <protection hidden="1"/>
    </xf>
    <xf numFmtId="2" fontId="24" fillId="12" borderId="51" xfId="0" applyNumberFormat="1" applyFont="1" applyFill="1" applyBorder="1" applyAlignment="1" applyProtection="1">
      <alignment horizontal="center" vertical="center" wrapText="1"/>
      <protection hidden="1"/>
    </xf>
    <xf numFmtId="0" fontId="22" fillId="9" borderId="27" xfId="0" applyFont="1" applyFill="1" applyBorder="1" applyAlignment="1" applyProtection="1">
      <alignment vertical="center" wrapText="1"/>
      <protection hidden="1"/>
    </xf>
    <xf numFmtId="0" fontId="6" fillId="3" borderId="4" xfId="0" applyFont="1" applyFill="1" applyBorder="1" applyAlignment="1" applyProtection="1">
      <alignment vertical="center" wrapText="1"/>
      <protection hidden="1"/>
    </xf>
    <xf numFmtId="2" fontId="24" fillId="12" borderId="77" xfId="0" applyNumberFormat="1" applyFont="1" applyFill="1" applyBorder="1" applyAlignment="1" applyProtection="1">
      <alignment horizontal="center" vertical="center" wrapText="1"/>
      <protection hidden="1"/>
    </xf>
    <xf numFmtId="0" fontId="24" fillId="12" borderId="67" xfId="0" applyFont="1" applyFill="1" applyBorder="1" applyAlignment="1" applyProtection="1">
      <alignment horizontal="center" vertical="center" wrapText="1"/>
      <protection hidden="1"/>
    </xf>
    <xf numFmtId="0" fontId="24" fillId="12" borderId="65" xfId="0" applyFont="1" applyFill="1" applyBorder="1" applyAlignment="1" applyProtection="1">
      <alignment horizontal="center" vertical="center" wrapText="1"/>
      <protection hidden="1"/>
    </xf>
    <xf numFmtId="0" fontId="24" fillId="21" borderId="4" xfId="0" applyFont="1" applyFill="1" applyBorder="1" applyAlignment="1" applyProtection="1">
      <alignment vertical="center" wrapText="1"/>
      <protection hidden="1"/>
    </xf>
    <xf numFmtId="0" fontId="26" fillId="0" borderId="50" xfId="0" applyFont="1" applyBorder="1" applyAlignment="1" applyProtection="1">
      <alignment horizontal="center" vertical="center" wrapText="1"/>
      <protection hidden="1"/>
    </xf>
    <xf numFmtId="0" fontId="26" fillId="0" borderId="36" xfId="0" applyFont="1" applyBorder="1" applyAlignment="1" applyProtection="1">
      <alignment horizontal="center" vertical="center" wrapText="1"/>
      <protection hidden="1"/>
    </xf>
    <xf numFmtId="0" fontId="24" fillId="0" borderId="52" xfId="0" applyFont="1" applyBorder="1" applyAlignment="1" applyProtection="1">
      <alignment horizontal="center" vertical="center" wrapText="1"/>
      <protection hidden="1"/>
    </xf>
    <xf numFmtId="9" fontId="24" fillId="11" borderId="53" xfId="1" quotePrefix="1" applyFont="1" applyFill="1" applyBorder="1" applyAlignment="1" applyProtection="1">
      <alignment horizontal="center" vertical="center" wrapText="1"/>
      <protection hidden="1"/>
    </xf>
    <xf numFmtId="0" fontId="24" fillId="17" borderId="27" xfId="0" applyFont="1" applyFill="1" applyBorder="1" applyAlignment="1" applyProtection="1">
      <alignment vertical="center" wrapText="1"/>
      <protection hidden="1"/>
    </xf>
    <xf numFmtId="0" fontId="16" fillId="2" borderId="2" xfId="0" applyFont="1" applyFill="1" applyBorder="1" applyAlignment="1" applyProtection="1">
      <alignment vertical="center" wrapText="1"/>
      <protection hidden="1"/>
    </xf>
    <xf numFmtId="0" fontId="16" fillId="2" borderId="4" xfId="0" applyFont="1" applyFill="1" applyBorder="1" applyAlignment="1" applyProtection="1">
      <alignment vertical="center" wrapText="1"/>
      <protection hidden="1"/>
    </xf>
    <xf numFmtId="0" fontId="0" fillId="2" borderId="3" xfId="0" applyFill="1" applyBorder="1" applyAlignment="1" applyProtection="1">
      <alignment vertical="center" wrapText="1"/>
      <protection hidden="1"/>
    </xf>
    <xf numFmtId="0" fontId="0" fillId="2" borderId="1" xfId="0" applyFill="1" applyBorder="1" applyAlignment="1" applyProtection="1">
      <alignment vertical="center" wrapText="1"/>
      <protection hidden="1"/>
    </xf>
    <xf numFmtId="0" fontId="0" fillId="2" borderId="4" xfId="0" applyFill="1" applyBorder="1" applyAlignment="1" applyProtection="1">
      <alignment vertical="center" wrapText="1"/>
      <protection hidden="1"/>
    </xf>
    <xf numFmtId="0" fontId="24" fillId="8" borderId="27" xfId="0" applyFont="1" applyFill="1" applyBorder="1" applyAlignment="1" applyProtection="1">
      <alignment vertical="center" wrapText="1"/>
      <protection hidden="1"/>
    </xf>
    <xf numFmtId="0" fontId="0" fillId="2" borderId="6" xfId="0" applyFill="1" applyBorder="1" applyAlignment="1" applyProtection="1">
      <alignment vertical="center" wrapText="1"/>
      <protection hidden="1"/>
    </xf>
    <xf numFmtId="0" fontId="32" fillId="3" borderId="42" xfId="0" applyFont="1" applyFill="1" applyBorder="1" applyAlignment="1" applyProtection="1">
      <alignment vertical="center" wrapText="1"/>
      <protection hidden="1"/>
    </xf>
    <xf numFmtId="0" fontId="32" fillId="3" borderId="45" xfId="0" applyFont="1" applyFill="1" applyBorder="1" applyAlignment="1" applyProtection="1">
      <alignment vertical="center" wrapText="1"/>
      <protection hidden="1"/>
    </xf>
    <xf numFmtId="0" fontId="3" fillId="11" borderId="45" xfId="0" applyFont="1" applyFill="1" applyBorder="1" applyAlignment="1" applyProtection="1">
      <alignment vertical="center" wrapText="1"/>
      <protection hidden="1"/>
    </xf>
    <xf numFmtId="1" fontId="24" fillId="12" borderId="46" xfId="0" applyNumberFormat="1" applyFont="1" applyFill="1" applyBorder="1" applyAlignment="1" applyProtection="1">
      <alignment horizontal="center" vertical="center" wrapText="1"/>
      <protection hidden="1"/>
    </xf>
    <xf numFmtId="0" fontId="24" fillId="9" borderId="49" xfId="0" applyFont="1" applyFill="1" applyBorder="1" applyAlignment="1" applyProtection="1">
      <alignment vertical="center" wrapText="1"/>
      <protection hidden="1"/>
    </xf>
    <xf numFmtId="1" fontId="24" fillId="0" borderId="28" xfId="1" applyNumberFormat="1" applyFont="1" applyBorder="1" applyAlignment="1" applyProtection="1">
      <alignment horizontal="center" vertical="center" wrapText="1"/>
      <protection hidden="1"/>
    </xf>
    <xf numFmtId="1" fontId="24" fillId="12" borderId="48" xfId="0" applyNumberFormat="1" applyFont="1" applyFill="1" applyBorder="1" applyAlignment="1" applyProtection="1">
      <alignment horizontal="center" vertical="center" wrapText="1"/>
      <protection hidden="1"/>
    </xf>
    <xf numFmtId="0" fontId="24" fillId="9" borderId="28" xfId="0" applyFont="1" applyFill="1" applyBorder="1" applyAlignment="1" applyProtection="1">
      <alignment vertical="center" wrapText="1"/>
      <protection hidden="1"/>
    </xf>
    <xf numFmtId="10" fontId="26" fillId="25" borderId="20" xfId="0" applyNumberFormat="1" applyFont="1" applyFill="1" applyBorder="1" applyAlignment="1" applyProtection="1">
      <alignment horizontal="center" vertical="center" wrapText="1"/>
      <protection hidden="1"/>
    </xf>
    <xf numFmtId="2" fontId="24" fillId="12" borderId="73" xfId="0" applyNumberFormat="1" applyFont="1" applyFill="1" applyBorder="1" applyAlignment="1" applyProtection="1">
      <alignment horizontal="center" vertical="center" wrapText="1"/>
      <protection hidden="1"/>
    </xf>
    <xf numFmtId="0" fontId="24" fillId="12" borderId="12" xfId="0" applyFont="1" applyFill="1" applyBorder="1" applyAlignment="1" applyProtection="1">
      <alignment horizontal="center" vertical="center" wrapText="1"/>
      <protection hidden="1"/>
    </xf>
    <xf numFmtId="9" fontId="28" fillId="0" borderId="10" xfId="1" applyFont="1" applyBorder="1" applyAlignment="1" applyProtection="1">
      <alignment horizontal="center" vertical="center" wrapText="1"/>
      <protection hidden="1"/>
    </xf>
    <xf numFmtId="0" fontId="24" fillId="9" borderId="58" xfId="0" applyFont="1" applyFill="1" applyBorder="1" applyAlignment="1" applyProtection="1">
      <alignment vertical="center" wrapText="1"/>
      <protection hidden="1"/>
    </xf>
    <xf numFmtId="0" fontId="27" fillId="25" borderId="20" xfId="0" applyFont="1" applyFill="1" applyBorder="1" applyAlignment="1" applyProtection="1">
      <alignment horizontal="center" vertical="center" wrapText="1"/>
      <protection hidden="1"/>
    </xf>
    <xf numFmtId="2" fontId="24" fillId="12" borderId="27" xfId="0" applyNumberFormat="1" applyFont="1" applyFill="1" applyBorder="1" applyAlignment="1" applyProtection="1">
      <alignment horizontal="center" vertical="center" wrapText="1"/>
      <protection hidden="1"/>
    </xf>
    <xf numFmtId="0" fontId="24" fillId="12" borderId="47" xfId="0" applyFont="1" applyFill="1" applyBorder="1" applyAlignment="1" applyProtection="1">
      <alignment horizontal="center" vertical="center" wrapText="1"/>
      <protection hidden="1"/>
    </xf>
    <xf numFmtId="9" fontId="28" fillId="0" borderId="8" xfId="1" applyFont="1" applyBorder="1" applyAlignment="1" applyProtection="1">
      <alignment horizontal="center" vertical="center" wrapText="1"/>
      <protection hidden="1"/>
    </xf>
    <xf numFmtId="0" fontId="24" fillId="9" borderId="59" xfId="0" applyFont="1" applyFill="1" applyBorder="1" applyAlignment="1" applyProtection="1">
      <alignment vertical="center" wrapText="1"/>
      <protection hidden="1"/>
    </xf>
    <xf numFmtId="0" fontId="26" fillId="0" borderId="21" xfId="0" applyFont="1" applyBorder="1" applyAlignment="1" applyProtection="1">
      <alignment horizontal="center" vertical="center" wrapText="1"/>
      <protection hidden="1"/>
    </xf>
    <xf numFmtId="2" fontId="24" fillId="12" borderId="28" xfId="0" applyNumberFormat="1" applyFont="1" applyFill="1" applyBorder="1" applyAlignment="1" applyProtection="1">
      <alignment horizontal="center" vertical="center" wrapText="1"/>
      <protection hidden="1"/>
    </xf>
    <xf numFmtId="0" fontId="24" fillId="12" borderId="22" xfId="0" applyFont="1" applyFill="1" applyBorder="1" applyAlignment="1" applyProtection="1">
      <alignment horizontal="center" vertical="center" wrapText="1"/>
      <protection hidden="1"/>
    </xf>
    <xf numFmtId="0" fontId="24" fillId="12" borderId="48" xfId="0" applyFont="1" applyFill="1" applyBorder="1" applyAlignment="1" applyProtection="1">
      <alignment horizontal="center" vertical="center" wrapText="1"/>
      <protection hidden="1"/>
    </xf>
    <xf numFmtId="9" fontId="28" fillId="0" borderId="5" xfId="1" applyFont="1" applyBorder="1" applyAlignment="1" applyProtection="1">
      <alignment horizontal="center" vertical="center" wrapText="1"/>
      <protection hidden="1"/>
    </xf>
    <xf numFmtId="0" fontId="24" fillId="9" borderId="60" xfId="0" applyFont="1" applyFill="1" applyBorder="1" applyAlignment="1" applyProtection="1">
      <alignment vertical="center" wrapText="1"/>
      <protection hidden="1"/>
    </xf>
    <xf numFmtId="0" fontId="32" fillId="3" borderId="16" xfId="0" applyFont="1" applyFill="1" applyBorder="1" applyAlignment="1" applyProtection="1">
      <alignment vertical="center" wrapText="1"/>
      <protection hidden="1"/>
    </xf>
    <xf numFmtId="0" fontId="32" fillId="3" borderId="7" xfId="0" applyFont="1" applyFill="1" applyBorder="1" applyAlignment="1" applyProtection="1">
      <alignment vertical="center" wrapText="1"/>
      <protection hidden="1"/>
    </xf>
    <xf numFmtId="0" fontId="3" fillId="3" borderId="6" xfId="0" applyFont="1" applyFill="1" applyBorder="1" applyAlignment="1" applyProtection="1">
      <alignment vertical="center" wrapText="1"/>
      <protection hidden="1"/>
    </xf>
    <xf numFmtId="165" fontId="26" fillId="25" borderId="54" xfId="0" applyNumberFormat="1" applyFont="1" applyFill="1" applyBorder="1" applyAlignment="1" applyProtection="1">
      <alignment horizontal="center" vertical="center" wrapText="1"/>
      <protection hidden="1"/>
    </xf>
    <xf numFmtId="165" fontId="26" fillId="25" borderId="74" xfId="0" applyNumberFormat="1" applyFont="1" applyFill="1" applyBorder="1" applyAlignment="1" applyProtection="1">
      <alignment horizontal="center" vertical="center" wrapText="1"/>
      <protection hidden="1"/>
    </xf>
    <xf numFmtId="1" fontId="24" fillId="0" borderId="14" xfId="1" applyNumberFormat="1" applyFont="1" applyBorder="1" applyAlignment="1" applyProtection="1">
      <alignment horizontal="center" vertical="center" wrapText="1"/>
      <protection hidden="1"/>
    </xf>
    <xf numFmtId="1" fontId="24" fillId="0" borderId="12" xfId="1" applyNumberFormat="1" applyFont="1" applyBorder="1" applyAlignment="1" applyProtection="1">
      <alignment horizontal="center" vertical="center" wrapText="1"/>
      <protection hidden="1"/>
    </xf>
    <xf numFmtId="0" fontId="24" fillId="16" borderId="62" xfId="0" applyFont="1" applyFill="1" applyBorder="1" applyAlignment="1" applyProtection="1">
      <alignment vertical="center" wrapText="1"/>
      <protection hidden="1"/>
    </xf>
    <xf numFmtId="1" fontId="24" fillId="0" borderId="11" xfId="1" applyNumberFormat="1" applyFont="1" applyBorder="1" applyAlignment="1" applyProtection="1">
      <alignment horizontal="center" vertical="center" wrapText="1"/>
      <protection hidden="1"/>
    </xf>
    <xf numFmtId="1" fontId="24" fillId="0" borderId="47" xfId="1" applyNumberFormat="1" applyFont="1" applyBorder="1" applyAlignment="1" applyProtection="1">
      <alignment horizontal="center" vertical="center" wrapText="1"/>
      <protection hidden="1"/>
    </xf>
    <xf numFmtId="0" fontId="24" fillId="16" borderId="59" xfId="0" applyFont="1" applyFill="1" applyBorder="1" applyAlignment="1" applyProtection="1">
      <alignment vertical="center" wrapText="1"/>
      <protection hidden="1"/>
    </xf>
    <xf numFmtId="165" fontId="27" fillId="25" borderId="15" xfId="0" applyNumberFormat="1" applyFont="1" applyFill="1" applyBorder="1" applyAlignment="1" applyProtection="1">
      <alignment horizontal="center" vertical="center" wrapText="1"/>
      <protection hidden="1"/>
    </xf>
    <xf numFmtId="165" fontId="27" fillId="25" borderId="20" xfId="0" applyNumberFormat="1" applyFont="1" applyFill="1" applyBorder="1" applyAlignment="1" applyProtection="1">
      <alignment horizontal="center" vertical="center" wrapText="1"/>
      <protection hidden="1"/>
    </xf>
    <xf numFmtId="1" fontId="24" fillId="12" borderId="11" xfId="1" applyNumberFormat="1" applyFont="1" applyFill="1" applyBorder="1" applyAlignment="1" applyProtection="1">
      <alignment horizontal="center" vertical="center" wrapText="1"/>
      <protection hidden="1"/>
    </xf>
    <xf numFmtId="1" fontId="24" fillId="12" borderId="47" xfId="1" applyNumberFormat="1" applyFont="1" applyFill="1" applyBorder="1" applyAlignment="1" applyProtection="1">
      <alignment horizontal="center" vertical="center" wrapText="1"/>
      <protection hidden="1"/>
    </xf>
    <xf numFmtId="0" fontId="22" fillId="16" borderId="59" xfId="0" applyFont="1" applyFill="1" applyBorder="1" applyAlignment="1" applyProtection="1">
      <alignment vertical="center" wrapText="1"/>
      <protection hidden="1"/>
    </xf>
    <xf numFmtId="165" fontId="26" fillId="12" borderId="21" xfId="0" applyNumberFormat="1" applyFont="1" applyFill="1" applyBorder="1" applyAlignment="1" applyProtection="1">
      <alignment horizontal="center" vertical="center" wrapText="1"/>
      <protection hidden="1"/>
    </xf>
    <xf numFmtId="165" fontId="24" fillId="12" borderId="48" xfId="0" applyNumberFormat="1" applyFont="1" applyFill="1" applyBorder="1" applyAlignment="1" applyProtection="1">
      <alignment horizontal="center" vertical="center" wrapText="1"/>
      <protection hidden="1"/>
    </xf>
    <xf numFmtId="0" fontId="24" fillId="16" borderId="60" xfId="0" applyFont="1" applyFill="1" applyBorder="1" applyAlignment="1" applyProtection="1">
      <alignment vertical="center" wrapText="1"/>
      <protection hidden="1"/>
    </xf>
    <xf numFmtId="0" fontId="0" fillId="2" borderId="5" xfId="0" applyFill="1" applyBorder="1" applyAlignment="1" applyProtection="1">
      <alignment vertical="center" wrapText="1"/>
      <protection hidden="1"/>
    </xf>
    <xf numFmtId="165" fontId="26" fillId="0" borderId="17" xfId="0" applyNumberFormat="1" applyFont="1" applyBorder="1" applyAlignment="1" applyProtection="1">
      <alignment horizontal="center" vertical="center" wrapText="1"/>
      <protection hidden="1"/>
    </xf>
    <xf numFmtId="165" fontId="26" fillId="0" borderId="19" xfId="0" applyNumberFormat="1" applyFont="1" applyBorder="1" applyAlignment="1" applyProtection="1">
      <alignment horizontal="center" vertical="center" wrapText="1"/>
      <protection hidden="1"/>
    </xf>
    <xf numFmtId="2" fontId="24" fillId="12" borderId="49" xfId="0" applyNumberFormat="1" applyFont="1" applyFill="1" applyBorder="1" applyAlignment="1" applyProtection="1">
      <alignment horizontal="center" vertical="center" wrapText="1"/>
      <protection hidden="1"/>
    </xf>
    <xf numFmtId="0" fontId="24" fillId="12" borderId="18" xfId="0" applyFont="1" applyFill="1" applyBorder="1" applyAlignment="1" applyProtection="1">
      <alignment horizontal="center" vertical="center" wrapText="1"/>
      <protection hidden="1"/>
    </xf>
    <xf numFmtId="165" fontId="24" fillId="12" borderId="46" xfId="0" applyNumberFormat="1" applyFont="1" applyFill="1" applyBorder="1" applyAlignment="1" applyProtection="1">
      <alignment horizontal="center" vertical="center" wrapText="1"/>
      <protection hidden="1"/>
    </xf>
    <xf numFmtId="0" fontId="24" fillId="18" borderId="58" xfId="0" applyFont="1" applyFill="1" applyBorder="1" applyAlignment="1" applyProtection="1">
      <alignment vertical="center" wrapText="1"/>
      <protection hidden="1"/>
    </xf>
    <xf numFmtId="165" fontId="24" fillId="12" borderId="47" xfId="0" applyNumberFormat="1" applyFont="1" applyFill="1" applyBorder="1" applyAlignment="1" applyProtection="1">
      <alignment horizontal="center" vertical="center" wrapText="1"/>
      <protection hidden="1"/>
    </xf>
    <xf numFmtId="0" fontId="24" fillId="18" borderId="59" xfId="0" applyFont="1" applyFill="1" applyBorder="1" applyAlignment="1" applyProtection="1">
      <alignment vertical="center" wrapText="1"/>
      <protection hidden="1"/>
    </xf>
    <xf numFmtId="0" fontId="24" fillId="18" borderId="60" xfId="0" applyFont="1" applyFill="1" applyBorder="1" applyAlignment="1" applyProtection="1">
      <alignment vertical="center" wrapText="1"/>
      <protection hidden="1"/>
    </xf>
    <xf numFmtId="0" fontId="10" fillId="11" borderId="42" xfId="0" applyFont="1" applyFill="1" applyBorder="1" applyAlignment="1" applyProtection="1">
      <alignment vertical="center" wrapText="1"/>
      <protection hidden="1"/>
    </xf>
    <xf numFmtId="0" fontId="10" fillId="11" borderId="45" xfId="0" applyFont="1" applyFill="1" applyBorder="1" applyAlignment="1" applyProtection="1">
      <alignment vertical="center" wrapText="1"/>
      <protection hidden="1"/>
    </xf>
    <xf numFmtId="0" fontId="10" fillId="11" borderId="44" xfId="0" applyFont="1" applyFill="1" applyBorder="1" applyAlignment="1" applyProtection="1">
      <alignment vertical="center" wrapText="1"/>
      <protection hidden="1"/>
    </xf>
    <xf numFmtId="0" fontId="32" fillId="11" borderId="5" xfId="0" applyFont="1" applyFill="1" applyBorder="1" applyAlignment="1" applyProtection="1">
      <alignment vertical="center" wrapText="1"/>
      <protection hidden="1"/>
    </xf>
    <xf numFmtId="9" fontId="23" fillId="11" borderId="45" xfId="1" applyFont="1" applyFill="1" applyBorder="1" applyAlignment="1" applyProtection="1">
      <alignment horizontal="center" vertical="center" wrapText="1"/>
      <protection hidden="1"/>
    </xf>
    <xf numFmtId="2" fontId="23" fillId="11" borderId="45" xfId="1" applyNumberFormat="1" applyFont="1" applyFill="1" applyBorder="1" applyAlignment="1" applyProtection="1">
      <alignment horizontal="center" vertical="center" wrapText="1"/>
      <protection hidden="1"/>
    </xf>
    <xf numFmtId="0" fontId="5" fillId="5" borderId="4" xfId="0" applyFont="1" applyFill="1" applyBorder="1" applyAlignment="1" applyProtection="1">
      <alignment vertical="center" wrapText="1"/>
      <protection hidden="1"/>
    </xf>
    <xf numFmtId="0" fontId="24" fillId="0" borderId="46" xfId="0" applyFont="1" applyBorder="1" applyAlignment="1" applyProtection="1">
      <alignment horizontal="center" vertical="center" wrapText="1"/>
      <protection hidden="1"/>
    </xf>
    <xf numFmtId="9" fontId="0" fillId="0" borderId="10" xfId="0" applyNumberFormat="1" applyBorder="1" applyAlignment="1" applyProtection="1">
      <alignment horizontal="center" vertical="center" wrapText="1"/>
      <protection hidden="1"/>
    </xf>
    <xf numFmtId="0" fontId="5" fillId="5" borderId="58" xfId="0" applyFont="1" applyFill="1" applyBorder="1" applyAlignment="1" applyProtection="1">
      <alignment vertical="center" wrapText="1"/>
      <protection hidden="1"/>
    </xf>
    <xf numFmtId="0" fontId="24" fillId="0" borderId="48" xfId="0" applyFont="1" applyBorder="1" applyAlignment="1" applyProtection="1">
      <alignment horizontal="center" vertical="center" wrapText="1"/>
      <protection hidden="1"/>
    </xf>
    <xf numFmtId="9" fontId="0" fillId="0" borderId="5" xfId="0" applyNumberFormat="1" applyBorder="1" applyAlignment="1" applyProtection="1">
      <alignment horizontal="center" vertical="center" wrapText="1"/>
      <protection hidden="1"/>
    </xf>
    <xf numFmtId="0" fontId="5" fillId="5" borderId="60" xfId="0" applyFont="1" applyFill="1" applyBorder="1" applyAlignment="1" applyProtection="1">
      <alignment vertical="center" wrapText="1"/>
      <protection hidden="1"/>
    </xf>
    <xf numFmtId="0" fontId="0" fillId="14" borderId="56" xfId="0" applyFill="1" applyBorder="1" applyProtection="1">
      <protection hidden="1"/>
    </xf>
    <xf numFmtId="0" fontId="0" fillId="14" borderId="57" xfId="0" applyFill="1" applyBorder="1" applyProtection="1">
      <protection hidden="1"/>
    </xf>
    <xf numFmtId="0" fontId="0" fillId="14" borderId="67" xfId="0" applyFill="1" applyBorder="1" applyProtection="1">
      <protection hidden="1"/>
    </xf>
    <xf numFmtId="0" fontId="0" fillId="14" borderId="65" xfId="0" applyFill="1" applyBorder="1" applyProtection="1">
      <protection hidden="1"/>
    </xf>
    <xf numFmtId="0" fontId="0" fillId="14" borderId="5" xfId="0" applyFill="1" applyBorder="1" applyProtection="1">
      <protection hidden="1"/>
    </xf>
    <xf numFmtId="9" fontId="0" fillId="14" borderId="7" xfId="0" applyNumberFormat="1" applyFill="1" applyBorder="1" applyProtection="1">
      <protection hidden="1"/>
    </xf>
    <xf numFmtId="9" fontId="0" fillId="14" borderId="6" xfId="0" applyNumberFormat="1" applyFill="1" applyBorder="1" applyProtection="1">
      <protection hidden="1"/>
    </xf>
    <xf numFmtId="0" fontId="0" fillId="14" borderId="35" xfId="0" applyFill="1" applyBorder="1" applyProtection="1">
      <protection hidden="1"/>
    </xf>
    <xf numFmtId="165" fontId="26" fillId="0" borderId="17" xfId="1" applyNumberFormat="1" applyFont="1" applyBorder="1" applyAlignment="1" applyProtection="1">
      <alignment horizontal="center" vertical="center" wrapText="1"/>
      <protection hidden="1"/>
    </xf>
    <xf numFmtId="165" fontId="26" fillId="0" borderId="19" xfId="1" applyNumberFormat="1" applyFont="1" applyBorder="1" applyAlignment="1" applyProtection="1">
      <alignment horizontal="center" vertical="center" wrapText="1"/>
      <protection hidden="1"/>
    </xf>
    <xf numFmtId="9" fontId="22" fillId="11" borderId="58" xfId="1" applyFont="1" applyFill="1" applyBorder="1" applyAlignment="1" applyProtection="1">
      <alignment horizontal="center" vertical="center" wrapText="1"/>
      <protection hidden="1"/>
    </xf>
    <xf numFmtId="165" fontId="26" fillId="12" borderId="21" xfId="1" applyNumberFormat="1" applyFont="1" applyFill="1" applyBorder="1" applyAlignment="1" applyProtection="1">
      <alignment horizontal="center" vertical="center" wrapText="1"/>
      <protection hidden="1"/>
    </xf>
    <xf numFmtId="165" fontId="26" fillId="0" borderId="23" xfId="1" applyNumberFormat="1" applyFont="1" applyBorder="1" applyAlignment="1" applyProtection="1">
      <alignment horizontal="center" vertical="center" wrapText="1"/>
      <protection hidden="1"/>
    </xf>
    <xf numFmtId="9" fontId="22" fillId="11" borderId="60" xfId="1" applyFont="1" applyFill="1" applyBorder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horizontal="center" vertical="center" wrapText="1"/>
      <protection hidden="1"/>
    </xf>
    <xf numFmtId="165" fontId="10" fillId="0" borderId="54" xfId="1" applyNumberFormat="1" applyFont="1" applyBorder="1" applyAlignment="1" applyProtection="1">
      <alignment horizontal="center" vertical="center" wrapText="1"/>
      <protection hidden="1"/>
    </xf>
    <xf numFmtId="165" fontId="10" fillId="0" borderId="74" xfId="1" applyNumberFormat="1" applyFont="1" applyBorder="1" applyAlignment="1" applyProtection="1">
      <alignment horizontal="center" vertical="center" wrapText="1"/>
      <protection hidden="1"/>
    </xf>
    <xf numFmtId="9" fontId="24" fillId="6" borderId="45" xfId="1" applyFont="1" applyFill="1" applyBorder="1" applyAlignment="1" applyProtection="1">
      <alignment horizontal="center" vertical="center" wrapText="1"/>
      <protection hidden="1"/>
    </xf>
    <xf numFmtId="9" fontId="24" fillId="6" borderId="9" xfId="1" applyFont="1" applyFill="1" applyBorder="1" applyAlignment="1" applyProtection="1">
      <alignment horizontal="center" vertical="center" wrapText="1"/>
      <protection hidden="1"/>
    </xf>
    <xf numFmtId="0" fontId="15" fillId="0" borderId="8" xfId="0" applyFont="1" applyBorder="1" applyAlignment="1" applyProtection="1">
      <alignment horizontal="center" vertical="center" wrapText="1"/>
      <protection hidden="1"/>
    </xf>
    <xf numFmtId="9" fontId="24" fillId="6" borderId="7" xfId="1" applyFont="1" applyFill="1" applyBorder="1" applyAlignment="1" applyProtection="1">
      <alignment horizontal="center" vertical="center" wrapText="1"/>
      <protection hidden="1"/>
    </xf>
    <xf numFmtId="0" fontId="32" fillId="3" borderId="0" xfId="0" applyFont="1" applyFill="1" applyAlignment="1" applyProtection="1">
      <alignment vertical="center" wrapText="1"/>
      <protection hidden="1"/>
    </xf>
    <xf numFmtId="9" fontId="22" fillId="11" borderId="45" xfId="1" applyFont="1" applyFill="1" applyBorder="1" applyAlignment="1" applyProtection="1">
      <alignment horizontal="center" vertical="center" wrapText="1"/>
      <protection hidden="1"/>
    </xf>
    <xf numFmtId="0" fontId="26" fillId="0" borderId="15" xfId="0" applyFont="1" applyBorder="1" applyAlignment="1" applyProtection="1">
      <alignment horizontal="center" vertical="center" wrapText="1"/>
      <protection hidden="1"/>
    </xf>
    <xf numFmtId="9" fontId="22" fillId="11" borderId="9" xfId="1" applyFont="1" applyFill="1" applyBorder="1" applyAlignment="1" applyProtection="1">
      <alignment horizontal="center" vertical="center" wrapText="1"/>
      <protection hidden="1"/>
    </xf>
    <xf numFmtId="0" fontId="26" fillId="12" borderId="20" xfId="0" applyFont="1" applyFill="1" applyBorder="1" applyAlignment="1" applyProtection="1">
      <alignment horizontal="center" vertical="center" wrapText="1"/>
      <protection hidden="1"/>
    </xf>
    <xf numFmtId="9" fontId="22" fillId="11" borderId="7" xfId="1" applyFont="1" applyFill="1" applyBorder="1" applyAlignment="1" applyProtection="1">
      <alignment horizontal="center" vertical="center" wrapText="1"/>
      <protection hidden="1"/>
    </xf>
    <xf numFmtId="0" fontId="3" fillId="3" borderId="42" xfId="0" applyFont="1" applyFill="1" applyBorder="1" applyAlignment="1" applyProtection="1">
      <alignment vertical="center" wrapText="1"/>
      <protection hidden="1"/>
    </xf>
    <xf numFmtId="165" fontId="24" fillId="0" borderId="17" xfId="0" applyNumberFormat="1" applyFont="1" applyBorder="1" applyAlignment="1" applyProtection="1">
      <alignment horizontal="center" vertical="center" wrapText="1"/>
      <protection hidden="1"/>
    </xf>
    <xf numFmtId="0" fontId="24" fillId="0" borderId="15" xfId="0" applyFont="1" applyBorder="1" applyAlignment="1" applyProtection="1">
      <alignment horizontal="center" vertical="center" wrapText="1"/>
      <protection hidden="1"/>
    </xf>
    <xf numFmtId="0" fontId="15" fillId="0" borderId="9" xfId="0" applyFont="1" applyBorder="1" applyAlignment="1" applyProtection="1">
      <alignment horizontal="center" vertical="center" wrapText="1"/>
      <protection hidden="1"/>
    </xf>
    <xf numFmtId="0" fontId="24" fillId="0" borderId="21" xfId="0" applyFont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horizontal="center" vertical="center" wrapText="1"/>
      <protection hidden="1"/>
    </xf>
    <xf numFmtId="0" fontId="32" fillId="3" borderId="75" xfId="0" applyFont="1" applyFill="1" applyBorder="1" applyAlignment="1" applyProtection="1">
      <alignment vertical="center" wrapText="1"/>
      <protection hidden="1"/>
    </xf>
    <xf numFmtId="0" fontId="32" fillId="3" borderId="76" xfId="0" applyFont="1" applyFill="1" applyBorder="1" applyAlignment="1" applyProtection="1">
      <alignment vertical="center" wrapText="1"/>
      <protection hidden="1"/>
    </xf>
    <xf numFmtId="0" fontId="3" fillId="3" borderId="70" xfId="0" applyFont="1" applyFill="1" applyBorder="1" applyAlignment="1" applyProtection="1">
      <alignment vertical="center" wrapText="1"/>
      <protection hidden="1"/>
    </xf>
    <xf numFmtId="165" fontId="26" fillId="12" borderId="52" xfId="0" applyNumberFormat="1" applyFont="1" applyFill="1" applyBorder="1" applyAlignment="1" applyProtection="1">
      <alignment horizontal="center" vertical="center" wrapText="1"/>
      <protection hidden="1"/>
    </xf>
    <xf numFmtId="165" fontId="22" fillId="12" borderId="50" xfId="0" applyNumberFormat="1" applyFont="1" applyFill="1" applyBorder="1" applyAlignment="1" applyProtection="1">
      <alignment horizontal="center" vertical="center" wrapText="1"/>
      <protection hidden="1"/>
    </xf>
    <xf numFmtId="165" fontId="26" fillId="0" borderId="52" xfId="0" applyNumberFormat="1" applyFont="1" applyBorder="1" applyAlignment="1" applyProtection="1">
      <alignment horizontal="center" vertical="center" wrapText="1"/>
      <protection hidden="1"/>
    </xf>
    <xf numFmtId="0" fontId="22" fillId="0" borderId="68" xfId="0" applyFont="1" applyBorder="1" applyAlignment="1" applyProtection="1">
      <alignment horizontal="center" vertical="center" wrapText="1"/>
      <protection hidden="1"/>
    </xf>
    <xf numFmtId="0" fontId="26" fillId="12" borderId="52" xfId="0" applyFont="1" applyFill="1" applyBorder="1" applyAlignment="1" applyProtection="1">
      <alignment horizontal="center" vertical="center" wrapText="1"/>
      <protection hidden="1"/>
    </xf>
    <xf numFmtId="0" fontId="22" fillId="12" borderId="50" xfId="0" applyFont="1" applyFill="1" applyBorder="1" applyAlignment="1" applyProtection="1">
      <alignment horizontal="center" vertical="center" wrapText="1"/>
      <protection hidden="1"/>
    </xf>
    <xf numFmtId="0" fontId="22" fillId="0" borderId="50" xfId="0" applyFont="1" applyBorder="1" applyAlignment="1" applyProtection="1">
      <alignment horizontal="center" vertical="center" wrapText="1"/>
      <protection hidden="1"/>
    </xf>
    <xf numFmtId="0" fontId="10" fillId="3" borderId="0" xfId="0" applyFont="1" applyFill="1" applyAlignment="1" applyProtection="1">
      <alignment vertical="center" wrapText="1"/>
      <protection hidden="1"/>
    </xf>
    <xf numFmtId="0" fontId="6" fillId="3" borderId="16" xfId="0" applyFont="1" applyFill="1" applyBorder="1" applyAlignment="1" applyProtection="1">
      <alignment vertical="center" wrapText="1"/>
      <protection hidden="1"/>
    </xf>
    <xf numFmtId="3" fontId="26" fillId="12" borderId="17" xfId="0" applyNumberFormat="1" applyFont="1" applyFill="1" applyBorder="1" applyAlignment="1" applyProtection="1">
      <alignment horizontal="center" vertical="center" wrapText="1"/>
      <protection hidden="1"/>
    </xf>
    <xf numFmtId="4" fontId="26" fillId="12" borderId="46" xfId="0" applyNumberFormat="1" applyFont="1" applyFill="1" applyBorder="1" applyAlignment="1" applyProtection="1">
      <alignment horizontal="center" vertical="center" wrapText="1"/>
      <protection hidden="1"/>
    </xf>
    <xf numFmtId="4" fontId="24" fillId="0" borderId="17" xfId="0" applyNumberFormat="1" applyFont="1" applyBorder="1" applyAlignment="1" applyProtection="1">
      <alignment horizontal="center" vertical="center" wrapText="1"/>
      <protection hidden="1"/>
    </xf>
    <xf numFmtId="0" fontId="26" fillId="12" borderId="15" xfId="0" applyFont="1" applyFill="1" applyBorder="1" applyAlignment="1" applyProtection="1">
      <alignment horizontal="center" vertical="center" wrapText="1"/>
      <protection hidden="1"/>
    </xf>
    <xf numFmtId="0" fontId="26" fillId="12" borderId="47" xfId="0" applyFont="1" applyFill="1" applyBorder="1" applyAlignment="1" applyProtection="1">
      <alignment horizontal="center" vertical="center" wrapText="1"/>
      <protection hidden="1"/>
    </xf>
    <xf numFmtId="0" fontId="24" fillId="12" borderId="15" xfId="0" applyFont="1" applyFill="1" applyBorder="1" applyAlignment="1" applyProtection="1">
      <alignment horizontal="center" vertical="center" wrapText="1"/>
      <protection hidden="1"/>
    </xf>
    <xf numFmtId="0" fontId="10" fillId="3" borderId="3" xfId="0" applyFont="1" applyFill="1" applyBorder="1" applyAlignment="1" applyProtection="1">
      <alignment vertical="center" wrapText="1"/>
      <protection hidden="1"/>
    </xf>
    <xf numFmtId="0" fontId="6" fillId="3" borderId="2" xfId="0" applyFont="1" applyFill="1" applyBorder="1" applyAlignment="1" applyProtection="1">
      <alignment vertical="center" wrapText="1"/>
      <protection hidden="1"/>
    </xf>
    <xf numFmtId="0" fontId="26" fillId="12" borderId="54" xfId="0" applyFont="1" applyFill="1" applyBorder="1" applyAlignment="1" applyProtection="1">
      <alignment horizontal="center" vertical="center" wrapText="1"/>
      <protection hidden="1"/>
    </xf>
    <xf numFmtId="0" fontId="26" fillId="12" borderId="12" xfId="0" applyFont="1" applyFill="1" applyBorder="1" applyAlignment="1" applyProtection="1">
      <alignment horizontal="center" vertical="center" wrapText="1"/>
      <protection hidden="1"/>
    </xf>
    <xf numFmtId="0" fontId="24" fillId="0" borderId="54" xfId="0" applyFont="1" applyBorder="1" applyAlignment="1" applyProtection="1">
      <alignment horizontal="center" vertical="center" wrapText="1"/>
      <protection hidden="1"/>
    </xf>
    <xf numFmtId="9" fontId="24" fillId="0" borderId="9" xfId="1" applyFont="1" applyBorder="1" applyAlignment="1" applyProtection="1">
      <alignment horizontal="center" vertical="center" wrapText="1"/>
      <protection hidden="1"/>
    </xf>
    <xf numFmtId="0" fontId="26" fillId="12" borderId="38" xfId="0" applyFont="1" applyFill="1" applyBorder="1" applyAlignment="1" applyProtection="1">
      <alignment horizontal="center" vertical="center" wrapText="1"/>
      <protection hidden="1"/>
    </xf>
    <xf numFmtId="0" fontId="26" fillId="12" borderId="55" xfId="0" applyFont="1" applyFill="1" applyBorder="1" applyAlignment="1" applyProtection="1">
      <alignment horizontal="center" vertical="center" wrapText="1"/>
      <protection hidden="1"/>
    </xf>
    <xf numFmtId="0" fontId="24" fillId="0" borderId="38" xfId="0" applyFont="1" applyBorder="1" applyAlignment="1" applyProtection="1">
      <alignment horizontal="center" vertical="center" wrapText="1"/>
      <protection hidden="1"/>
    </xf>
    <xf numFmtId="0" fontId="32" fillId="3" borderId="3" xfId="0" applyFont="1" applyFill="1" applyBorder="1" applyAlignment="1" applyProtection="1">
      <alignment vertical="center" wrapText="1"/>
      <protection hidden="1"/>
    </xf>
    <xf numFmtId="0" fontId="3" fillId="3" borderId="2" xfId="0" applyFont="1" applyFill="1" applyBorder="1" applyAlignment="1" applyProtection="1">
      <alignment vertical="center" wrapText="1"/>
      <protection hidden="1"/>
    </xf>
    <xf numFmtId="0" fontId="26" fillId="12" borderId="21" xfId="0" applyFont="1" applyFill="1" applyBorder="1" applyAlignment="1" applyProtection="1">
      <alignment horizontal="center" vertical="center" wrapText="1"/>
      <protection hidden="1"/>
    </xf>
    <xf numFmtId="0" fontId="0" fillId="2" borderId="43" xfId="0" applyFill="1" applyBorder="1" applyAlignment="1" applyProtection="1">
      <alignment vertical="center" wrapText="1"/>
      <protection hidden="1"/>
    </xf>
    <xf numFmtId="0" fontId="4" fillId="3" borderId="2" xfId="0" applyFont="1" applyFill="1" applyBorder="1" applyAlignment="1" applyProtection="1">
      <alignment vertical="center" wrapText="1"/>
      <protection hidden="1"/>
    </xf>
    <xf numFmtId="0" fontId="26" fillId="12" borderId="46" xfId="0" applyFont="1" applyFill="1" applyBorder="1" applyAlignment="1" applyProtection="1">
      <alignment horizontal="center" vertical="center" wrapText="1"/>
      <protection hidden="1"/>
    </xf>
    <xf numFmtId="0" fontId="24" fillId="0" borderId="17" xfId="0" applyFont="1" applyBorder="1" applyAlignment="1" applyProtection="1">
      <alignment horizontal="center" vertical="center" wrapText="1"/>
      <protection hidden="1"/>
    </xf>
    <xf numFmtId="9" fontId="25" fillId="6" borderId="45" xfId="1" applyFont="1" applyFill="1" applyBorder="1" applyAlignment="1" applyProtection="1">
      <alignment horizontal="center" vertical="center" wrapText="1"/>
      <protection hidden="1"/>
    </xf>
    <xf numFmtId="0" fontId="26" fillId="12" borderId="56" xfId="0" applyFont="1" applyFill="1" applyBorder="1" applyAlignment="1" applyProtection="1">
      <alignment horizontal="center" vertical="center" wrapText="1"/>
      <protection hidden="1"/>
    </xf>
    <xf numFmtId="0" fontId="26" fillId="12" borderId="65" xfId="0" applyFont="1" applyFill="1" applyBorder="1" applyAlignment="1" applyProtection="1">
      <alignment horizontal="center" vertical="center" wrapText="1"/>
      <protection hidden="1"/>
    </xf>
    <xf numFmtId="9" fontId="25" fillId="6" borderId="7" xfId="1" applyFont="1" applyFill="1" applyBorder="1" applyAlignment="1" applyProtection="1">
      <alignment horizontal="center" vertical="center" wrapText="1"/>
      <protection hidden="1"/>
    </xf>
    <xf numFmtId="0" fontId="16" fillId="3" borderId="3" xfId="0" applyFont="1" applyFill="1" applyBorder="1" applyAlignment="1" applyProtection="1">
      <alignment vertical="center" wrapText="1"/>
      <protection hidden="1"/>
    </xf>
    <xf numFmtId="0" fontId="10" fillId="12" borderId="72" xfId="0" applyFont="1" applyFill="1" applyBorder="1" applyAlignment="1" applyProtection="1">
      <alignment horizontal="center" vertical="center" wrapText="1"/>
      <protection hidden="1"/>
    </xf>
    <xf numFmtId="0" fontId="10" fillId="12" borderId="69" xfId="0" applyFont="1" applyFill="1" applyBorder="1" applyAlignment="1" applyProtection="1">
      <alignment horizontal="center" vertical="center" wrapText="1"/>
      <protection hidden="1"/>
    </xf>
    <xf numFmtId="2" fontId="24" fillId="0" borderId="50" xfId="0" applyNumberFormat="1" applyFont="1" applyBorder="1" applyAlignment="1" applyProtection="1">
      <alignment horizontal="center" vertical="center" wrapText="1"/>
      <protection hidden="1"/>
    </xf>
    <xf numFmtId="1" fontId="24" fillId="12" borderId="17" xfId="0" applyNumberFormat="1" applyFont="1" applyFill="1" applyBorder="1" applyAlignment="1" applyProtection="1">
      <alignment horizontal="center" vertical="center" wrapText="1"/>
      <protection hidden="1"/>
    </xf>
    <xf numFmtId="0" fontId="24" fillId="12" borderId="19" xfId="0" applyFont="1" applyFill="1" applyBorder="1" applyAlignment="1" applyProtection="1">
      <alignment horizontal="center" vertical="center" wrapText="1"/>
      <protection hidden="1"/>
    </xf>
    <xf numFmtId="9" fontId="24" fillId="0" borderId="58" xfId="1" applyFont="1" applyBorder="1" applyAlignment="1" applyProtection="1">
      <alignment horizontal="center" vertical="center" wrapText="1"/>
      <protection hidden="1"/>
    </xf>
    <xf numFmtId="0" fontId="25" fillId="12" borderId="15" xfId="0" applyFont="1" applyFill="1" applyBorder="1" applyAlignment="1" applyProtection="1">
      <alignment horizontal="center" vertical="center" wrapText="1"/>
      <protection hidden="1"/>
    </xf>
    <xf numFmtId="0" fontId="38" fillId="12" borderId="20" xfId="0" applyFont="1" applyFill="1" applyBorder="1" applyAlignment="1" applyProtection="1">
      <alignment horizontal="center" vertical="center" wrapText="1"/>
      <protection hidden="1"/>
    </xf>
    <xf numFmtId="9" fontId="24" fillId="0" borderId="59" xfId="1" applyFont="1" applyBorder="1" applyAlignment="1" applyProtection="1">
      <alignment horizontal="center" vertical="center" wrapText="1"/>
      <protection hidden="1"/>
    </xf>
    <xf numFmtId="168" fontId="26" fillId="12" borderId="15" xfId="2" applyNumberFormat="1" applyFont="1" applyFill="1" applyBorder="1" applyAlignment="1" applyProtection="1">
      <alignment horizontal="center" vertical="center" wrapText="1"/>
      <protection hidden="1"/>
    </xf>
    <xf numFmtId="168" fontId="26" fillId="12" borderId="20" xfId="2" applyNumberFormat="1" applyFont="1" applyFill="1" applyBorder="1" applyAlignment="1" applyProtection="1">
      <alignment horizontal="center" vertical="center" wrapText="1"/>
      <protection hidden="1"/>
    </xf>
    <xf numFmtId="168" fontId="26" fillId="0" borderId="15" xfId="2" applyNumberFormat="1" applyFont="1" applyBorder="1" applyAlignment="1" applyProtection="1">
      <alignment horizontal="center" vertical="center" wrapText="1"/>
      <protection hidden="1"/>
    </xf>
    <xf numFmtId="168" fontId="26" fillId="0" borderId="20" xfId="2" applyNumberFormat="1" applyFont="1" applyBorder="1" applyAlignment="1" applyProtection="1">
      <alignment horizontal="center" vertical="center" wrapText="1"/>
      <protection hidden="1"/>
    </xf>
    <xf numFmtId="1" fontId="25" fillId="12" borderId="21" xfId="0" applyNumberFormat="1" applyFont="1" applyFill="1" applyBorder="1" applyAlignment="1" applyProtection="1">
      <alignment horizontal="center" vertical="center" wrapText="1"/>
      <protection hidden="1"/>
    </xf>
    <xf numFmtId="0" fontId="25" fillId="12" borderId="23" xfId="0" applyFont="1" applyFill="1" applyBorder="1" applyAlignment="1" applyProtection="1">
      <alignment horizontal="center" vertical="center" wrapText="1"/>
      <protection hidden="1"/>
    </xf>
    <xf numFmtId="9" fontId="24" fillId="0" borderId="60" xfId="1" applyFont="1" applyBorder="1" applyAlignment="1" applyProtection="1">
      <alignment horizontal="center" vertical="center" wrapText="1"/>
      <protection hidden="1"/>
    </xf>
    <xf numFmtId="0" fontId="33" fillId="2" borderId="6" xfId="0" applyFont="1" applyFill="1" applyBorder="1" applyAlignment="1" applyProtection="1">
      <alignment vertical="center" wrapText="1"/>
      <protection hidden="1"/>
    </xf>
    <xf numFmtId="0" fontId="32" fillId="3" borderId="44" xfId="0" applyFont="1" applyFill="1" applyBorder="1" applyAlignment="1" applyProtection="1">
      <alignment vertical="center" wrapText="1"/>
      <protection hidden="1"/>
    </xf>
    <xf numFmtId="165" fontId="26" fillId="12" borderId="17" xfId="0" applyNumberFormat="1" applyFont="1" applyFill="1" applyBorder="1" applyAlignment="1" applyProtection="1">
      <alignment horizontal="center" vertical="center" wrapText="1"/>
      <protection hidden="1"/>
    </xf>
    <xf numFmtId="165" fontId="26" fillId="12" borderId="19" xfId="0" applyNumberFormat="1" applyFont="1" applyFill="1" applyBorder="1" applyAlignment="1" applyProtection="1">
      <alignment horizontal="center" vertical="center" wrapText="1"/>
      <protection hidden="1"/>
    </xf>
    <xf numFmtId="9" fontId="24" fillId="6" borderId="58" xfId="1" applyFont="1" applyFill="1" applyBorder="1" applyAlignment="1" applyProtection="1">
      <alignment horizontal="center" vertical="center" wrapText="1"/>
      <protection hidden="1"/>
    </xf>
    <xf numFmtId="0" fontId="15" fillId="0" borderId="59" xfId="0" applyFont="1" applyBorder="1" applyAlignment="1" applyProtection="1">
      <alignment horizontal="center" vertical="center" wrapText="1"/>
      <protection hidden="1"/>
    </xf>
    <xf numFmtId="0" fontId="15" fillId="0" borderId="60" xfId="0" applyFont="1" applyBorder="1" applyAlignment="1" applyProtection="1">
      <alignment horizontal="center" vertical="center" wrapText="1"/>
      <protection hidden="1"/>
    </xf>
    <xf numFmtId="0" fontId="32" fillId="3" borderId="6" xfId="0" applyFont="1" applyFill="1" applyBorder="1" applyAlignment="1" applyProtection="1">
      <alignment vertical="center" wrapText="1"/>
      <protection hidden="1"/>
    </xf>
    <xf numFmtId="2" fontId="26" fillId="0" borderId="50" xfId="0" applyNumberFormat="1" applyFont="1" applyBorder="1" applyAlignment="1" applyProtection="1">
      <alignment horizontal="center" vertical="center" wrapText="1"/>
      <protection hidden="1"/>
    </xf>
    <xf numFmtId="0" fontId="26" fillId="0" borderId="52" xfId="0" applyFont="1" applyBorder="1" applyAlignment="1" applyProtection="1">
      <alignment horizontal="center" vertical="center" wrapText="1"/>
      <protection hidden="1"/>
    </xf>
    <xf numFmtId="1" fontId="24" fillId="0" borderId="50" xfId="1" applyNumberFormat="1" applyFont="1" applyBorder="1" applyAlignment="1" applyProtection="1">
      <alignment horizontal="center" vertical="center" wrapText="1"/>
      <protection hidden="1"/>
    </xf>
    <xf numFmtId="0" fontId="16" fillId="9" borderId="3" xfId="0" applyFont="1" applyFill="1" applyBorder="1" applyAlignment="1" applyProtection="1">
      <alignment vertical="center" wrapText="1"/>
      <protection hidden="1"/>
    </xf>
    <xf numFmtId="0" fontId="0" fillId="9" borderId="16" xfId="0" applyFill="1" applyBorder="1" applyAlignment="1" applyProtection="1">
      <alignment vertical="center" wrapText="1"/>
      <protection hidden="1"/>
    </xf>
    <xf numFmtId="0" fontId="23" fillId="12" borderId="50" xfId="0" applyFont="1" applyFill="1" applyBorder="1" applyAlignment="1" applyProtection="1">
      <alignment horizontal="center" vertical="center" wrapText="1"/>
      <protection hidden="1"/>
    </xf>
    <xf numFmtId="0" fontId="23" fillId="12" borderId="52" xfId="0" applyFont="1" applyFill="1" applyBorder="1" applyAlignment="1" applyProtection="1">
      <alignment horizontal="center" vertical="center" wrapText="1"/>
      <protection hidden="1"/>
    </xf>
    <xf numFmtId="2" fontId="24" fillId="12" borderId="50" xfId="0" applyNumberFormat="1" applyFont="1" applyFill="1" applyBorder="1" applyAlignment="1" applyProtection="1">
      <alignment horizontal="center" vertical="center" wrapText="1"/>
      <protection hidden="1"/>
    </xf>
    <xf numFmtId="0" fontId="25" fillId="12" borderId="36" xfId="0" applyFont="1" applyFill="1" applyBorder="1" applyAlignment="1" applyProtection="1">
      <alignment horizontal="center" vertical="center" wrapText="1"/>
      <protection hidden="1"/>
    </xf>
    <xf numFmtId="2" fontId="24" fillId="12" borderId="56" xfId="0" applyNumberFormat="1" applyFont="1" applyFill="1" applyBorder="1" applyAlignment="1" applyProtection="1">
      <alignment horizontal="center" vertical="center" wrapText="1"/>
      <protection hidden="1"/>
    </xf>
    <xf numFmtId="0" fontId="26" fillId="12" borderId="51" xfId="0" applyFont="1" applyFill="1" applyBorder="1" applyAlignment="1" applyProtection="1">
      <alignment horizontal="center" vertical="center" wrapText="1"/>
      <protection hidden="1"/>
    </xf>
    <xf numFmtId="0" fontId="0" fillId="2" borderId="2" xfId="0" applyFill="1" applyBorder="1" applyAlignment="1" applyProtection="1">
      <alignment vertical="center" wrapText="1"/>
      <protection hidden="1"/>
    </xf>
    <xf numFmtId="0" fontId="0" fillId="2" borderId="16" xfId="0" applyFill="1" applyBorder="1" applyAlignment="1" applyProtection="1">
      <alignment vertical="center" wrapText="1"/>
      <protection hidden="1"/>
    </xf>
    <xf numFmtId="0" fontId="26" fillId="0" borderId="38" xfId="0" applyFont="1" applyBorder="1" applyAlignment="1" applyProtection="1">
      <alignment horizontal="center" vertical="center" wrapText="1"/>
      <protection hidden="1"/>
    </xf>
    <xf numFmtId="0" fontId="26" fillId="0" borderId="39" xfId="0" applyFont="1" applyBorder="1" applyAlignment="1" applyProtection="1">
      <alignment horizontal="center" vertical="center" wrapText="1"/>
      <protection hidden="1"/>
    </xf>
    <xf numFmtId="9" fontId="26" fillId="0" borderId="17" xfId="0" applyNumberFormat="1" applyFont="1" applyBorder="1" applyAlignment="1" applyProtection="1">
      <alignment horizontal="center" vertical="center" wrapText="1"/>
      <protection hidden="1"/>
    </xf>
    <xf numFmtId="9" fontId="28" fillId="0" borderId="45" xfId="1" applyFont="1" applyBorder="1" applyAlignment="1" applyProtection="1">
      <alignment horizontal="center" vertical="center" wrapText="1"/>
      <protection hidden="1"/>
    </xf>
    <xf numFmtId="9" fontId="28" fillId="0" borderId="9" xfId="1" applyFont="1" applyBorder="1" applyAlignment="1" applyProtection="1">
      <alignment horizontal="center" vertical="center" wrapText="1"/>
      <protection hidden="1"/>
    </xf>
    <xf numFmtId="9" fontId="28" fillId="0" borderId="7" xfId="1" applyFont="1" applyBorder="1" applyAlignment="1" applyProtection="1">
      <alignment horizontal="center" vertical="center" wrapText="1"/>
      <protection hidden="1"/>
    </xf>
    <xf numFmtId="0" fontId="3" fillId="3" borderId="16" xfId="0" applyFont="1" applyFill="1" applyBorder="1" applyAlignment="1" applyProtection="1">
      <alignment vertical="center" wrapText="1"/>
      <protection hidden="1"/>
    </xf>
    <xf numFmtId="2" fontId="24" fillId="12" borderId="54" xfId="0" applyNumberFormat="1" applyFont="1" applyFill="1" applyBorder="1" applyAlignment="1" applyProtection="1">
      <alignment horizontal="center" vertical="center" wrapText="1"/>
      <protection hidden="1"/>
    </xf>
    <xf numFmtId="165" fontId="26" fillId="0" borderId="20" xfId="0" applyNumberFormat="1" applyFont="1" applyBorder="1" applyAlignment="1" applyProtection="1">
      <alignment horizontal="center" vertical="center" wrapText="1"/>
      <protection hidden="1"/>
    </xf>
    <xf numFmtId="2" fontId="24" fillId="12" borderId="15" xfId="0" applyNumberFormat="1" applyFont="1" applyFill="1" applyBorder="1" applyAlignment="1" applyProtection="1">
      <alignment horizontal="center" vertical="center" wrapText="1"/>
      <protection hidden="1"/>
    </xf>
    <xf numFmtId="165" fontId="26" fillId="0" borderId="15" xfId="0" applyNumberFormat="1" applyFont="1" applyBorder="1" applyAlignment="1" applyProtection="1">
      <alignment horizontal="center" vertical="center" wrapText="1"/>
      <protection hidden="1"/>
    </xf>
    <xf numFmtId="2" fontId="24" fillId="12" borderId="21" xfId="0" applyNumberFormat="1" applyFont="1" applyFill="1" applyBorder="1" applyAlignment="1" applyProtection="1">
      <alignment horizontal="center" vertical="center" wrapText="1"/>
      <protection hidden="1"/>
    </xf>
    <xf numFmtId="165" fontId="26" fillId="0" borderId="46" xfId="0" applyNumberFormat="1" applyFont="1" applyBorder="1" applyAlignment="1" applyProtection="1">
      <alignment horizontal="center" vertical="center" wrapText="1"/>
      <protection hidden="1"/>
    </xf>
    <xf numFmtId="2" fontId="24" fillId="12" borderId="17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47" xfId="0" applyFont="1" applyBorder="1" applyAlignment="1" applyProtection="1">
      <alignment horizontal="center" vertical="center" wrapText="1"/>
      <protection hidden="1"/>
    </xf>
    <xf numFmtId="0" fontId="26" fillId="0" borderId="48" xfId="0" applyFont="1" applyBorder="1" applyAlignment="1" applyProtection="1">
      <alignment horizontal="center" vertical="center" wrapText="1"/>
      <protection hidden="1"/>
    </xf>
    <xf numFmtId="2" fontId="26" fillId="12" borderId="50" xfId="0" applyNumberFormat="1" applyFont="1" applyFill="1" applyBorder="1" applyAlignment="1" applyProtection="1">
      <alignment horizontal="center" vertical="center" wrapText="1"/>
      <protection hidden="1"/>
    </xf>
    <xf numFmtId="1" fontId="24" fillId="0" borderId="35" xfId="1" applyNumberFormat="1" applyFont="1" applyBorder="1" applyAlignment="1" applyProtection="1">
      <alignment horizontal="center" vertical="center" wrapText="1"/>
      <protection hidden="1"/>
    </xf>
    <xf numFmtId="0" fontId="26" fillId="12" borderId="72" xfId="0" applyFont="1" applyFill="1" applyBorder="1" applyAlignment="1" applyProtection="1">
      <alignment horizontal="center" vertical="center" wrapText="1"/>
      <protection hidden="1"/>
    </xf>
    <xf numFmtId="0" fontId="26" fillId="12" borderId="69" xfId="0" applyFont="1" applyFill="1" applyBorder="1" applyAlignment="1" applyProtection="1">
      <alignment horizontal="center" vertical="center" wrapText="1"/>
      <protection hidden="1"/>
    </xf>
    <xf numFmtId="1" fontId="24" fillId="0" borderId="18" xfId="1" applyNumberFormat="1" applyFont="1" applyBorder="1" applyAlignment="1" applyProtection="1">
      <alignment horizontal="center" vertical="center" wrapText="1"/>
      <protection hidden="1"/>
    </xf>
    <xf numFmtId="9" fontId="0" fillId="0" borderId="45" xfId="0" applyNumberFormat="1" applyBorder="1" applyAlignment="1" applyProtection="1">
      <alignment horizontal="center" vertical="center" wrapText="1"/>
      <protection hidden="1"/>
    </xf>
    <xf numFmtId="1" fontId="24" fillId="0" borderId="22" xfId="1" applyNumberFormat="1" applyFont="1" applyBorder="1" applyAlignment="1" applyProtection="1">
      <alignment horizontal="center" vertical="center" wrapText="1"/>
      <protection hidden="1"/>
    </xf>
    <xf numFmtId="9" fontId="0" fillId="0" borderId="7" xfId="0" applyNumberFormat="1" applyBorder="1" applyAlignment="1" applyProtection="1">
      <alignment horizontal="center" vertical="center" wrapText="1"/>
      <protection hidden="1"/>
    </xf>
  </cellXfs>
  <cellStyles count="4">
    <cellStyle name="Comma" xfId="2" builtinId="3"/>
    <cellStyle name="Hyperlink" xfId="3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  <color rgb="FFFF9933"/>
      <color rgb="FFFF5050"/>
      <color rgb="FFFFCC00"/>
      <color rgb="FFCCFF66"/>
      <color rgb="FFFFFF99"/>
      <color rgb="FFFF99FF"/>
      <color rgb="FF006600"/>
      <color rgb="FFCCFF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101890609398731"/>
          <c:y val="0.16020748730001719"/>
          <c:w val="0.35796205771676309"/>
          <c:h val="0.67336902070516902"/>
        </c:manualLayout>
      </c:layout>
      <c:radarChart>
        <c:radarStyle val="marker"/>
        <c:varyColors val="0"/>
        <c:ser>
          <c:idx val="0"/>
          <c:order val="0"/>
          <c:tx>
            <c:strRef>
              <c:f>'Aspiration Chart'!$B$3</c:f>
              <c:strCache>
                <c:ptCount val="1"/>
                <c:pt idx="0">
                  <c:v>Achievement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6522098306485529E-3"/>
                  <c:y val="0"/>
                </c:manualLayout>
              </c:layout>
              <c:spPr>
                <a:solidFill>
                  <a:srgbClr val="FF66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1A8-4178-8334-E3F2CC107E7E}"/>
                </c:ext>
              </c:extLst>
            </c:dLbl>
            <c:dLbl>
              <c:idx val="1"/>
              <c:layout>
                <c:manualLayout>
                  <c:x val="-3.3044196612969846E-2"/>
                  <c:y val="-1.0878008215894106E-2"/>
                </c:manualLayout>
              </c:layout>
              <c:spPr>
                <a:solidFill>
                  <a:srgbClr val="FF9933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5819909128459317E-2"/>
                      <c:h val="4.657353753806079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F1A8-4178-8334-E3F2CC107E7E}"/>
                </c:ext>
              </c:extLst>
            </c:dLbl>
            <c:dLbl>
              <c:idx val="2"/>
              <c:spPr>
                <a:solidFill>
                  <a:srgbClr val="FF0000"/>
                </a:solidFill>
                <a:ln>
                  <a:solidFill>
                    <a:srgbClr val="0070C0"/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F1A8-4178-8334-E3F2CC107E7E}"/>
                </c:ext>
              </c:extLst>
            </c:dLbl>
            <c:dLbl>
              <c:idx val="3"/>
              <c:layout>
                <c:manualLayout>
                  <c:x val="0"/>
                  <c:y val="-3.1080023473983084E-3"/>
                </c:manualLayout>
              </c:layout>
              <c:spPr>
                <a:solidFill>
                  <a:srgbClr val="FF9933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A8-4178-8334-E3F2CC107E7E}"/>
                </c:ext>
              </c:extLst>
            </c:dLbl>
            <c:dLbl>
              <c:idx val="4"/>
              <c:layout>
                <c:manualLayout>
                  <c:x val="-1.3217678645188E-2"/>
                  <c:y val="-4.9728037558372934E-2"/>
                </c:manualLayout>
              </c:layout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1A8-4178-8334-E3F2CC107E7E}"/>
                </c:ext>
              </c:extLst>
            </c:dLbl>
            <c:dLbl>
              <c:idx val="5"/>
              <c:spPr>
                <a:solidFill>
                  <a:srgbClr val="FF66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F1A8-4178-8334-E3F2CC107E7E}"/>
                </c:ext>
              </c:extLst>
            </c:dLbl>
            <c:dLbl>
              <c:idx val="6"/>
              <c:layout>
                <c:manualLayout>
                  <c:x val="0"/>
                  <c:y val="5.9052044600567802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1A8-4178-8334-E3F2CC107E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'Aspiration Chart'!$A$4:$A$10</c:f>
              <c:strCache>
                <c:ptCount val="7"/>
                <c:pt idx="0">
                  <c:v>Apriration 1:  A properous Africa based on inclusive growth and sustainable development</c:v>
                </c:pt>
                <c:pt idx="1">
                  <c:v> Aspiration 2:  An integrated continent, politically united and based on the ideals of Pan - Africanism and a Vision of the African Renaissance</c:v>
                </c:pt>
                <c:pt idx="2">
                  <c:v>Aspiration 3: An African of good governance, democracy, respect for human rigjhts and the rule of law</c:v>
                </c:pt>
                <c:pt idx="3">
                  <c:v> Aspiration 4. A peaceful and secure Africa</c:v>
                </c:pt>
                <c:pt idx="4">
                  <c:v>Aspiration 5: African with a strong cultural identity, common heritage, value and beliefs</c:v>
                </c:pt>
                <c:pt idx="5">
                  <c:v>Aspiration 6 An Africa whose development of people driven, relying on the potential of the African People</c:v>
                </c:pt>
                <c:pt idx="6">
                  <c:v> Aspiration 7: Africa as a strong and influential global partner</c:v>
                </c:pt>
              </c:strCache>
            </c:strRef>
          </c:cat>
          <c:val>
            <c:numRef>
              <c:f>'Aspiration Chart'!$B$4:$B$10</c:f>
              <c:numCache>
                <c:formatCode>0%</c:formatCode>
                <c:ptCount val="7"/>
                <c:pt idx="0">
                  <c:v>0.21010742592384751</c:v>
                </c:pt>
                <c:pt idx="1">
                  <c:v>0.35018025196332658</c:v>
                </c:pt>
                <c:pt idx="2">
                  <c:v>0.16624784277006682</c:v>
                </c:pt>
                <c:pt idx="3">
                  <c:v>0.33333333333333337</c:v>
                </c:pt>
                <c:pt idx="4">
                  <c:v>0.42279411764705882</c:v>
                </c:pt>
                <c:pt idx="5">
                  <c:v>0.20980882397345227</c:v>
                </c:pt>
                <c:pt idx="6">
                  <c:v>0.18611111111111112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1A8-4178-8334-E3F2CC107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3271680"/>
        <c:axId val="1858782976"/>
      </c:radarChart>
      <c:catAx>
        <c:axId val="205327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782976"/>
        <c:crosses val="autoZero"/>
        <c:auto val="1"/>
        <c:lblAlgn val="ctr"/>
        <c:lblOffset val="100"/>
        <c:noMultiLvlLbl val="0"/>
      </c:catAx>
      <c:valAx>
        <c:axId val="185878297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2053271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134665310928717E-2"/>
          <c:y val="1.9196212729668042E-2"/>
          <c:w val="0.92860254583032675"/>
          <c:h val="0.8657761729984740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'Performance by Goal'!$D$1</c:f>
              <c:strCache>
                <c:ptCount val="1"/>
                <c:pt idx="0">
                  <c:v>Decription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'Performance by Goal'!$C$2:$C$23</c:f>
              <c:strCache>
                <c:ptCount val="20"/>
                <c:pt idx="0">
                  <c:v>Goal 1</c:v>
                </c:pt>
                <c:pt idx="1">
                  <c:v>Goal 2</c:v>
                </c:pt>
                <c:pt idx="2">
                  <c:v>Goal 3</c:v>
                </c:pt>
                <c:pt idx="3">
                  <c:v>Goal 4</c:v>
                </c:pt>
                <c:pt idx="4">
                  <c:v>Goal 5</c:v>
                </c:pt>
                <c:pt idx="5">
                  <c:v>Goal 6</c:v>
                </c:pt>
                <c:pt idx="6">
                  <c:v>Goal 7</c:v>
                </c:pt>
                <c:pt idx="7">
                  <c:v>Goal 8</c:v>
                </c:pt>
                <c:pt idx="8">
                  <c:v>Goal 9</c:v>
                </c:pt>
                <c:pt idx="9">
                  <c:v>Goal 10</c:v>
                </c:pt>
                <c:pt idx="10">
                  <c:v>Goal 11</c:v>
                </c:pt>
                <c:pt idx="11">
                  <c:v>Goal 12</c:v>
                </c:pt>
                <c:pt idx="12">
                  <c:v>Goal 13</c:v>
                </c:pt>
                <c:pt idx="13">
                  <c:v>Goal 14</c:v>
                </c:pt>
                <c:pt idx="14">
                  <c:v>Goal 15</c:v>
                </c:pt>
                <c:pt idx="15">
                  <c:v>Goal 16</c:v>
                </c:pt>
                <c:pt idx="16">
                  <c:v>Goal 17</c:v>
                </c:pt>
                <c:pt idx="17">
                  <c:v>Goal 18</c:v>
                </c:pt>
                <c:pt idx="18">
                  <c:v>Goal 19</c:v>
                </c:pt>
                <c:pt idx="19">
                  <c:v>Goal 20</c:v>
                </c:pt>
              </c:strCache>
            </c:strRef>
          </c:cat>
          <c:val>
            <c:numRef>
              <c:f>'Performance by Goal'!$D$2:$D$23</c:f>
            </c:numRef>
          </c:val>
          <c:extLst>
            <c:ext xmlns:c16="http://schemas.microsoft.com/office/drawing/2014/chart" uri="{C3380CC4-5D6E-409C-BE32-E72D297353CC}">
              <c16:uniqueId val="{00000000-3BD5-42DB-A8DD-68ED77B36605}"/>
            </c:ext>
          </c:extLst>
        </c:ser>
        <c:ser>
          <c:idx val="1"/>
          <c:order val="1"/>
          <c:tx>
            <c:strRef>
              <c:f>'Performance by Goal'!$E$1</c:f>
              <c:strCache>
                <c:ptCount val="1"/>
                <c:pt idx="0">
                  <c:v>Achievement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F58-4B5C-AB0F-1BFB69053935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F58-4B5C-AB0F-1BFB69053935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F58-4B5C-AB0F-1BFB69053935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F58-4B5C-AB0F-1BFB69053935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F58-4B5C-AB0F-1BFB69053935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F58-4B5C-AB0F-1BFB69053935}"/>
              </c:ext>
            </c:extLst>
          </c:dPt>
          <c:dPt>
            <c:idx val="6"/>
            <c:invertIfNegative val="0"/>
            <c:bubble3D val="0"/>
            <c:spPr>
              <a:solidFill>
                <a:srgbClr val="FF99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F58-4B5C-AB0F-1BFB69053935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DF58-4B5C-AB0F-1BFB69053935}"/>
              </c:ext>
            </c:extLst>
          </c:dPt>
          <c:dPt>
            <c:idx val="8"/>
            <c:invertIfNegative val="0"/>
            <c:bubble3D val="0"/>
            <c:spPr>
              <a:solidFill>
                <a:srgbClr val="0066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DF58-4B5C-AB0F-1BFB69053935}"/>
              </c:ext>
            </c:extLst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DF58-4B5C-AB0F-1BFB69053935}"/>
              </c:ext>
            </c:extLst>
          </c:dPt>
          <c:dPt>
            <c:idx val="10"/>
            <c:invertIfNegative val="0"/>
            <c:bubble3D val="0"/>
            <c:spPr>
              <a:solidFill>
                <a:srgbClr val="FF66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DF58-4B5C-AB0F-1BFB69053935}"/>
              </c:ext>
            </c:extLst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DF58-4B5C-AB0F-1BFB69053935}"/>
              </c:ext>
            </c:extLst>
          </c:dPt>
          <c:dPt>
            <c:idx val="12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DF58-4B5C-AB0F-1BFB69053935}"/>
              </c:ext>
            </c:extLst>
          </c:dPt>
          <c:dPt>
            <c:idx val="1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DF58-4B5C-AB0F-1BFB69053935}"/>
              </c:ext>
            </c:extLst>
          </c:dPt>
          <c:dPt>
            <c:idx val="1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DF58-4B5C-AB0F-1BFB69053935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77E3-48E2-9CD8-270ACE34747F}"/>
              </c:ext>
            </c:extLst>
          </c:dPt>
          <c:dPt>
            <c:idx val="16"/>
            <c:invertIfNegative val="0"/>
            <c:bubble3D val="0"/>
            <c:spPr>
              <a:solidFill>
                <a:srgbClr val="FF66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DF58-4B5C-AB0F-1BFB69053935}"/>
              </c:ext>
            </c:extLst>
          </c:dPt>
          <c:dPt>
            <c:idx val="1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DF58-4B5C-AB0F-1BFB69053935}"/>
              </c:ext>
            </c:extLst>
          </c:dPt>
          <c:dPt>
            <c:idx val="18"/>
            <c:invertIfNegative val="0"/>
            <c:bubble3D val="0"/>
            <c:spPr>
              <a:solidFill>
                <a:srgbClr val="CCFF6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77E3-48E2-9CD8-270ACE34747F}"/>
              </c:ext>
            </c:extLst>
          </c:dPt>
          <c:dPt>
            <c:idx val="19"/>
            <c:invertIfNegative val="0"/>
            <c:bubble3D val="0"/>
            <c:spPr>
              <a:solidFill>
                <a:srgbClr val="FF5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77E3-48E2-9CD8-270ACE34747F}"/>
              </c:ext>
            </c:extLst>
          </c:dPt>
          <c:dLbls>
            <c:dLbl>
              <c:idx val="0"/>
              <c:layout>
                <c:manualLayout>
                  <c:x val="0"/>
                  <c:y val="-0.2616232605192853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58-4B5C-AB0F-1BFB69053935}"/>
                </c:ext>
              </c:extLst>
            </c:dLbl>
            <c:dLbl>
              <c:idx val="1"/>
              <c:layout>
                <c:manualLayout>
                  <c:x val="1.6435540264032275E-3"/>
                  <c:y val="-6.93459244749914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58-4B5C-AB0F-1BFB69053935}"/>
                </c:ext>
              </c:extLst>
            </c:dLbl>
            <c:dLbl>
              <c:idx val="2"/>
              <c:layout>
                <c:manualLayout>
                  <c:x val="0"/>
                  <c:y val="-0.100866799236350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F58-4B5C-AB0F-1BFB69053935}"/>
                </c:ext>
              </c:extLst>
            </c:dLbl>
            <c:dLbl>
              <c:idx val="3"/>
              <c:layout>
                <c:manualLayout>
                  <c:x val="0"/>
                  <c:y val="-0.1040186385166227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58-4B5C-AB0F-1BFB69053935}"/>
                </c:ext>
              </c:extLst>
            </c:dLbl>
            <c:dLbl>
              <c:idx val="4"/>
              <c:layout>
                <c:manualLayout>
                  <c:x val="3.2871080528064848E-3"/>
                  <c:y val="-3.152087476135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F58-4B5C-AB0F-1BFB69053935}"/>
                </c:ext>
              </c:extLst>
            </c:dLbl>
            <c:dLbl>
              <c:idx val="5"/>
              <c:layout>
                <c:manualLayout>
                  <c:x val="0"/>
                  <c:y val="-2.83687872852237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F58-4B5C-AB0F-1BFB69053935}"/>
                </c:ext>
              </c:extLst>
            </c:dLbl>
            <c:dLbl>
              <c:idx val="6"/>
              <c:layout>
                <c:manualLayout>
                  <c:x val="0"/>
                  <c:y val="-3.152087476135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F58-4B5C-AB0F-1BFB69053935}"/>
                </c:ext>
              </c:extLst>
            </c:dLbl>
            <c:dLbl>
              <c:idx val="7"/>
              <c:layout>
                <c:manualLayout>
                  <c:x val="-6.0262951472027715E-17"/>
                  <c:y val="-2.83687872852237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F58-4B5C-AB0F-1BFB69053935}"/>
                </c:ext>
              </c:extLst>
            </c:dLbl>
            <c:dLbl>
              <c:idx val="8"/>
              <c:layout>
                <c:manualLayout>
                  <c:x val="4.930662079209727E-3"/>
                  <c:y val="-0.4255318092783556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F58-4B5C-AB0F-1BFB69053935}"/>
                </c:ext>
              </c:extLst>
            </c:dLbl>
            <c:dLbl>
              <c:idx val="9"/>
              <c:layout>
                <c:manualLayout>
                  <c:x val="-1.6435540264032424E-3"/>
                  <c:y val="-8.82584493318070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F58-4B5C-AB0F-1BFB69053935}"/>
                </c:ext>
              </c:extLst>
            </c:dLbl>
            <c:dLbl>
              <c:idx val="10"/>
              <c:layout>
                <c:manualLayout>
                  <c:x val="1.6435540264032424E-3"/>
                  <c:y val="-0.1355397614738467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F58-4B5C-AB0F-1BFB69053935}"/>
                </c:ext>
              </c:extLst>
            </c:dLbl>
            <c:dLbl>
              <c:idx val="11"/>
              <c:layout>
                <c:manualLayout>
                  <c:x val="-1.2052590294405543E-16"/>
                  <c:y val="-4.72813121420395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F58-4B5C-AB0F-1BFB69053935}"/>
                </c:ext>
              </c:extLst>
            </c:dLbl>
            <c:dLbl>
              <c:idx val="12"/>
              <c:layout>
                <c:manualLayout>
                  <c:x val="0"/>
                  <c:y val="-0.245862823138605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F58-4B5C-AB0F-1BFB69053935}"/>
                </c:ext>
              </c:extLst>
            </c:dLbl>
            <c:dLbl>
              <c:idx val="13"/>
              <c:layout>
                <c:manualLayout>
                  <c:x val="1.6435540264032424E-3"/>
                  <c:y val="-3.152087476135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F58-4B5C-AB0F-1BFB69053935}"/>
                </c:ext>
              </c:extLst>
            </c:dLbl>
            <c:dLbl>
              <c:idx val="14"/>
              <c:layout>
                <c:manualLayout>
                  <c:x val="1.6435540264032424E-3"/>
                  <c:y val="-0.252166998090877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DF58-4B5C-AB0F-1BFB69053935}"/>
                </c:ext>
              </c:extLst>
            </c:dLbl>
            <c:dLbl>
              <c:idx val="15"/>
              <c:layout>
                <c:manualLayout>
                  <c:x val="-1.6435540264032424E-3"/>
                  <c:y val="-0.2080377734249739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77E3-48E2-9CD8-270ACE34747F}"/>
                </c:ext>
              </c:extLst>
            </c:dLbl>
            <c:dLbl>
              <c:idx val="16"/>
              <c:layout>
                <c:manualLayout>
                  <c:x val="-1.2052590294405543E-16"/>
                  <c:y val="-0.1386918489499825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F58-4B5C-AB0F-1BFB69053935}"/>
                </c:ext>
              </c:extLst>
            </c:dLbl>
            <c:dLbl>
              <c:idx val="17"/>
              <c:layout>
                <c:manualLayout>
                  <c:x val="-2.4653957464564175E-3"/>
                  <c:y val="-8.51064859536032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9642523116846198E-2"/>
                      <c:h val="6.929876726078136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3-DF58-4B5C-AB0F-1BFB69053935}"/>
                </c:ext>
              </c:extLst>
            </c:dLbl>
            <c:dLbl>
              <c:idx val="18"/>
              <c:layout>
                <c:manualLayout>
                  <c:x val="1.643554026403363E-3"/>
                  <c:y val="-0.3530337973272283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77E3-48E2-9CD8-270ACE34747F}"/>
                </c:ext>
              </c:extLst>
            </c:dLbl>
            <c:dLbl>
              <c:idx val="19"/>
              <c:layout>
                <c:manualLayout>
                  <c:x val="-1.2052590294405543E-16"/>
                  <c:y val="-3.1520874761359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77E3-48E2-9CD8-270ACE3474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'Performance by Goal'!$C$2:$C$23</c:f>
              <c:strCache>
                <c:ptCount val="20"/>
                <c:pt idx="0">
                  <c:v>Goal 1</c:v>
                </c:pt>
                <c:pt idx="1">
                  <c:v>Goal 2</c:v>
                </c:pt>
                <c:pt idx="2">
                  <c:v>Goal 3</c:v>
                </c:pt>
                <c:pt idx="3">
                  <c:v>Goal 4</c:v>
                </c:pt>
                <c:pt idx="4">
                  <c:v>Goal 5</c:v>
                </c:pt>
                <c:pt idx="5">
                  <c:v>Goal 6</c:v>
                </c:pt>
                <c:pt idx="6">
                  <c:v>Goal 7</c:v>
                </c:pt>
                <c:pt idx="7">
                  <c:v>Goal 8</c:v>
                </c:pt>
                <c:pt idx="8">
                  <c:v>Goal 9</c:v>
                </c:pt>
                <c:pt idx="9">
                  <c:v>Goal 10</c:v>
                </c:pt>
                <c:pt idx="10">
                  <c:v>Goal 11</c:v>
                </c:pt>
                <c:pt idx="11">
                  <c:v>Goal 12</c:v>
                </c:pt>
                <c:pt idx="12">
                  <c:v>Goal 13</c:v>
                </c:pt>
                <c:pt idx="13">
                  <c:v>Goal 14</c:v>
                </c:pt>
                <c:pt idx="14">
                  <c:v>Goal 15</c:v>
                </c:pt>
                <c:pt idx="15">
                  <c:v>Goal 16</c:v>
                </c:pt>
                <c:pt idx="16">
                  <c:v>Goal 17</c:v>
                </c:pt>
                <c:pt idx="17">
                  <c:v>Goal 18</c:v>
                </c:pt>
                <c:pt idx="18">
                  <c:v>Goal 19</c:v>
                </c:pt>
                <c:pt idx="19">
                  <c:v>Goal 20</c:v>
                </c:pt>
              </c:strCache>
            </c:strRef>
          </c:cat>
          <c:val>
            <c:numRef>
              <c:f>'Performance by Goal'!$E$2:$E$23</c:f>
              <c:numCache>
                <c:formatCode>0%</c:formatCode>
                <c:ptCount val="20"/>
                <c:pt idx="0">
                  <c:v>0.54834277549592803</c:v>
                </c:pt>
                <c:pt idx="1">
                  <c:v>5.6227132467335787E-2</c:v>
                </c:pt>
                <c:pt idx="2">
                  <c:v>0.16946633604649203</c:v>
                </c:pt>
                <c:pt idx="3">
                  <c:v>0.16264182902113938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0.91666666666666674</c:v>
                </c:pt>
                <c:pt idx="9">
                  <c:v>0.13387408922331281</c:v>
                </c:pt>
                <c:pt idx="10">
                  <c:v>0.26695261437908502</c:v>
                </c:pt>
                <c:pt idx="11">
                  <c:v>6.5543071161048697E-2</c:v>
                </c:pt>
                <c:pt idx="12">
                  <c:v>0.5</c:v>
                </c:pt>
                <c:pt idx="13">
                  <c:v>0</c:v>
                </c:pt>
                <c:pt idx="14">
                  <c:v>0.5</c:v>
                </c:pt>
                <c:pt idx="15">
                  <c:v>0.42279411764705882</c:v>
                </c:pt>
                <c:pt idx="16">
                  <c:v>0.26262990262684505</c:v>
                </c:pt>
                <c:pt idx="17">
                  <c:v>0.10416666666666666</c:v>
                </c:pt>
                <c:pt idx="18">
                  <c:v>0.74444444444444446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77E3-48E2-9CD8-270ACE347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2780656"/>
        <c:axId val="2051166640"/>
      </c:barChart>
      <c:catAx>
        <c:axId val="205278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1166640"/>
        <c:crosses val="autoZero"/>
        <c:auto val="1"/>
        <c:lblAlgn val="ctr"/>
        <c:lblOffset val="100"/>
        <c:noMultiLvlLbl val="0"/>
      </c:catAx>
      <c:valAx>
        <c:axId val="205116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780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10</xdr:row>
      <xdr:rowOff>123824</xdr:rowOff>
    </xdr:from>
    <xdr:to>
      <xdr:col>2</xdr:col>
      <xdr:colOff>404811</xdr:colOff>
      <xdr:row>33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C33054-816A-4312-B67C-1D671D5113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130967</xdr:colOff>
      <xdr:row>1</xdr:row>
      <xdr:rowOff>33337</xdr:rowOff>
    </xdr:from>
    <xdr:to>
      <xdr:col>15</xdr:col>
      <xdr:colOff>347662</xdr:colOff>
      <xdr:row>15</xdr:row>
      <xdr:rowOff>185738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EA0A31-29D2-4AD0-86B5-E9F1425171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E6453-5B53-4B7A-8243-4114A4C9C88E}">
  <dimension ref="A1:B10"/>
  <sheetViews>
    <sheetView topLeftCell="A13" workbookViewId="0">
      <selection activeCell="B11" sqref="B11"/>
    </sheetView>
  </sheetViews>
  <sheetFormatPr defaultRowHeight="14.25" x14ac:dyDescent="0.45"/>
  <cols>
    <col min="1" max="1" width="91.46484375" customWidth="1"/>
    <col min="2" max="2" width="12.33203125" customWidth="1"/>
  </cols>
  <sheetData>
    <row r="1" spans="1:2" x14ac:dyDescent="0.45">
      <c r="A1" t="s">
        <v>352</v>
      </c>
      <c r="B1" t="s">
        <v>322</v>
      </c>
    </row>
    <row r="3" spans="1:2" x14ac:dyDescent="0.45">
      <c r="A3" t="s">
        <v>353</v>
      </c>
      <c r="B3" t="s">
        <v>323</v>
      </c>
    </row>
    <row r="4" spans="1:2" x14ac:dyDescent="0.45">
      <c r="A4" s="323" t="s">
        <v>366</v>
      </c>
      <c r="B4" s="324">
        <f>'Initial Analysis Table'!E2</f>
        <v>0.21010742592384751</v>
      </c>
    </row>
    <row r="5" spans="1:2" ht="24" x14ac:dyDescent="0.45">
      <c r="A5" s="323" t="s">
        <v>367</v>
      </c>
      <c r="B5" s="324">
        <f>'Initial Analysis Table'!E10</f>
        <v>0.35018025196332658</v>
      </c>
    </row>
    <row r="6" spans="1:2" x14ac:dyDescent="0.45">
      <c r="A6" s="323" t="s">
        <v>368</v>
      </c>
      <c r="B6" s="324">
        <f>'Initial Analysis Table'!E14</f>
        <v>0.16624784277006682</v>
      </c>
    </row>
    <row r="7" spans="1:2" x14ac:dyDescent="0.45">
      <c r="A7" s="323" t="s">
        <v>369</v>
      </c>
      <c r="B7" s="324">
        <f>'Initial Analysis Table'!E17</f>
        <v>0.33333333333333337</v>
      </c>
    </row>
    <row r="8" spans="1:2" x14ac:dyDescent="0.45">
      <c r="A8" s="323" t="s">
        <v>370</v>
      </c>
      <c r="B8" s="324">
        <f>'Initial Analysis Table'!E21</f>
        <v>0.42279411764705882</v>
      </c>
    </row>
    <row r="9" spans="1:2" x14ac:dyDescent="0.45">
      <c r="A9" s="323" t="s">
        <v>371</v>
      </c>
      <c r="B9" s="324">
        <f>'Initial Analysis Table'!E23</f>
        <v>0.20980882397345227</v>
      </c>
    </row>
    <row r="10" spans="1:2" x14ac:dyDescent="0.45">
      <c r="A10" s="323" t="s">
        <v>372</v>
      </c>
      <c r="B10" s="324">
        <f>'Initial Analysis Table'!E26</f>
        <v>0.18611111111111112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5A0B6-26E0-4B61-8FE9-C980F33022EF}">
  <dimension ref="B1:P24"/>
  <sheetViews>
    <sheetView topLeftCell="F4" workbookViewId="0">
      <selection activeCell="Q8" sqref="Q8"/>
    </sheetView>
  </sheetViews>
  <sheetFormatPr defaultColWidth="8.86328125" defaultRowHeight="14.25" x14ac:dyDescent="0.45"/>
  <cols>
    <col min="1" max="1" width="0" style="5" hidden="1" customWidth="1"/>
    <col min="2" max="2" width="14.796875" style="5" customWidth="1"/>
    <col min="3" max="3" width="14.19921875" style="5" customWidth="1"/>
    <col min="4" max="4" width="72.1328125" style="5" hidden="1" customWidth="1"/>
    <col min="5" max="5" width="15.73046875" style="5" customWidth="1"/>
    <col min="6" max="6" width="38.6640625" style="5" customWidth="1"/>
    <col min="7" max="7" width="36.59765625" style="30" customWidth="1"/>
    <col min="8" max="8" width="16.1328125" style="5" customWidth="1"/>
    <col min="9" max="9" width="4.86328125" style="5" customWidth="1"/>
    <col min="10" max="10" width="8.86328125" style="30"/>
    <col min="11" max="15" width="0" style="30" hidden="1" customWidth="1"/>
    <col min="16" max="16" width="8.86328125" style="30"/>
    <col min="17" max="19" width="28.46484375" style="5" customWidth="1"/>
    <col min="20" max="16384" width="8.86328125" style="5"/>
  </cols>
  <sheetData>
    <row r="1" spans="2:5" ht="22.5" customHeight="1" thickBot="1" x14ac:dyDescent="0.55000000000000004">
      <c r="B1" s="338" t="s">
        <v>352</v>
      </c>
      <c r="C1" s="277" t="s">
        <v>351</v>
      </c>
      <c r="D1" s="287" t="s">
        <v>350</v>
      </c>
      <c r="E1" s="277" t="s">
        <v>323</v>
      </c>
    </row>
    <row r="2" spans="2:5" ht="22.5" customHeight="1" x14ac:dyDescent="0.45">
      <c r="B2" s="329" t="s">
        <v>324</v>
      </c>
      <c r="C2" s="330" t="s">
        <v>332</v>
      </c>
      <c r="D2" s="331" t="s">
        <v>1</v>
      </c>
      <c r="E2" s="332">
        <f>'Initial Analysis Table'!E3</f>
        <v>0.54834277549592803</v>
      </c>
    </row>
    <row r="3" spans="2:5" ht="22.5" customHeight="1" x14ac:dyDescent="0.45">
      <c r="B3" s="333" t="s">
        <v>324</v>
      </c>
      <c r="C3" s="327" t="s">
        <v>333</v>
      </c>
      <c r="D3" s="328" t="s">
        <v>11</v>
      </c>
      <c r="E3" s="334">
        <f>'Initial Analysis Table'!E4</f>
        <v>5.6227132467335787E-2</v>
      </c>
    </row>
    <row r="4" spans="2:5" ht="22.5" customHeight="1" x14ac:dyDescent="0.45">
      <c r="B4" s="333" t="s">
        <v>324</v>
      </c>
      <c r="C4" s="327" t="s">
        <v>334</v>
      </c>
      <c r="D4" s="328" t="s">
        <v>13</v>
      </c>
      <c r="E4" s="334">
        <f>'Initial Analysis Table'!E5</f>
        <v>0.16946633604649203</v>
      </c>
    </row>
    <row r="5" spans="2:5" ht="22.5" customHeight="1" x14ac:dyDescent="0.45">
      <c r="B5" s="333" t="s">
        <v>324</v>
      </c>
      <c r="C5" s="327" t="s">
        <v>335</v>
      </c>
      <c r="D5" s="328" t="s">
        <v>18</v>
      </c>
      <c r="E5" s="334">
        <f>'Initial Analysis Table'!E6</f>
        <v>0.16264182902113938</v>
      </c>
    </row>
    <row r="6" spans="2:5" ht="22.5" customHeight="1" x14ac:dyDescent="0.45">
      <c r="B6" s="333" t="s">
        <v>324</v>
      </c>
      <c r="C6" s="327" t="s">
        <v>336</v>
      </c>
      <c r="D6" s="328" t="s">
        <v>26</v>
      </c>
      <c r="E6" s="334">
        <f>'Initial Analysis Table'!E7</f>
        <v>0</v>
      </c>
    </row>
    <row r="7" spans="2:5" ht="22.5" customHeight="1" x14ac:dyDescent="0.45">
      <c r="B7" s="333" t="s">
        <v>324</v>
      </c>
      <c r="C7" s="327" t="s">
        <v>337</v>
      </c>
      <c r="D7" s="328" t="s">
        <v>28</v>
      </c>
      <c r="E7" s="334">
        <f>'Initial Analysis Table'!E8</f>
        <v>0</v>
      </c>
    </row>
    <row r="8" spans="2:5" ht="22.5" customHeight="1" x14ac:dyDescent="0.45">
      <c r="B8" s="333" t="s">
        <v>324</v>
      </c>
      <c r="C8" s="327" t="s">
        <v>338</v>
      </c>
      <c r="D8" s="328" t="s">
        <v>32</v>
      </c>
      <c r="E8" s="334">
        <f>'Initial Analysis Table'!E9</f>
        <v>0</v>
      </c>
    </row>
    <row r="9" spans="2:5" ht="20.350000000000001" customHeight="1" x14ac:dyDescent="0.45">
      <c r="B9" s="333" t="s">
        <v>324</v>
      </c>
      <c r="C9" s="327" t="s">
        <v>339</v>
      </c>
      <c r="D9" s="328" t="s">
        <v>37</v>
      </c>
      <c r="E9" s="334">
        <f>'Initial Analysis Table'!E11</f>
        <v>0</v>
      </c>
    </row>
    <row r="10" spans="2:5" ht="20.350000000000001" customHeight="1" x14ac:dyDescent="0.45">
      <c r="B10" s="333" t="s">
        <v>324</v>
      </c>
      <c r="C10" s="327" t="s">
        <v>340</v>
      </c>
      <c r="D10" s="328" t="s">
        <v>39</v>
      </c>
      <c r="E10" s="334">
        <f>'Initial Analysis Table'!E12</f>
        <v>0.91666666666666674</v>
      </c>
    </row>
    <row r="11" spans="2:5" ht="20.350000000000001" customHeight="1" x14ac:dyDescent="0.45">
      <c r="B11" s="333" t="s">
        <v>324</v>
      </c>
      <c r="C11" s="327" t="s">
        <v>341</v>
      </c>
      <c r="D11" s="328" t="s">
        <v>40</v>
      </c>
      <c r="E11" s="334">
        <f>'Initial Analysis Table'!E13</f>
        <v>0.13387408922331281</v>
      </c>
    </row>
    <row r="12" spans="2:5" ht="21.85" customHeight="1" x14ac:dyDescent="0.45">
      <c r="B12" s="333" t="s">
        <v>324</v>
      </c>
      <c r="C12" s="327" t="s">
        <v>342</v>
      </c>
      <c r="D12" s="328" t="s">
        <v>48</v>
      </c>
      <c r="E12" s="334">
        <f>'Initial Analysis Table'!E15</f>
        <v>0.26695261437908502</v>
      </c>
    </row>
    <row r="13" spans="2:5" ht="21.85" customHeight="1" x14ac:dyDescent="0.45">
      <c r="B13" s="333" t="s">
        <v>324</v>
      </c>
      <c r="C13" s="327" t="s">
        <v>343</v>
      </c>
      <c r="D13" s="328" t="s">
        <v>358</v>
      </c>
      <c r="E13" s="334">
        <f>'Initial Analysis Table'!E16</f>
        <v>6.5543071161048697E-2</v>
      </c>
    </row>
    <row r="14" spans="2:5" ht="21.85" customHeight="1" x14ac:dyDescent="0.45">
      <c r="B14" s="333" t="s">
        <v>324</v>
      </c>
      <c r="C14" s="327" t="s">
        <v>344</v>
      </c>
      <c r="D14" s="328" t="s">
        <v>59</v>
      </c>
      <c r="E14" s="334">
        <f>'Initial Analysis Table'!E18</f>
        <v>0.5</v>
      </c>
    </row>
    <row r="15" spans="2:5" ht="21.85" customHeight="1" x14ac:dyDescent="0.45">
      <c r="B15" s="333" t="s">
        <v>324</v>
      </c>
      <c r="C15" s="327" t="s">
        <v>345</v>
      </c>
      <c r="D15" s="328" t="s">
        <v>360</v>
      </c>
      <c r="E15" s="334">
        <f>'Initial Analysis Table'!E19</f>
        <v>0</v>
      </c>
    </row>
    <row r="16" spans="2:5" ht="21.85" customHeight="1" x14ac:dyDescent="0.45">
      <c r="B16" s="333" t="s">
        <v>324</v>
      </c>
      <c r="C16" s="327" t="s">
        <v>346</v>
      </c>
      <c r="D16" s="328" t="s">
        <v>64</v>
      </c>
      <c r="E16" s="334">
        <f>'Initial Analysis Table'!E20</f>
        <v>0.5</v>
      </c>
    </row>
    <row r="17" spans="2:5" ht="21.85" customHeight="1" x14ac:dyDescent="0.45">
      <c r="B17" s="333" t="s">
        <v>324</v>
      </c>
      <c r="C17" s="327" t="s">
        <v>347</v>
      </c>
      <c r="D17" s="328" t="s">
        <v>362</v>
      </c>
      <c r="E17" s="334">
        <f>'Initial Analysis Table'!E22</f>
        <v>0.42279411764705882</v>
      </c>
    </row>
    <row r="18" spans="2:5" ht="21.85" customHeight="1" x14ac:dyDescent="0.45">
      <c r="B18" s="333" t="s">
        <v>324</v>
      </c>
      <c r="C18" s="327" t="s">
        <v>348</v>
      </c>
      <c r="D18" s="328" t="s">
        <v>72</v>
      </c>
      <c r="E18" s="334">
        <f>'Initial Analysis Table'!E24</f>
        <v>0.26262990262684505</v>
      </c>
    </row>
    <row r="19" spans="2:5" ht="21.85" customHeight="1" thickBot="1" x14ac:dyDescent="0.5">
      <c r="B19" s="335" t="s">
        <v>324</v>
      </c>
      <c r="C19" s="336" t="s">
        <v>349</v>
      </c>
      <c r="D19" s="337" t="s">
        <v>75</v>
      </c>
      <c r="E19" s="270">
        <f>'Initial Analysis Table'!E25</f>
        <v>0.10416666666666666</v>
      </c>
    </row>
    <row r="20" spans="2:5" ht="24.85" hidden="1" customHeight="1" x14ac:dyDescent="0.5">
      <c r="B20" s="325" t="s">
        <v>324</v>
      </c>
      <c r="C20" s="289" t="s">
        <v>349</v>
      </c>
      <c r="D20" s="181" t="s">
        <v>82</v>
      </c>
      <c r="E20" s="326">
        <f>'Continental Level Dashboard'!F94</f>
        <v>0.74444444444444446</v>
      </c>
    </row>
    <row r="21" spans="2:5" ht="24.85" hidden="1" customHeight="1" x14ac:dyDescent="0.45">
      <c r="B21" s="274" t="s">
        <v>324</v>
      </c>
      <c r="C21" s="272" t="s">
        <v>349</v>
      </c>
      <c r="D21" s="176" t="s">
        <v>365</v>
      </c>
      <c r="E21" s="136">
        <f>'Continental Level Dashboard'!F98</f>
        <v>0</v>
      </c>
    </row>
    <row r="22" spans="2:5" ht="24.85" customHeight="1" thickBot="1" x14ac:dyDescent="0.5">
      <c r="B22" s="5" t="s">
        <v>324</v>
      </c>
      <c r="C22" s="5" t="s">
        <v>444</v>
      </c>
      <c r="D22" s="278"/>
      <c r="E22" s="270">
        <f>'Initial Analysis Table'!E27</f>
        <v>0.74444444444444446</v>
      </c>
    </row>
    <row r="23" spans="2:5" ht="24.85" customHeight="1" thickBot="1" x14ac:dyDescent="0.5">
      <c r="B23" s="5" t="s">
        <v>324</v>
      </c>
      <c r="C23" s="5" t="s">
        <v>445</v>
      </c>
      <c r="D23" s="278"/>
      <c r="E23" s="270">
        <f>'Initial Analysis Table'!E28</f>
        <v>0</v>
      </c>
    </row>
    <row r="24" spans="2:5" ht="24.85" customHeight="1" x14ac:dyDescent="0.45">
      <c r="D24" s="278"/>
      <c r="E24" s="279"/>
    </row>
  </sheetData>
  <conditionalFormatting sqref="E2:E21">
    <cfRule type="colorScale" priority="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E22">
    <cfRule type="colorScale" priority="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E23">
    <cfRule type="colorScale" priority="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B88EB-6562-4DFF-A761-0C5719E7760C}">
  <dimension ref="B1:P31"/>
  <sheetViews>
    <sheetView topLeftCell="B1" zoomScaleNormal="100" workbookViewId="0">
      <selection activeCell="E21" sqref="E21"/>
    </sheetView>
  </sheetViews>
  <sheetFormatPr defaultColWidth="8.86328125" defaultRowHeight="14.25" x14ac:dyDescent="0.45"/>
  <cols>
    <col min="1" max="1" width="0" style="5" hidden="1" customWidth="1"/>
    <col min="2" max="2" width="14.796875" style="5" customWidth="1"/>
    <col min="3" max="3" width="14.19921875" style="5" customWidth="1"/>
    <col min="4" max="4" width="72.1328125" style="5" customWidth="1"/>
    <col min="5" max="5" width="15.73046875" style="5" customWidth="1"/>
    <col min="6" max="6" width="38.6640625" style="5" customWidth="1"/>
    <col min="7" max="7" width="36.59765625" style="30" customWidth="1"/>
    <col min="8" max="8" width="16.1328125" style="5" customWidth="1"/>
    <col min="9" max="9" width="4.86328125" style="5" customWidth="1"/>
    <col min="10" max="10" width="8.86328125" style="30"/>
    <col min="11" max="15" width="0" style="30" hidden="1" customWidth="1"/>
    <col min="16" max="16" width="8.86328125" style="30"/>
    <col min="17" max="19" width="28.46484375" style="5" customWidth="1"/>
    <col min="20" max="16384" width="8.86328125" style="5"/>
  </cols>
  <sheetData>
    <row r="1" spans="2:5" ht="22.5" customHeight="1" thickBot="1" x14ac:dyDescent="0.55000000000000004">
      <c r="B1" s="281" t="s">
        <v>352</v>
      </c>
      <c r="C1" s="277" t="s">
        <v>351</v>
      </c>
      <c r="D1" s="287" t="s">
        <v>350</v>
      </c>
      <c r="E1" s="277" t="s">
        <v>323</v>
      </c>
    </row>
    <row r="2" spans="2:5" ht="22.5" customHeight="1" thickBot="1" x14ac:dyDescent="0.5">
      <c r="B2" s="282" t="s">
        <v>322</v>
      </c>
      <c r="C2" s="288" t="s">
        <v>325</v>
      </c>
      <c r="D2" s="320" t="s">
        <v>355</v>
      </c>
      <c r="E2" s="136">
        <f>'Continental Level Dashboard'!F10</f>
        <v>0.21010742592384751</v>
      </c>
    </row>
    <row r="3" spans="2:5" ht="22.5" customHeight="1" thickBot="1" x14ac:dyDescent="0.5">
      <c r="B3" s="283" t="s">
        <v>324</v>
      </c>
      <c r="C3" s="289" t="s">
        <v>332</v>
      </c>
      <c r="D3" s="181" t="s">
        <v>1</v>
      </c>
      <c r="E3" s="136">
        <f>'Continental Level Dashboard'!F11</f>
        <v>0.54834277549592803</v>
      </c>
    </row>
    <row r="4" spans="2:5" ht="22.5" customHeight="1" thickBot="1" x14ac:dyDescent="0.5">
      <c r="B4" s="284" t="s">
        <v>324</v>
      </c>
      <c r="C4" s="271" t="s">
        <v>333</v>
      </c>
      <c r="D4" s="177" t="s">
        <v>11</v>
      </c>
      <c r="E4" s="136">
        <f>'Continental Level Dashboard'!F19</f>
        <v>5.6227132467335787E-2</v>
      </c>
    </row>
    <row r="5" spans="2:5" ht="22.5" customHeight="1" thickBot="1" x14ac:dyDescent="0.5">
      <c r="B5" s="284" t="s">
        <v>324</v>
      </c>
      <c r="C5" s="271" t="s">
        <v>334</v>
      </c>
      <c r="D5" s="177" t="s">
        <v>13</v>
      </c>
      <c r="E5" s="136">
        <f>'Continental Level Dashboard'!F24</f>
        <v>0.16946633604649203</v>
      </c>
    </row>
    <row r="6" spans="2:5" ht="22.5" customHeight="1" thickBot="1" x14ac:dyDescent="0.5">
      <c r="B6" s="284" t="s">
        <v>324</v>
      </c>
      <c r="C6" s="271" t="s">
        <v>335</v>
      </c>
      <c r="D6" s="177" t="s">
        <v>18</v>
      </c>
      <c r="E6" s="136">
        <f>'Continental Level Dashboard'!F33</f>
        <v>0.16264182902113938</v>
      </c>
    </row>
    <row r="7" spans="2:5" ht="22.5" customHeight="1" thickBot="1" x14ac:dyDescent="0.5">
      <c r="B7" s="284" t="s">
        <v>324</v>
      </c>
      <c r="C7" s="271" t="s">
        <v>336</v>
      </c>
      <c r="D7" s="177" t="s">
        <v>26</v>
      </c>
      <c r="E7" s="136">
        <f>'Continental Level Dashboard'!F38</f>
        <v>0</v>
      </c>
    </row>
    <row r="8" spans="2:5" ht="22.5" customHeight="1" thickBot="1" x14ac:dyDescent="0.5">
      <c r="B8" s="284" t="s">
        <v>324</v>
      </c>
      <c r="C8" s="271" t="s">
        <v>337</v>
      </c>
      <c r="D8" s="177" t="s">
        <v>28</v>
      </c>
      <c r="E8" s="136">
        <f>'Continental Level Dashboard'!F41</f>
        <v>0</v>
      </c>
    </row>
    <row r="9" spans="2:5" ht="22.5" customHeight="1" thickBot="1" x14ac:dyDescent="0.5">
      <c r="B9" s="285" t="s">
        <v>324</v>
      </c>
      <c r="C9" s="290" t="s">
        <v>338</v>
      </c>
      <c r="D9" s="321" t="s">
        <v>32</v>
      </c>
      <c r="E9" s="136">
        <f>'Continental Level Dashboard'!F44</f>
        <v>0</v>
      </c>
    </row>
    <row r="10" spans="2:5" ht="35.25" customHeight="1" thickBot="1" x14ac:dyDescent="0.5">
      <c r="B10" s="282" t="s">
        <v>322</v>
      </c>
      <c r="C10" s="288" t="s">
        <v>326</v>
      </c>
      <c r="D10" s="320" t="s">
        <v>356</v>
      </c>
      <c r="E10" s="136">
        <f>'Continental Level Dashboard'!F47</f>
        <v>0.35018025196332658</v>
      </c>
    </row>
    <row r="11" spans="2:5" ht="20.350000000000001" customHeight="1" thickBot="1" x14ac:dyDescent="0.5">
      <c r="B11" s="283" t="s">
        <v>324</v>
      </c>
      <c r="C11" s="291" t="s">
        <v>339</v>
      </c>
      <c r="D11" s="181" t="s">
        <v>37</v>
      </c>
      <c r="E11" s="136">
        <f>'Continental Level Dashboard'!F48</f>
        <v>0</v>
      </c>
    </row>
    <row r="12" spans="2:5" ht="20.350000000000001" customHeight="1" thickBot="1" x14ac:dyDescent="0.5">
      <c r="B12" s="284" t="s">
        <v>324</v>
      </c>
      <c r="C12" s="291" t="s">
        <v>340</v>
      </c>
      <c r="D12" s="181" t="s">
        <v>39</v>
      </c>
      <c r="E12" s="136">
        <f>'Continental Level Dashboard'!F51</f>
        <v>0.91666666666666674</v>
      </c>
    </row>
    <row r="13" spans="2:5" ht="20.350000000000001" customHeight="1" thickBot="1" x14ac:dyDescent="0.5">
      <c r="B13" s="285" t="s">
        <v>324</v>
      </c>
      <c r="C13" s="291" t="s">
        <v>341</v>
      </c>
      <c r="D13" s="322" t="s">
        <v>40</v>
      </c>
      <c r="E13" s="136">
        <f>'Continental Level Dashboard'!F53</f>
        <v>0.13387408922331281</v>
      </c>
    </row>
    <row r="14" spans="2:5" ht="21.85" customHeight="1" thickBot="1" x14ac:dyDescent="0.5">
      <c r="B14" s="282" t="s">
        <v>322</v>
      </c>
      <c r="C14" s="288" t="s">
        <v>327</v>
      </c>
      <c r="D14" s="320" t="s">
        <v>357</v>
      </c>
      <c r="E14" s="136">
        <f>'Continental Level Dashboard'!F60</f>
        <v>0.16624784277006682</v>
      </c>
    </row>
    <row r="15" spans="2:5" ht="21.85" customHeight="1" thickBot="1" x14ac:dyDescent="0.5">
      <c r="B15" s="283" t="s">
        <v>324</v>
      </c>
      <c r="C15" s="291" t="s">
        <v>342</v>
      </c>
      <c r="D15" s="181" t="s">
        <v>48</v>
      </c>
      <c r="E15" s="136">
        <f>'Continental Level Dashboard'!F61</f>
        <v>0.26695261437908502</v>
      </c>
    </row>
    <row r="16" spans="2:5" ht="21.85" customHeight="1" thickBot="1" x14ac:dyDescent="0.5">
      <c r="B16" s="285" t="s">
        <v>324</v>
      </c>
      <c r="C16" s="291" t="s">
        <v>343</v>
      </c>
      <c r="D16" s="321" t="s">
        <v>358</v>
      </c>
      <c r="E16" s="136">
        <f>'Continental Level Dashboard'!F68</f>
        <v>6.5543071161048697E-2</v>
      </c>
    </row>
    <row r="17" spans="2:5" ht="21.85" customHeight="1" thickBot="1" x14ac:dyDescent="0.5">
      <c r="B17" s="282" t="s">
        <v>322</v>
      </c>
      <c r="C17" s="288" t="s">
        <v>328</v>
      </c>
      <c r="D17" s="320" t="s">
        <v>359</v>
      </c>
      <c r="E17" s="136">
        <f>'Continental Level Dashboard'!F70</f>
        <v>0.33333333333333337</v>
      </c>
    </row>
    <row r="18" spans="2:5" ht="21.85" customHeight="1" thickBot="1" x14ac:dyDescent="0.5">
      <c r="B18" s="283" t="s">
        <v>324</v>
      </c>
      <c r="C18" s="289" t="s">
        <v>344</v>
      </c>
      <c r="D18" s="181" t="s">
        <v>59</v>
      </c>
      <c r="E18" s="136">
        <f>'Continental Level Dashboard'!F71</f>
        <v>0.5</v>
      </c>
    </row>
    <row r="19" spans="2:5" ht="21.85" customHeight="1" thickBot="1" x14ac:dyDescent="0.5">
      <c r="B19" s="284" t="s">
        <v>324</v>
      </c>
      <c r="C19" s="271" t="s">
        <v>345</v>
      </c>
      <c r="D19" s="177" t="s">
        <v>360</v>
      </c>
      <c r="E19" s="136">
        <f>'Continental Level Dashboard'!F73</f>
        <v>0</v>
      </c>
    </row>
    <row r="20" spans="2:5" ht="21.85" customHeight="1" thickBot="1" x14ac:dyDescent="0.5">
      <c r="B20" s="285" t="s">
        <v>324</v>
      </c>
      <c r="C20" s="290" t="s">
        <v>346</v>
      </c>
      <c r="D20" s="321" t="s">
        <v>64</v>
      </c>
      <c r="E20" s="136">
        <f>'Continental Level Dashboard'!F75</f>
        <v>0.5</v>
      </c>
    </row>
    <row r="21" spans="2:5" ht="21.85" customHeight="1" thickBot="1" x14ac:dyDescent="0.5">
      <c r="B21" s="282" t="s">
        <v>322</v>
      </c>
      <c r="C21" s="288" t="s">
        <v>329</v>
      </c>
      <c r="D21" s="320" t="s">
        <v>361</v>
      </c>
      <c r="E21" s="136">
        <f>'Continental Level Dashboard'!F77</f>
        <v>0.42279411764705882</v>
      </c>
    </row>
    <row r="22" spans="2:5" ht="21.85" customHeight="1" thickBot="1" x14ac:dyDescent="0.5">
      <c r="B22" s="286" t="s">
        <v>324</v>
      </c>
      <c r="C22" s="291" t="s">
        <v>347</v>
      </c>
      <c r="D22" s="322" t="s">
        <v>362</v>
      </c>
      <c r="E22" s="136">
        <f>'Continental Level Dashboard'!F78</f>
        <v>0.42279411764705882</v>
      </c>
    </row>
    <row r="23" spans="2:5" ht="21.85" customHeight="1" thickBot="1" x14ac:dyDescent="0.5">
      <c r="B23" s="282" t="s">
        <v>322</v>
      </c>
      <c r="C23" s="288" t="s">
        <v>330</v>
      </c>
      <c r="D23" s="320" t="s">
        <v>363</v>
      </c>
      <c r="E23" s="136">
        <f>'Continental Level Dashboard'!F80</f>
        <v>0.20980882397345227</v>
      </c>
    </row>
    <row r="24" spans="2:5" ht="21.85" customHeight="1" thickBot="1" x14ac:dyDescent="0.5">
      <c r="B24" s="283" t="s">
        <v>324</v>
      </c>
      <c r="C24" s="289" t="s">
        <v>348</v>
      </c>
      <c r="D24" s="322" t="s">
        <v>72</v>
      </c>
      <c r="E24" s="136">
        <f>'Continental Level Dashboard'!F81</f>
        <v>0.26262990262684505</v>
      </c>
    </row>
    <row r="25" spans="2:5" ht="21.85" customHeight="1" thickBot="1" x14ac:dyDescent="0.5">
      <c r="B25" s="285" t="s">
        <v>324</v>
      </c>
      <c r="C25" s="290" t="s">
        <v>349</v>
      </c>
      <c r="D25" s="321" t="s">
        <v>75</v>
      </c>
      <c r="E25" s="136">
        <f>'Continental Level Dashboard'!F87</f>
        <v>0.10416666666666666</v>
      </c>
    </row>
    <row r="26" spans="2:5" ht="38.65" customHeight="1" thickBot="1" x14ac:dyDescent="0.5">
      <c r="B26" s="282" t="s">
        <v>322</v>
      </c>
      <c r="C26" s="288" t="s">
        <v>331</v>
      </c>
      <c r="D26" s="320" t="s">
        <v>364</v>
      </c>
      <c r="E26" s="136">
        <f>'Continental Level Dashboard'!F93</f>
        <v>0.18611111111111112</v>
      </c>
    </row>
    <row r="27" spans="2:5" ht="22.25" customHeight="1" thickBot="1" x14ac:dyDescent="0.5">
      <c r="B27" s="273" t="s">
        <v>324</v>
      </c>
      <c r="C27" s="280" t="s">
        <v>444</v>
      </c>
      <c r="D27" s="174" t="s">
        <v>82</v>
      </c>
      <c r="E27" s="136">
        <f>'Continental Level Dashboard'!F94</f>
        <v>0.74444444444444446</v>
      </c>
    </row>
    <row r="28" spans="2:5" ht="22.25" customHeight="1" thickBot="1" x14ac:dyDescent="0.5">
      <c r="B28" s="274" t="s">
        <v>324</v>
      </c>
      <c r="C28" s="272" t="s">
        <v>445</v>
      </c>
      <c r="D28" s="176" t="s">
        <v>365</v>
      </c>
      <c r="E28" s="136">
        <f>'Continental Level Dashboard'!F98</f>
        <v>0</v>
      </c>
    </row>
    <row r="29" spans="2:5" ht="24.85" customHeight="1" x14ac:dyDescent="0.45">
      <c r="D29" s="278"/>
      <c r="E29" s="279"/>
    </row>
    <row r="30" spans="2:5" ht="24.85" customHeight="1" x14ac:dyDescent="0.45">
      <c r="D30" s="278"/>
      <c r="E30" s="279"/>
    </row>
    <row r="31" spans="2:5" ht="24.85" customHeight="1" x14ac:dyDescent="0.45">
      <c r="D31" s="278"/>
      <c r="E31" s="279"/>
    </row>
  </sheetData>
  <conditionalFormatting sqref="E2:E28">
    <cfRule type="colorScale" priority="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8"/>
  <sheetViews>
    <sheetView topLeftCell="B94" zoomScale="70" zoomScaleNormal="70" workbookViewId="0">
      <selection activeCell="N15" sqref="N15"/>
    </sheetView>
  </sheetViews>
  <sheetFormatPr defaultColWidth="8.86328125" defaultRowHeight="15.75" x14ac:dyDescent="0.5"/>
  <cols>
    <col min="1" max="1" width="0" style="5" hidden="1" customWidth="1"/>
    <col min="2" max="2" width="24" style="5" customWidth="1"/>
    <col min="3" max="3" width="41.86328125" style="5" customWidth="1"/>
    <col min="4" max="4" width="38.6640625" style="5" customWidth="1"/>
    <col min="5" max="5" width="36.59765625" style="30" customWidth="1"/>
    <col min="6" max="6" width="16.1328125" style="28" customWidth="1"/>
    <col min="7" max="7" width="4.86328125" style="5" customWidth="1"/>
    <col min="8" max="8" width="8.86328125" style="30"/>
    <col min="9" max="13" width="0" style="30" hidden="1" customWidth="1"/>
    <col min="14" max="14" width="8.86328125" style="30"/>
    <col min="15" max="17" width="28.46484375" style="5" customWidth="1"/>
    <col min="18" max="16384" width="8.86328125" style="5"/>
  </cols>
  <sheetData>
    <row r="1" spans="1:14" x14ac:dyDescent="0.5">
      <c r="B1" s="223"/>
      <c r="C1" s="224"/>
      <c r="D1" s="224"/>
      <c r="E1" s="225"/>
      <c r="F1" s="542"/>
    </row>
    <row r="2" spans="1:14" ht="46.15" customHeight="1" x14ac:dyDescent="0.45">
      <c r="B2" s="565" t="s">
        <v>318</v>
      </c>
      <c r="C2" s="566"/>
      <c r="D2" s="566"/>
      <c r="E2" s="566"/>
      <c r="F2" s="567"/>
    </row>
    <row r="3" spans="1:14" x14ac:dyDescent="0.5">
      <c r="B3" s="212"/>
      <c r="C3" s="213"/>
      <c r="D3" s="214"/>
      <c r="E3" s="213"/>
      <c r="F3" s="543"/>
    </row>
    <row r="4" spans="1:14" ht="26.45" customHeight="1" x14ac:dyDescent="0.45">
      <c r="B4" s="212"/>
      <c r="C4" s="674" t="s">
        <v>446</v>
      </c>
      <c r="D4" s="675"/>
      <c r="E4" s="213"/>
      <c r="F4" s="539"/>
    </row>
    <row r="5" spans="1:14" ht="18.399999999999999" thickBot="1" x14ac:dyDescent="0.6">
      <c r="B5" s="666"/>
      <c r="C5" s="667"/>
      <c r="D5" s="667"/>
      <c r="E5" s="213"/>
      <c r="F5" s="543"/>
    </row>
    <row r="6" spans="1:14" ht="23.65" thickBot="1" x14ac:dyDescent="0.75">
      <c r="B6" s="215"/>
      <c r="C6" s="216"/>
      <c r="D6" s="216"/>
      <c r="E6" s="220" t="s">
        <v>292</v>
      </c>
      <c r="F6" s="540">
        <f>'Continental Dboard Targets'!G6</f>
        <v>0.23932105408463034</v>
      </c>
    </row>
    <row r="7" spans="1:14" ht="18.399999999999999" thickBot="1" x14ac:dyDescent="0.6">
      <c r="B7" s="217"/>
      <c r="C7" s="218"/>
      <c r="D7" s="218"/>
      <c r="E7" s="219"/>
      <c r="F7" s="544"/>
    </row>
    <row r="8" spans="1:14" ht="6.75" customHeight="1" thickBot="1" x14ac:dyDescent="0.5">
      <c r="B8" s="668"/>
      <c r="C8" s="669"/>
      <c r="D8" s="670"/>
      <c r="E8" s="222"/>
      <c r="F8" s="360"/>
    </row>
    <row r="9" spans="1:14" ht="25.25" customHeight="1" thickBot="1" x14ac:dyDescent="0.5">
      <c r="B9" s="221" t="s">
        <v>2</v>
      </c>
      <c r="C9" s="221" t="s">
        <v>3</v>
      </c>
      <c r="D9" s="221" t="s">
        <v>319</v>
      </c>
      <c r="E9" s="221" t="s">
        <v>102</v>
      </c>
      <c r="F9" s="541" t="s">
        <v>320</v>
      </c>
      <c r="I9" s="52" t="s">
        <v>151</v>
      </c>
      <c r="J9" s="53"/>
      <c r="K9" s="53"/>
      <c r="L9" s="53"/>
      <c r="M9" s="54"/>
    </row>
    <row r="10" spans="1:14" ht="25.25" customHeight="1" thickBot="1" x14ac:dyDescent="0.5">
      <c r="B10" s="671" t="s">
        <v>0</v>
      </c>
      <c r="C10" s="672"/>
      <c r="D10" s="673"/>
      <c r="E10" s="126"/>
      <c r="F10" s="540">
        <f>'Continental Dboard Targets'!G10</f>
        <v>0.21010742592384751</v>
      </c>
      <c r="I10" s="127"/>
      <c r="J10" s="128"/>
      <c r="K10" s="128"/>
      <c r="L10" s="128"/>
      <c r="M10" s="129"/>
    </row>
    <row r="11" spans="1:14" s="96" customFormat="1" ht="25.25" customHeight="1" thickBot="1" x14ac:dyDescent="0.5">
      <c r="B11" s="597" t="s">
        <v>1</v>
      </c>
      <c r="C11" s="583"/>
      <c r="D11" s="583"/>
      <c r="E11" s="359"/>
      <c r="F11" s="540">
        <f>'Continental Dboard Targets'!G11</f>
        <v>0.54834277549592803</v>
      </c>
      <c r="H11" s="131"/>
      <c r="I11" s="132"/>
      <c r="J11" s="133"/>
      <c r="K11" s="133"/>
      <c r="L11" s="133"/>
      <c r="M11" s="134"/>
      <c r="N11" s="131"/>
    </row>
    <row r="12" spans="1:14" ht="27.6" customHeight="1" x14ac:dyDescent="0.45">
      <c r="A12" s="574">
        <v>1</v>
      </c>
      <c r="B12" s="658" t="s">
        <v>4</v>
      </c>
      <c r="C12" s="311" t="s">
        <v>111</v>
      </c>
      <c r="D12" s="59" t="s">
        <v>5</v>
      </c>
      <c r="E12" s="307" t="s">
        <v>97</v>
      </c>
      <c r="F12" s="660">
        <f>'Continental Dboard Targets'!G12:G13</f>
        <v>0.50000728000116479</v>
      </c>
      <c r="I12" s="31" t="s">
        <v>109</v>
      </c>
      <c r="J12" s="32" t="e">
        <f>#REF!</f>
        <v>#REF!</v>
      </c>
      <c r="K12" s="33"/>
      <c r="L12" s="33"/>
      <c r="M12" s="34"/>
    </row>
    <row r="13" spans="1:14" ht="27" customHeight="1" thickBot="1" x14ac:dyDescent="0.5">
      <c r="A13" s="574"/>
      <c r="B13" s="659"/>
      <c r="C13" s="312" t="s">
        <v>112</v>
      </c>
      <c r="D13" s="61" t="s">
        <v>281</v>
      </c>
      <c r="E13" s="302" t="s">
        <v>98</v>
      </c>
      <c r="F13" s="661"/>
      <c r="I13" s="35">
        <v>0.02</v>
      </c>
      <c r="J13" s="36" t="e">
        <f>(J12-(J12*I13))</f>
        <v>#REF!</v>
      </c>
      <c r="K13" s="36" t="e">
        <f>J12-(I13*J12)</f>
        <v>#REF!</v>
      </c>
      <c r="L13" s="33"/>
      <c r="M13" s="34"/>
    </row>
    <row r="14" spans="1:14" ht="32.450000000000003" customHeight="1" x14ac:dyDescent="0.45">
      <c r="A14" s="574">
        <v>2</v>
      </c>
      <c r="B14" s="662" t="s">
        <v>6</v>
      </c>
      <c r="C14" s="313" t="s">
        <v>273</v>
      </c>
      <c r="D14" s="314" t="s">
        <v>7</v>
      </c>
      <c r="E14" s="303" t="s">
        <v>99</v>
      </c>
      <c r="F14" s="664">
        <f>'Continental Dboard Targets'!G14:G15</f>
        <v>0.14502104648661937</v>
      </c>
      <c r="I14" s="35">
        <v>0.02</v>
      </c>
      <c r="J14" s="36" t="e">
        <f>(#REF!-(#REF!*I14))</f>
        <v>#REF!</v>
      </c>
      <c r="K14" s="36" t="e">
        <f>(J12-(I13*J12))-((J12-(I13*J12))*0.02)-(((J12-(I13*J12))-((J12-(I13*J12))*0.02))*0.02)-(((J12-(I13*J12))-((J12-(I13*J12))*0.02)-(((J12-(I13*J12))-((J12-(I13*J12))*0.02))*0.02))*0.02)</f>
        <v>#REF!</v>
      </c>
      <c r="L14" s="37" t="e">
        <f>(J12-J15)/J12</f>
        <v>#REF!</v>
      </c>
      <c r="M14" s="34"/>
    </row>
    <row r="15" spans="1:14" ht="33" customHeight="1" thickBot="1" x14ac:dyDescent="0.5">
      <c r="A15" s="574"/>
      <c r="B15" s="663"/>
      <c r="C15" s="313" t="s">
        <v>274</v>
      </c>
      <c r="D15" s="314" t="s">
        <v>8</v>
      </c>
      <c r="E15" s="304" t="s">
        <v>100</v>
      </c>
      <c r="F15" s="665"/>
      <c r="I15" s="38">
        <v>0.02</v>
      </c>
      <c r="J15" s="39" t="e">
        <f>(#REF!-(#REF!*I15))</f>
        <v>#REF!</v>
      </c>
      <c r="K15" s="39" t="e">
        <f>(J12-(I13*J12))-((J12-(I13*J12))*0.02)-(((J12-(I13*J12))-((J12-(I13*J12))*0.02))*0.02)-(((J12-(I13*J12))-((J12-(I13*J12))*0.02)-(((J12-(I13*J12))-((J12-(I13*J12))*0.02))*0.02))*0.02)-(((J12-(I13*J12))-((J12-(I13*J12))*0.02)-(((J12-(I13*J12))-((J12-(I13*J12))*0.02))*0.02)-(((J12-(I13*J12))-((J12-(I13*J12))*0.02)-(((J12-(I13*J12))-((J12-(I13*J13))*0.02))*0.02))*0.02))*0.02)-(((J12-(I13*J12))-((J12-(I13*J12))*0.02)-(((J12-(I13*J12))-((J12-(I13*J12))*0.02))*0.02)-(((J12-(I13*J12))-((J12-(I13*J12))*0.02)-(((J12-(I13*J12))-((J12-(I13*J12))*0.02))*0.02))*0.02)-(((J12-(I13*J12))-((J12-(I13*J12))*0.02)-(((J12-(I13*J12))-((J12-(I13*J12))*0.02))*0.02)-(((J12-(I13*J12))-((J12-(I13*J12))*0.02)-(((J12-(I13*J12))-((J12-(I13*J12))*0.02))*0.02))*0.02))*0.02))*0.02)</f>
        <v>#REF!</v>
      </c>
      <c r="L15" s="40" t="e">
        <f>J12-K15</f>
        <v>#REF!</v>
      </c>
      <c r="M15" s="41"/>
    </row>
    <row r="16" spans="1:14" ht="22.25" customHeight="1" x14ac:dyDescent="0.45">
      <c r="A16" s="574">
        <v>3</v>
      </c>
      <c r="B16" s="653" t="s">
        <v>9</v>
      </c>
      <c r="C16" s="656" t="s">
        <v>113</v>
      </c>
      <c r="D16" s="314" t="s">
        <v>221</v>
      </c>
      <c r="E16" s="308" t="s">
        <v>101</v>
      </c>
      <c r="F16" s="568">
        <f>'Continental Dboard Targets'!G16:G18</f>
        <v>1</v>
      </c>
    </row>
    <row r="17" spans="1:6" ht="14.25" x14ac:dyDescent="0.45">
      <c r="A17" s="574"/>
      <c r="B17" s="654"/>
      <c r="C17" s="656"/>
      <c r="D17" s="314" t="s">
        <v>220</v>
      </c>
      <c r="E17" s="309" t="s">
        <v>95</v>
      </c>
      <c r="F17" s="569"/>
    </row>
    <row r="18" spans="1:6" ht="25.25" customHeight="1" thickBot="1" x14ac:dyDescent="0.5">
      <c r="A18" s="574"/>
      <c r="B18" s="655"/>
      <c r="C18" s="657"/>
      <c r="D18" s="316" t="s">
        <v>10</v>
      </c>
      <c r="E18" s="310" t="s">
        <v>162</v>
      </c>
      <c r="F18" s="570"/>
    </row>
    <row r="19" spans="1:6" ht="26.25" customHeight="1" thickBot="1" x14ac:dyDescent="0.7">
      <c r="A19" s="14"/>
      <c r="B19" s="597" t="s">
        <v>11</v>
      </c>
      <c r="C19" s="650"/>
      <c r="D19" s="651"/>
      <c r="E19" s="44"/>
      <c r="F19" s="540">
        <f>'Continental Dboard Targets'!G19</f>
        <v>5.6227132467335787E-2</v>
      </c>
    </row>
    <row r="20" spans="1:6" ht="34.25" customHeight="1" x14ac:dyDescent="0.45">
      <c r="A20" s="574">
        <v>4</v>
      </c>
      <c r="B20" s="627" t="s">
        <v>12</v>
      </c>
      <c r="C20" s="58" t="s">
        <v>114</v>
      </c>
      <c r="D20" s="59" t="s">
        <v>222</v>
      </c>
      <c r="E20" s="230" t="s">
        <v>163</v>
      </c>
      <c r="F20" s="645">
        <f>'Continental Dboard Targets'!G20:G23</f>
        <v>5.6227132467335787E-2</v>
      </c>
    </row>
    <row r="21" spans="1:6" ht="39" customHeight="1" x14ac:dyDescent="0.45">
      <c r="A21" s="574"/>
      <c r="B21" s="628"/>
      <c r="C21" s="147" t="s">
        <v>152</v>
      </c>
      <c r="D21" s="61" t="s">
        <v>265</v>
      </c>
      <c r="E21" s="231" t="s">
        <v>164</v>
      </c>
      <c r="F21" s="646"/>
    </row>
    <row r="22" spans="1:6" ht="56.45" customHeight="1" x14ac:dyDescent="0.45">
      <c r="A22" s="574"/>
      <c r="B22" s="628"/>
      <c r="C22" s="147" t="s">
        <v>153</v>
      </c>
      <c r="D22" s="61" t="s">
        <v>155</v>
      </c>
      <c r="E22" s="231" t="s">
        <v>165</v>
      </c>
      <c r="F22" s="646"/>
    </row>
    <row r="23" spans="1:6" ht="36.6" customHeight="1" thickBot="1" x14ac:dyDescent="0.5">
      <c r="A23" s="574"/>
      <c r="B23" s="629"/>
      <c r="C23" s="64" t="s">
        <v>154</v>
      </c>
      <c r="D23" s="86" t="s">
        <v>156</v>
      </c>
      <c r="E23" s="232" t="s">
        <v>95</v>
      </c>
      <c r="F23" s="652"/>
    </row>
    <row r="24" spans="1:6" ht="20.45" customHeight="1" thickBot="1" x14ac:dyDescent="0.5">
      <c r="B24" s="597" t="s">
        <v>13</v>
      </c>
      <c r="C24" s="598"/>
      <c r="D24" s="599"/>
      <c r="E24" s="44"/>
      <c r="F24" s="540">
        <f>'Continental Dboard Targets'!G24</f>
        <v>0.16946633604649203</v>
      </c>
    </row>
    <row r="25" spans="1:6" ht="36" customHeight="1" x14ac:dyDescent="0.45">
      <c r="A25" s="574">
        <v>5</v>
      </c>
      <c r="B25" s="585" t="s">
        <v>14</v>
      </c>
      <c r="C25" s="142" t="s">
        <v>115</v>
      </c>
      <c r="D25" s="142" t="s">
        <v>280</v>
      </c>
      <c r="E25" s="233" t="s">
        <v>166</v>
      </c>
      <c r="F25" s="645">
        <f>'Continental Dboard Targets'!G25:G32</f>
        <v>0.16946633604649203</v>
      </c>
    </row>
    <row r="26" spans="1:6" ht="19.8" customHeight="1" x14ac:dyDescent="0.45">
      <c r="A26" s="574"/>
      <c r="B26" s="586"/>
      <c r="C26" s="589" t="s">
        <v>158</v>
      </c>
      <c r="D26" s="143" t="s">
        <v>15</v>
      </c>
      <c r="E26" s="234" t="s">
        <v>167</v>
      </c>
      <c r="F26" s="646"/>
    </row>
    <row r="27" spans="1:6" ht="19.8" customHeight="1" x14ac:dyDescent="0.45">
      <c r="A27" s="574"/>
      <c r="B27" s="586"/>
      <c r="C27" s="647"/>
      <c r="D27" s="143" t="s">
        <v>16</v>
      </c>
      <c r="E27" s="234" t="s">
        <v>168</v>
      </c>
      <c r="F27" s="646"/>
    </row>
    <row r="28" spans="1:6" ht="19.8" customHeight="1" x14ac:dyDescent="0.45">
      <c r="A28" s="574"/>
      <c r="B28" s="586"/>
      <c r="C28" s="647"/>
      <c r="D28" s="143" t="s">
        <v>17</v>
      </c>
      <c r="E28" s="234" t="s">
        <v>169</v>
      </c>
      <c r="F28" s="646"/>
    </row>
    <row r="29" spans="1:6" ht="30.6" customHeight="1" x14ac:dyDescent="0.45">
      <c r="A29" s="141"/>
      <c r="B29" s="586"/>
      <c r="C29" s="648" t="s">
        <v>116</v>
      </c>
      <c r="D29" s="143" t="s">
        <v>148</v>
      </c>
      <c r="E29" s="234" t="s">
        <v>170</v>
      </c>
      <c r="F29" s="603"/>
    </row>
    <row r="30" spans="1:6" ht="20.45" customHeight="1" x14ac:dyDescent="0.45">
      <c r="A30" s="141"/>
      <c r="B30" s="586"/>
      <c r="C30" s="649"/>
      <c r="D30" s="143" t="s">
        <v>149</v>
      </c>
      <c r="E30" s="234" t="s">
        <v>171</v>
      </c>
      <c r="F30" s="603"/>
    </row>
    <row r="31" spans="1:6" ht="20.45" customHeight="1" x14ac:dyDescent="0.45">
      <c r="A31" s="141"/>
      <c r="B31" s="643"/>
      <c r="C31" s="649"/>
      <c r="D31" s="147" t="s">
        <v>150</v>
      </c>
      <c r="E31" s="234" t="s">
        <v>172</v>
      </c>
      <c r="F31" s="603"/>
    </row>
    <row r="32" spans="1:6" ht="23.65" thickBot="1" x14ac:dyDescent="0.5">
      <c r="A32" s="141"/>
      <c r="B32" s="644"/>
      <c r="C32" s="64" t="s">
        <v>117</v>
      </c>
      <c r="D32" s="94" t="s">
        <v>223</v>
      </c>
      <c r="E32" s="235" t="s">
        <v>95</v>
      </c>
      <c r="F32" s="604"/>
    </row>
    <row r="33" spans="1:6" ht="20.45" customHeight="1" thickBot="1" x14ac:dyDescent="0.5">
      <c r="B33" s="637" t="s">
        <v>18</v>
      </c>
      <c r="C33" s="638"/>
      <c r="D33" s="639"/>
      <c r="E33" s="44"/>
      <c r="F33" s="540">
        <f>'Continental Dboard Targets'!G33</f>
        <v>0.16264182902113938</v>
      </c>
    </row>
    <row r="34" spans="1:6" ht="33.6" customHeight="1" thickBot="1" x14ac:dyDescent="0.5">
      <c r="A34" s="141">
        <v>6</v>
      </c>
      <c r="B34" s="65" t="s">
        <v>19</v>
      </c>
      <c r="C34" s="66" t="s">
        <v>287</v>
      </c>
      <c r="D34" s="65" t="s">
        <v>288</v>
      </c>
      <c r="E34" s="236" t="s">
        <v>97</v>
      </c>
      <c r="F34" s="540">
        <f>'Continental Dboard Targets'!G34</f>
        <v>0.15714285714285717</v>
      </c>
    </row>
    <row r="35" spans="1:6" ht="51" customHeight="1" thickBot="1" x14ac:dyDescent="0.5">
      <c r="A35" s="141">
        <v>7</v>
      </c>
      <c r="B35" s="65" t="s">
        <v>20</v>
      </c>
      <c r="C35" s="65" t="s">
        <v>118</v>
      </c>
      <c r="D35" s="65" t="s">
        <v>21</v>
      </c>
      <c r="E35" s="236" t="s">
        <v>173</v>
      </c>
      <c r="F35" s="540">
        <f>'Continental Dboard Targets'!G35</f>
        <v>0.26819923371647519</v>
      </c>
    </row>
    <row r="36" spans="1:6" ht="40.799999999999997" customHeight="1" thickBot="1" x14ac:dyDescent="0.5">
      <c r="A36" s="141">
        <v>8</v>
      </c>
      <c r="B36" s="65" t="s">
        <v>22</v>
      </c>
      <c r="C36" s="65" t="s">
        <v>119</v>
      </c>
      <c r="D36" s="65" t="s">
        <v>23</v>
      </c>
      <c r="E36" s="236" t="s">
        <v>174</v>
      </c>
      <c r="F36" s="540">
        <f>'Continental Dboard Targets'!G36</f>
        <v>0</v>
      </c>
    </row>
    <row r="37" spans="1:6" ht="32.450000000000003" customHeight="1" thickBot="1" x14ac:dyDescent="0.5">
      <c r="A37" s="141">
        <v>9</v>
      </c>
      <c r="B37" s="65" t="s">
        <v>24</v>
      </c>
      <c r="C37" s="65" t="s">
        <v>275</v>
      </c>
      <c r="D37" s="67" t="s">
        <v>25</v>
      </c>
      <c r="E37" s="237" t="s">
        <v>175</v>
      </c>
      <c r="F37" s="540">
        <f>'Continental Dboard Targets'!G37</f>
        <v>0.2252252252252252</v>
      </c>
    </row>
    <row r="38" spans="1:6" ht="30.6" customHeight="1" thickBot="1" x14ac:dyDescent="0.5">
      <c r="B38" s="640" t="s">
        <v>26</v>
      </c>
      <c r="C38" s="641"/>
      <c r="D38" s="642"/>
      <c r="E38" s="45"/>
      <c r="F38" s="540">
        <f>'Continental Dboard Targets'!G38</f>
        <v>0</v>
      </c>
    </row>
    <row r="39" spans="1:6" ht="25.8" customHeight="1" x14ac:dyDescent="0.45">
      <c r="A39" s="574">
        <v>10</v>
      </c>
      <c r="B39" s="627" t="s">
        <v>27</v>
      </c>
      <c r="C39" s="89" t="s">
        <v>120</v>
      </c>
      <c r="D39" s="90" t="s">
        <v>224</v>
      </c>
      <c r="E39" s="238" t="s">
        <v>176</v>
      </c>
      <c r="F39" s="568">
        <f>'Continental Dboard Targets'!G39:G40</f>
        <v>0</v>
      </c>
    </row>
    <row r="40" spans="1:6" ht="35.25" thickBot="1" x14ac:dyDescent="0.5">
      <c r="A40" s="574"/>
      <c r="B40" s="629"/>
      <c r="C40" s="85" t="s">
        <v>157</v>
      </c>
      <c r="D40" s="264" t="s">
        <v>225</v>
      </c>
      <c r="E40" s="244" t="s">
        <v>95</v>
      </c>
      <c r="F40" s="570"/>
    </row>
    <row r="41" spans="1:6" ht="20.45" customHeight="1" thickBot="1" x14ac:dyDescent="0.5">
      <c r="B41" s="622" t="s">
        <v>28</v>
      </c>
      <c r="C41" s="623"/>
      <c r="D41" s="624"/>
      <c r="E41" s="46"/>
      <c r="F41" s="540">
        <f>'Continental Dboard Targets'!G41</f>
        <v>0</v>
      </c>
    </row>
    <row r="42" spans="1:6" ht="34.9" x14ac:dyDescent="0.45">
      <c r="A42" s="574">
        <v>11</v>
      </c>
      <c r="B42" s="588" t="s">
        <v>29</v>
      </c>
      <c r="C42" s="145" t="s">
        <v>121</v>
      </c>
      <c r="D42" s="142" t="s">
        <v>30</v>
      </c>
      <c r="E42" s="265" t="s">
        <v>177</v>
      </c>
      <c r="F42" s="635">
        <f>'Continental Dboard Targets'!G42:G43</f>
        <v>0</v>
      </c>
    </row>
    <row r="43" spans="1:6" ht="35.25" thickBot="1" x14ac:dyDescent="0.5">
      <c r="A43" s="574"/>
      <c r="B43" s="590"/>
      <c r="C43" s="146" t="s">
        <v>122</v>
      </c>
      <c r="D43" s="144" t="s">
        <v>31</v>
      </c>
      <c r="E43" s="266" t="s">
        <v>95</v>
      </c>
      <c r="F43" s="636"/>
    </row>
    <row r="44" spans="1:6" ht="30.6" customHeight="1" thickBot="1" x14ac:dyDescent="0.5">
      <c r="B44" s="597" t="s">
        <v>32</v>
      </c>
      <c r="C44" s="598"/>
      <c r="D44" s="599"/>
      <c r="E44" s="44"/>
      <c r="F44" s="540">
        <f>'Continental Dboard Targets'!G44</f>
        <v>0</v>
      </c>
    </row>
    <row r="45" spans="1:6" ht="37.799999999999997" customHeight="1" x14ac:dyDescent="0.45">
      <c r="A45" s="574">
        <v>12</v>
      </c>
      <c r="B45" s="588" t="s">
        <v>33</v>
      </c>
      <c r="C45" s="142" t="s">
        <v>123</v>
      </c>
      <c r="D45" s="142" t="s">
        <v>34</v>
      </c>
      <c r="E45" s="228" t="s">
        <v>178</v>
      </c>
      <c r="F45" s="568">
        <f>'Continental Dboard Targets'!G45:G46</f>
        <v>0</v>
      </c>
    </row>
    <row r="46" spans="1:6" ht="35.25" thickBot="1" x14ac:dyDescent="0.5">
      <c r="A46" s="574"/>
      <c r="B46" s="590"/>
      <c r="C46" s="144" t="s">
        <v>124</v>
      </c>
      <c r="D46" s="144" t="s">
        <v>35</v>
      </c>
      <c r="E46" s="229" t="s">
        <v>179</v>
      </c>
      <c r="F46" s="570"/>
    </row>
    <row r="47" spans="1:6" ht="30.6" customHeight="1" thickBot="1" x14ac:dyDescent="0.5">
      <c r="B47" s="616" t="s">
        <v>36</v>
      </c>
      <c r="C47" s="617"/>
      <c r="D47" s="618"/>
      <c r="E47" s="47"/>
      <c r="F47" s="540">
        <f>'Continental Dboard Targets'!G47</f>
        <v>0.35018025196332658</v>
      </c>
    </row>
    <row r="48" spans="1:6" ht="20.45" customHeight="1" thickBot="1" x14ac:dyDescent="0.5">
      <c r="B48" s="582" t="s">
        <v>37</v>
      </c>
      <c r="C48" s="583"/>
      <c r="D48" s="584"/>
      <c r="E48" s="63"/>
      <c r="F48" s="540">
        <f>'Continental Dboard Targets'!G48</f>
        <v>0</v>
      </c>
    </row>
    <row r="49" spans="1:8" ht="37.799999999999997" customHeight="1" x14ac:dyDescent="0.45">
      <c r="A49" s="574">
        <v>13</v>
      </c>
      <c r="B49" s="588" t="s">
        <v>38</v>
      </c>
      <c r="C49" s="138" t="s">
        <v>125</v>
      </c>
      <c r="D49" s="70" t="s">
        <v>289</v>
      </c>
      <c r="E49" s="233" t="s">
        <v>95</v>
      </c>
      <c r="F49" s="568">
        <f>'Continental Dboard Targets'!G49:G50</f>
        <v>0</v>
      </c>
      <c r="H49" s="319"/>
    </row>
    <row r="50" spans="1:8" ht="30.6" customHeight="1" thickBot="1" x14ac:dyDescent="0.5">
      <c r="A50" s="574"/>
      <c r="B50" s="590"/>
      <c r="C50" s="139" t="s">
        <v>126</v>
      </c>
      <c r="D50" s="139" t="s">
        <v>290</v>
      </c>
      <c r="E50" s="235" t="s">
        <v>95</v>
      </c>
      <c r="F50" s="570"/>
      <c r="H50" s="319"/>
    </row>
    <row r="51" spans="1:8" ht="23.65" customHeight="1" thickBot="1" x14ac:dyDescent="0.5">
      <c r="B51" s="597" t="s">
        <v>39</v>
      </c>
      <c r="C51" s="598"/>
      <c r="D51" s="599"/>
      <c r="E51" s="48"/>
      <c r="F51" s="540">
        <f>'Continental Dboard Targets'!G51</f>
        <v>0.91666666666666674</v>
      </c>
      <c r="H51" s="319"/>
    </row>
    <row r="52" spans="1:8" ht="30.6" customHeight="1" thickBot="1" x14ac:dyDescent="0.5">
      <c r="A52" s="21">
        <v>14</v>
      </c>
      <c r="B52" s="226" t="s">
        <v>226</v>
      </c>
      <c r="C52" s="227" t="s">
        <v>272</v>
      </c>
      <c r="D52" s="91" t="s">
        <v>266</v>
      </c>
      <c r="E52" s="240" t="s">
        <v>95</v>
      </c>
      <c r="F52" s="540">
        <f>'Continental Dboard Targets'!G52</f>
        <v>0.91666666666666674</v>
      </c>
    </row>
    <row r="53" spans="1:8" ht="27.75" customHeight="1" thickBot="1" x14ac:dyDescent="0.5">
      <c r="B53" s="597" t="s">
        <v>40</v>
      </c>
      <c r="C53" s="598"/>
      <c r="D53" s="599"/>
      <c r="E53" s="43"/>
      <c r="F53" s="540">
        <f>'Continental Dboard Targets'!G53</f>
        <v>0.13387408922331281</v>
      </c>
    </row>
    <row r="54" spans="1:8" ht="43.8" customHeight="1" x14ac:dyDescent="0.45">
      <c r="A54" s="574">
        <v>15</v>
      </c>
      <c r="B54" s="627" t="s">
        <v>108</v>
      </c>
      <c r="C54" s="71" t="s">
        <v>127</v>
      </c>
      <c r="D54" s="72" t="s">
        <v>41</v>
      </c>
      <c r="E54" s="241" t="s">
        <v>95</v>
      </c>
      <c r="F54" s="630">
        <f>'Continental Dboard Targets'!G54:G59</f>
        <v>0.13387408922331281</v>
      </c>
    </row>
    <row r="55" spans="1:8" ht="35.450000000000003" customHeight="1" x14ac:dyDescent="0.45">
      <c r="A55" s="574"/>
      <c r="B55" s="628"/>
      <c r="C55" s="93" t="s">
        <v>128</v>
      </c>
      <c r="D55" s="73" t="s">
        <v>42</v>
      </c>
      <c r="E55" s="242" t="s">
        <v>95</v>
      </c>
      <c r="F55" s="631"/>
    </row>
    <row r="56" spans="1:8" ht="34.25" customHeight="1" x14ac:dyDescent="0.45">
      <c r="A56" s="574"/>
      <c r="B56" s="628"/>
      <c r="C56" s="93" t="s">
        <v>129</v>
      </c>
      <c r="D56" s="73" t="s">
        <v>43</v>
      </c>
      <c r="E56" s="242" t="s">
        <v>95</v>
      </c>
      <c r="F56" s="631"/>
    </row>
    <row r="57" spans="1:8" ht="37.25" customHeight="1" x14ac:dyDescent="0.45">
      <c r="A57" s="574"/>
      <c r="B57" s="628"/>
      <c r="C57" s="93" t="s">
        <v>130</v>
      </c>
      <c r="D57" s="73" t="s">
        <v>44</v>
      </c>
      <c r="E57" s="242" t="s">
        <v>101</v>
      </c>
      <c r="F57" s="631"/>
    </row>
    <row r="58" spans="1:8" ht="22.8" customHeight="1" x14ac:dyDescent="0.45">
      <c r="A58" s="574"/>
      <c r="B58" s="628"/>
      <c r="C58" s="633" t="s">
        <v>131</v>
      </c>
      <c r="D58" s="73" t="s">
        <v>45</v>
      </c>
      <c r="E58" s="242" t="s">
        <v>180</v>
      </c>
      <c r="F58" s="631"/>
    </row>
    <row r="59" spans="1:8" ht="15" customHeight="1" thickBot="1" x14ac:dyDescent="0.5">
      <c r="A59" s="574"/>
      <c r="B59" s="629"/>
      <c r="C59" s="634"/>
      <c r="D59" s="56" t="s">
        <v>46</v>
      </c>
      <c r="E59" s="243" t="s">
        <v>95</v>
      </c>
      <c r="F59" s="632"/>
    </row>
    <row r="60" spans="1:8" ht="23.45" customHeight="1" thickBot="1" x14ac:dyDescent="0.5">
      <c r="B60" s="616" t="s">
        <v>47</v>
      </c>
      <c r="C60" s="617"/>
      <c r="D60" s="618"/>
      <c r="E60" s="137"/>
      <c r="F60" s="540">
        <f>'Continental Dboard Targets'!G60</f>
        <v>0.16624784277006682</v>
      </c>
    </row>
    <row r="61" spans="1:8" ht="22.25" customHeight="1" thickBot="1" x14ac:dyDescent="0.5">
      <c r="B61" s="597" t="s">
        <v>48</v>
      </c>
      <c r="C61" s="598"/>
      <c r="D61" s="599"/>
      <c r="E61" s="42"/>
      <c r="F61" s="540">
        <f>'Continental Dboard Targets'!G61</f>
        <v>0.26695261437908502</v>
      </c>
    </row>
    <row r="62" spans="1:8" ht="39" customHeight="1" x14ac:dyDescent="0.45">
      <c r="A62" s="574">
        <v>16</v>
      </c>
      <c r="B62" s="585" t="s">
        <v>49</v>
      </c>
      <c r="C62" s="138" t="s">
        <v>133</v>
      </c>
      <c r="D62" s="138" t="s">
        <v>50</v>
      </c>
      <c r="E62" s="238" t="s">
        <v>181</v>
      </c>
      <c r="F62" s="611">
        <f>'Continental Dboard Targets'!G62:G67</f>
        <v>0.26695261437908502</v>
      </c>
    </row>
    <row r="63" spans="1:8" ht="58.25" customHeight="1" x14ac:dyDescent="0.45">
      <c r="A63" s="574"/>
      <c r="B63" s="586"/>
      <c r="C63" s="140" t="s">
        <v>134</v>
      </c>
      <c r="D63" s="93" t="s">
        <v>276</v>
      </c>
      <c r="E63" s="239" t="s">
        <v>182</v>
      </c>
      <c r="F63" s="625"/>
    </row>
    <row r="64" spans="1:8" ht="26.45" customHeight="1" x14ac:dyDescent="0.45">
      <c r="A64" s="574"/>
      <c r="B64" s="586"/>
      <c r="C64" s="140" t="s">
        <v>135</v>
      </c>
      <c r="D64" s="140" t="s">
        <v>51</v>
      </c>
      <c r="E64" s="239" t="s">
        <v>95</v>
      </c>
      <c r="F64" s="625"/>
    </row>
    <row r="65" spans="1:6" ht="15" customHeight="1" x14ac:dyDescent="0.45">
      <c r="A65" s="574"/>
      <c r="B65" s="586"/>
      <c r="C65" s="589" t="s">
        <v>136</v>
      </c>
      <c r="D65" s="74" t="s">
        <v>52</v>
      </c>
      <c r="E65" s="239" t="s">
        <v>95</v>
      </c>
      <c r="F65" s="625"/>
    </row>
    <row r="66" spans="1:6" ht="14.25" x14ac:dyDescent="0.45">
      <c r="A66" s="574"/>
      <c r="B66" s="586"/>
      <c r="C66" s="589"/>
      <c r="D66" s="74" t="s">
        <v>53</v>
      </c>
      <c r="E66" s="239" t="s">
        <v>95</v>
      </c>
      <c r="F66" s="625"/>
    </row>
    <row r="67" spans="1:6" ht="27.6" customHeight="1" thickBot="1" x14ac:dyDescent="0.5">
      <c r="A67" s="574"/>
      <c r="B67" s="587"/>
      <c r="C67" s="590"/>
      <c r="D67" s="75" t="s">
        <v>54</v>
      </c>
      <c r="E67" s="244" t="s">
        <v>95</v>
      </c>
      <c r="F67" s="626"/>
    </row>
    <row r="68" spans="1:6" ht="27" customHeight="1" thickBot="1" x14ac:dyDescent="0.5">
      <c r="B68" s="582" t="s">
        <v>55</v>
      </c>
      <c r="C68" s="583"/>
      <c r="D68" s="584"/>
      <c r="E68" s="55"/>
      <c r="F68" s="540">
        <f>'Continental Dboard Targets'!G68</f>
        <v>6.5543071161048697E-2</v>
      </c>
    </row>
    <row r="69" spans="1:6" ht="70.150000000000006" thickBot="1" x14ac:dyDescent="0.5">
      <c r="A69" s="22">
        <v>17</v>
      </c>
      <c r="B69" s="76" t="s">
        <v>56</v>
      </c>
      <c r="C69" s="76" t="s">
        <v>137</v>
      </c>
      <c r="D69" s="76" t="s">
        <v>57</v>
      </c>
      <c r="E69" s="92" t="s">
        <v>132</v>
      </c>
      <c r="F69" s="564">
        <f>'Continental Dboard Targets'!G69</f>
        <v>6.5543071161048697E-2</v>
      </c>
    </row>
    <row r="70" spans="1:6" ht="22.25" customHeight="1" thickBot="1" x14ac:dyDescent="0.5">
      <c r="B70" s="619" t="s">
        <v>58</v>
      </c>
      <c r="C70" s="620"/>
      <c r="D70" s="621"/>
      <c r="E70" s="49"/>
      <c r="F70" s="540">
        <f>'Continental Dboard Targets'!G70</f>
        <v>0.33333333333333337</v>
      </c>
    </row>
    <row r="71" spans="1:6" ht="20.45" customHeight="1" thickBot="1" x14ac:dyDescent="0.5">
      <c r="B71" s="597" t="s">
        <v>59</v>
      </c>
      <c r="C71" s="598"/>
      <c r="D71" s="599"/>
      <c r="E71" s="43"/>
      <c r="F71" s="540">
        <f>'Continental Dboard Targets'!G71</f>
        <v>0.5</v>
      </c>
    </row>
    <row r="72" spans="1:6" ht="52.25" customHeight="1" thickBot="1" x14ac:dyDescent="0.5">
      <c r="A72" s="22">
        <v>18</v>
      </c>
      <c r="B72" s="77" t="s">
        <v>60</v>
      </c>
      <c r="C72" s="78" t="s">
        <v>138</v>
      </c>
      <c r="D72" s="124" t="s">
        <v>61</v>
      </c>
      <c r="E72" s="245" t="s">
        <v>183</v>
      </c>
      <c r="F72" s="564">
        <f>'Continental Dboard Targets'!G72</f>
        <v>0.5</v>
      </c>
    </row>
    <row r="73" spans="1:6" ht="20.45" customHeight="1" thickBot="1" x14ac:dyDescent="0.5">
      <c r="B73" s="622" t="s">
        <v>277</v>
      </c>
      <c r="C73" s="623"/>
      <c r="D73" s="624"/>
      <c r="E73" s="45"/>
      <c r="F73" s="540">
        <f>'Continental Dboard Targets'!G73</f>
        <v>0</v>
      </c>
    </row>
    <row r="74" spans="1:6" ht="45" customHeight="1" thickBot="1" x14ac:dyDescent="0.5">
      <c r="A74" s="22">
        <v>19</v>
      </c>
      <c r="B74" s="79" t="s">
        <v>62</v>
      </c>
      <c r="C74" s="80" t="s">
        <v>139</v>
      </c>
      <c r="D74" s="125" t="s">
        <v>63</v>
      </c>
      <c r="E74" s="246" t="s">
        <v>95</v>
      </c>
      <c r="F74" s="564">
        <f>'Continental Dboard Targets'!G74</f>
        <v>0</v>
      </c>
    </row>
    <row r="75" spans="1:6" ht="30.6" customHeight="1" thickBot="1" x14ac:dyDescent="0.5">
      <c r="B75" s="597" t="s">
        <v>64</v>
      </c>
      <c r="C75" s="598"/>
      <c r="D75" s="599"/>
      <c r="E75" s="43"/>
      <c r="F75" s="540">
        <f>'Continental Dboard Targets'!G75</f>
        <v>0.5</v>
      </c>
    </row>
    <row r="76" spans="1:6" ht="29.45" customHeight="1" thickBot="1" x14ac:dyDescent="0.5">
      <c r="A76" s="22">
        <v>20</v>
      </c>
      <c r="B76" s="79" t="s">
        <v>65</v>
      </c>
      <c r="C76" s="78" t="s">
        <v>140</v>
      </c>
      <c r="D76" s="80" t="s">
        <v>66</v>
      </c>
      <c r="E76" s="247" t="s">
        <v>95</v>
      </c>
      <c r="F76" s="564">
        <f>'Continental Dboard Targets'!G76</f>
        <v>0.5</v>
      </c>
    </row>
    <row r="77" spans="1:6" ht="20.45" customHeight="1" thickBot="1" x14ac:dyDescent="0.5">
      <c r="B77" s="613" t="s">
        <v>67</v>
      </c>
      <c r="C77" s="614"/>
      <c r="D77" s="615"/>
      <c r="E77" s="50"/>
      <c r="F77" s="540">
        <f>'Continental Dboard Targets'!G77</f>
        <v>0.42279411764705882</v>
      </c>
    </row>
    <row r="78" spans="1:6" ht="20.45" customHeight="1" thickBot="1" x14ac:dyDescent="0.5">
      <c r="B78" s="597" t="s">
        <v>68</v>
      </c>
      <c r="C78" s="598"/>
      <c r="D78" s="599"/>
      <c r="E78" s="43"/>
      <c r="F78" s="540">
        <f>'Continental Dboard Targets'!G78</f>
        <v>0.42279411764705882</v>
      </c>
    </row>
    <row r="79" spans="1:6" ht="35.25" thickBot="1" x14ac:dyDescent="0.5">
      <c r="A79" s="22">
        <v>21</v>
      </c>
      <c r="B79" s="79" t="s">
        <v>69</v>
      </c>
      <c r="C79" s="82" t="s">
        <v>141</v>
      </c>
      <c r="D79" s="82" t="s">
        <v>70</v>
      </c>
      <c r="E79" s="248" t="s">
        <v>95</v>
      </c>
      <c r="F79" s="564">
        <f>'Continental Dboard Targets'!G79</f>
        <v>0.42279411764705882</v>
      </c>
    </row>
    <row r="80" spans="1:6" ht="21.6" customHeight="1" thickBot="1" x14ac:dyDescent="0.5">
      <c r="B80" s="606" t="s">
        <v>71</v>
      </c>
      <c r="C80" s="607"/>
      <c r="D80" s="608"/>
      <c r="E80" s="50"/>
      <c r="F80" s="540">
        <f>'Continental Dboard Targets'!G80</f>
        <v>0.20980882397345227</v>
      </c>
    </row>
    <row r="81" spans="1:6" ht="20.45" customHeight="1" thickBot="1" x14ac:dyDescent="0.5">
      <c r="B81" s="582" t="s">
        <v>72</v>
      </c>
      <c r="C81" s="583"/>
      <c r="D81" s="584"/>
      <c r="E81" s="249"/>
      <c r="F81" s="540">
        <f>'Continental Dboard Targets'!G81</f>
        <v>0.26262990262684505</v>
      </c>
    </row>
    <row r="82" spans="1:6" ht="58.15" x14ac:dyDescent="0.45">
      <c r="A82" s="141"/>
      <c r="B82" s="609" t="s">
        <v>73</v>
      </c>
      <c r="C82" s="142" t="s">
        <v>267</v>
      </c>
      <c r="D82" s="71" t="s">
        <v>278</v>
      </c>
      <c r="E82" s="250" t="s">
        <v>279</v>
      </c>
      <c r="F82" s="611">
        <f>'Continental Dboard Targets'!G82:G83</f>
        <v>0.50000728000116479</v>
      </c>
    </row>
    <row r="83" spans="1:6" ht="39.6" customHeight="1" thickBot="1" x14ac:dyDescent="0.5">
      <c r="A83" s="141"/>
      <c r="B83" s="610"/>
      <c r="C83" s="144" t="s">
        <v>268</v>
      </c>
      <c r="D83" s="94" t="s">
        <v>74</v>
      </c>
      <c r="E83" s="251" t="s">
        <v>282</v>
      </c>
      <c r="F83" s="612"/>
    </row>
    <row r="84" spans="1:6" ht="60" customHeight="1" x14ac:dyDescent="0.45">
      <c r="A84" s="141"/>
      <c r="B84" s="591" t="s">
        <v>142</v>
      </c>
      <c r="C84" s="267" t="s">
        <v>145</v>
      </c>
      <c r="D84" s="142" t="s">
        <v>143</v>
      </c>
      <c r="E84" s="252" t="s">
        <v>184</v>
      </c>
      <c r="F84" s="594">
        <f>'Continental Dboard Targets'!G84:G86</f>
        <v>2.5252525252525252E-2</v>
      </c>
    </row>
    <row r="85" spans="1:6" ht="45" customHeight="1" x14ac:dyDescent="0.45">
      <c r="A85" s="141"/>
      <c r="B85" s="592"/>
      <c r="C85" s="83" t="s">
        <v>146</v>
      </c>
      <c r="D85" s="93" t="s">
        <v>283</v>
      </c>
      <c r="E85" s="253" t="s">
        <v>185</v>
      </c>
      <c r="F85" s="595"/>
    </row>
    <row r="86" spans="1:6" ht="38.450000000000003" customHeight="1" thickBot="1" x14ac:dyDescent="0.5">
      <c r="A86" s="141"/>
      <c r="B86" s="593"/>
      <c r="C86" s="84" t="s">
        <v>147</v>
      </c>
      <c r="D86" s="94" t="s">
        <v>144</v>
      </c>
      <c r="E86" s="254" t="s">
        <v>284</v>
      </c>
      <c r="F86" s="596"/>
    </row>
    <row r="87" spans="1:6" ht="20.45" customHeight="1" thickBot="1" x14ac:dyDescent="0.5">
      <c r="B87" s="597" t="s">
        <v>75</v>
      </c>
      <c r="C87" s="598"/>
      <c r="D87" s="599"/>
      <c r="E87" s="44"/>
      <c r="F87" s="540">
        <f>'Continental Dboard Targets'!G87</f>
        <v>0.10416666666666666</v>
      </c>
    </row>
    <row r="88" spans="1:6" ht="27.6" customHeight="1" x14ac:dyDescent="0.45">
      <c r="A88" s="574">
        <v>24</v>
      </c>
      <c r="B88" s="600" t="s">
        <v>76</v>
      </c>
      <c r="C88" s="89" t="s">
        <v>159</v>
      </c>
      <c r="D88" s="59" t="s">
        <v>285</v>
      </c>
      <c r="E88" s="268" t="s">
        <v>186</v>
      </c>
      <c r="F88" s="568">
        <f>'Continental Dboard Targets'!G88:G92</f>
        <v>0.10416666666666666</v>
      </c>
    </row>
    <row r="89" spans="1:6" ht="25.8" customHeight="1" x14ac:dyDescent="0.45">
      <c r="A89" s="574"/>
      <c r="B89" s="601"/>
      <c r="C89" s="605" t="s">
        <v>160</v>
      </c>
      <c r="D89" s="61" t="s">
        <v>77</v>
      </c>
      <c r="E89" s="255" t="s">
        <v>187</v>
      </c>
      <c r="F89" s="603"/>
    </row>
    <row r="90" spans="1:6" ht="25.25" customHeight="1" x14ac:dyDescent="0.45">
      <c r="A90" s="574"/>
      <c r="B90" s="601"/>
      <c r="C90" s="605"/>
      <c r="D90" s="61" t="s">
        <v>78</v>
      </c>
      <c r="E90" s="255" t="s">
        <v>188</v>
      </c>
      <c r="F90" s="603"/>
    </row>
    <row r="91" spans="1:6" ht="26.45" customHeight="1" x14ac:dyDescent="0.45">
      <c r="A91" s="574"/>
      <c r="B91" s="601"/>
      <c r="C91" s="605"/>
      <c r="D91" s="61" t="s">
        <v>79</v>
      </c>
      <c r="E91" s="256" t="s">
        <v>189</v>
      </c>
      <c r="F91" s="603"/>
    </row>
    <row r="92" spans="1:6" ht="40.799999999999997" customHeight="1" thickBot="1" x14ac:dyDescent="0.5">
      <c r="A92" s="574"/>
      <c r="B92" s="602"/>
      <c r="C92" s="85" t="s">
        <v>161</v>
      </c>
      <c r="D92" s="86" t="s">
        <v>80</v>
      </c>
      <c r="E92" s="257" t="s">
        <v>95</v>
      </c>
      <c r="F92" s="604"/>
    </row>
    <row r="93" spans="1:6" ht="26.65" customHeight="1" thickBot="1" x14ac:dyDescent="0.5">
      <c r="B93" s="579" t="s">
        <v>81</v>
      </c>
      <c r="C93" s="580"/>
      <c r="D93" s="581"/>
      <c r="E93" s="47"/>
      <c r="F93" s="540">
        <f>'Continental Dboard Targets'!G93</f>
        <v>0.18611111111111112</v>
      </c>
    </row>
    <row r="94" spans="1:6" ht="20.45" customHeight="1" thickBot="1" x14ac:dyDescent="0.5">
      <c r="B94" s="582" t="s">
        <v>82</v>
      </c>
      <c r="C94" s="583"/>
      <c r="D94" s="584"/>
      <c r="E94" s="51"/>
      <c r="F94" s="540">
        <f>'Continental Dboard Targets'!G94</f>
        <v>0.74444444444444446</v>
      </c>
    </row>
    <row r="95" spans="1:6" ht="34.799999999999997" customHeight="1" x14ac:dyDescent="0.45">
      <c r="A95" s="574">
        <v>25</v>
      </c>
      <c r="B95" s="585" t="s">
        <v>83</v>
      </c>
      <c r="C95" s="588" t="s">
        <v>214</v>
      </c>
      <c r="D95" s="138" t="s">
        <v>269</v>
      </c>
      <c r="E95" s="258" t="s">
        <v>190</v>
      </c>
      <c r="F95" s="568">
        <f>'Continental Dboard Targets'!G95:G97</f>
        <v>0.74444444444444446</v>
      </c>
    </row>
    <row r="96" spans="1:6" ht="39.6" customHeight="1" x14ac:dyDescent="0.45">
      <c r="A96" s="574"/>
      <c r="B96" s="586"/>
      <c r="C96" s="589"/>
      <c r="D96" s="93" t="s">
        <v>270</v>
      </c>
      <c r="E96" s="259" t="s">
        <v>191</v>
      </c>
      <c r="F96" s="569"/>
    </row>
    <row r="97" spans="1:6" ht="41.45" customHeight="1" thickBot="1" x14ac:dyDescent="0.5">
      <c r="A97" s="574"/>
      <c r="B97" s="587"/>
      <c r="C97" s="590"/>
      <c r="D97" s="139" t="s">
        <v>84</v>
      </c>
      <c r="E97" s="260" t="s">
        <v>95</v>
      </c>
      <c r="F97" s="570"/>
    </row>
    <row r="98" spans="1:6" ht="18" customHeight="1" thickBot="1" x14ac:dyDescent="0.5">
      <c r="B98" s="571" t="s">
        <v>85</v>
      </c>
      <c r="C98" s="572"/>
      <c r="D98" s="573"/>
      <c r="E98" s="158"/>
      <c r="F98" s="540">
        <f>'Continental Dboard Targets'!G98</f>
        <v>0</v>
      </c>
    </row>
    <row r="99" spans="1:6" ht="29.45" customHeight="1" thickBot="1" x14ac:dyDescent="0.5">
      <c r="A99" s="141">
        <v>26</v>
      </c>
      <c r="B99" s="87" t="s">
        <v>86</v>
      </c>
      <c r="C99" s="87" t="s">
        <v>215</v>
      </c>
      <c r="D99" s="88" t="s">
        <v>291</v>
      </c>
      <c r="E99" s="261" t="s">
        <v>95</v>
      </c>
      <c r="F99" s="564">
        <f>'Continental Dboard Targets'!G99</f>
        <v>0</v>
      </c>
    </row>
    <row r="100" spans="1:6" ht="35.25" thickBot="1" x14ac:dyDescent="0.5">
      <c r="A100" s="141">
        <v>27</v>
      </c>
      <c r="B100" s="87" t="s">
        <v>87</v>
      </c>
      <c r="C100" s="87" t="s">
        <v>216</v>
      </c>
      <c r="D100" s="88" t="s">
        <v>271</v>
      </c>
      <c r="E100" s="261" t="s">
        <v>192</v>
      </c>
      <c r="F100" s="564">
        <f>'Continental Dboard Targets'!G100</f>
        <v>0</v>
      </c>
    </row>
    <row r="101" spans="1:6" ht="30.4" x14ac:dyDescent="0.45">
      <c r="A101" s="574">
        <v>28</v>
      </c>
      <c r="B101" s="575" t="s">
        <v>88</v>
      </c>
      <c r="C101" s="575" t="s">
        <v>217</v>
      </c>
      <c r="D101" s="71" t="s">
        <v>89</v>
      </c>
      <c r="E101" s="262" t="s">
        <v>193</v>
      </c>
      <c r="F101" s="577">
        <f>'Continental Dboard Targets'!G101:G102</f>
        <v>0</v>
      </c>
    </row>
    <row r="102" spans="1:6" ht="38.450000000000003" customHeight="1" thickBot="1" x14ac:dyDescent="0.5">
      <c r="A102" s="574"/>
      <c r="B102" s="576"/>
      <c r="C102" s="576"/>
      <c r="D102" s="144" t="s">
        <v>90</v>
      </c>
      <c r="E102" s="263" t="s">
        <v>95</v>
      </c>
      <c r="F102" s="578"/>
    </row>
    <row r="104" spans="1:6" x14ac:dyDescent="0.5">
      <c r="B104" s="28"/>
    </row>
    <row r="107" spans="1:6" x14ac:dyDescent="0.5">
      <c r="B107" s="28"/>
    </row>
    <row r="108" spans="1:6" x14ac:dyDescent="0.5">
      <c r="B108" s="29"/>
    </row>
  </sheetData>
  <mergeCells count="85">
    <mergeCell ref="B5:D5"/>
    <mergeCell ref="B8:D8"/>
    <mergeCell ref="B10:D10"/>
    <mergeCell ref="B11:D11"/>
    <mergeCell ref="C4:D4"/>
    <mergeCell ref="A16:A18"/>
    <mergeCell ref="B16:B18"/>
    <mergeCell ref="C16:C18"/>
    <mergeCell ref="F16:F18"/>
    <mergeCell ref="A12:A13"/>
    <mergeCell ref="B12:B13"/>
    <mergeCell ref="F12:F13"/>
    <mergeCell ref="A14:A15"/>
    <mergeCell ref="B14:B15"/>
    <mergeCell ref="F14:F15"/>
    <mergeCell ref="B19:D19"/>
    <mergeCell ref="A20:A23"/>
    <mergeCell ref="B20:B23"/>
    <mergeCell ref="F20:F23"/>
    <mergeCell ref="B24:D24"/>
    <mergeCell ref="A25:A28"/>
    <mergeCell ref="B25:B32"/>
    <mergeCell ref="F25:F32"/>
    <mergeCell ref="C26:C28"/>
    <mergeCell ref="C29:C31"/>
    <mergeCell ref="B33:D33"/>
    <mergeCell ref="B38:D38"/>
    <mergeCell ref="A39:A40"/>
    <mergeCell ref="B39:B40"/>
    <mergeCell ref="F39:F40"/>
    <mergeCell ref="B41:D41"/>
    <mergeCell ref="A42:A43"/>
    <mergeCell ref="B42:B43"/>
    <mergeCell ref="F42:F43"/>
    <mergeCell ref="B44:D44"/>
    <mergeCell ref="A45:A46"/>
    <mergeCell ref="B45:B46"/>
    <mergeCell ref="F45:F46"/>
    <mergeCell ref="B47:D47"/>
    <mergeCell ref="B48:D48"/>
    <mergeCell ref="A49:A50"/>
    <mergeCell ref="B49:B50"/>
    <mergeCell ref="F49:F50"/>
    <mergeCell ref="B51:D51"/>
    <mergeCell ref="B53:D53"/>
    <mergeCell ref="F62:F67"/>
    <mergeCell ref="C65:C67"/>
    <mergeCell ref="A54:A59"/>
    <mergeCell ref="B54:B59"/>
    <mergeCell ref="F54:F59"/>
    <mergeCell ref="C58:C59"/>
    <mergeCell ref="B77:D77"/>
    <mergeCell ref="B60:D60"/>
    <mergeCell ref="B61:D61"/>
    <mergeCell ref="A62:A67"/>
    <mergeCell ref="B62:B67"/>
    <mergeCell ref="B68:D68"/>
    <mergeCell ref="B70:D70"/>
    <mergeCell ref="B71:D71"/>
    <mergeCell ref="B73:D73"/>
    <mergeCell ref="B75:D75"/>
    <mergeCell ref="B88:B92"/>
    <mergeCell ref="F88:F92"/>
    <mergeCell ref="C89:C91"/>
    <mergeCell ref="B78:D78"/>
    <mergeCell ref="B80:D80"/>
    <mergeCell ref="B81:D81"/>
    <mergeCell ref="B82:B83"/>
    <mergeCell ref="F82:F83"/>
    <mergeCell ref="B2:F2"/>
    <mergeCell ref="F95:F97"/>
    <mergeCell ref="B98:D98"/>
    <mergeCell ref="A101:A102"/>
    <mergeCell ref="B101:B102"/>
    <mergeCell ref="C101:C102"/>
    <mergeCell ref="F101:F102"/>
    <mergeCell ref="B93:D93"/>
    <mergeCell ref="B94:D94"/>
    <mergeCell ref="A95:A97"/>
    <mergeCell ref="B95:B97"/>
    <mergeCell ref="C95:C97"/>
    <mergeCell ref="B84:B86"/>
    <mergeCell ref="F84:F86"/>
    <mergeCell ref="B87:D87"/>
    <mergeCell ref="A88:A92"/>
  </mergeCells>
  <conditionalFormatting sqref="F20:F23 F39:F40 F54 F12:F15">
    <cfRule type="colorScale" priority="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6:F18">
    <cfRule type="colorScale" priority="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5:F28">
    <cfRule type="colorScale" priority="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4:F38">
    <cfRule type="colorScale" priority="4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2:F43">
    <cfRule type="colorScale" priority="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5:F46">
    <cfRule type="colorScale" priority="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9:F50">
    <cfRule type="colorScale" priority="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2">
    <cfRule type="colorScale" priority="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9">
    <cfRule type="colorScale" priority="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9">
    <cfRule type="colorScale" priority="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2">
    <cfRule type="colorScale" priority="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4">
    <cfRule type="colorScale" priority="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2">
    <cfRule type="colorScale" priority="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8">
    <cfRule type="colorScale" priority="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5">
    <cfRule type="colorScale" priority="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9:F100">
    <cfRule type="colorScale" priority="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1:F102">
    <cfRule type="colorScale" priority="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2">
    <cfRule type="colorScale" priority="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4">
    <cfRule type="colorScale" priority="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6">
    <cfRule type="colorScale" priority="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1">
    <cfRule type="colorScale" priority="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3">
    <cfRule type="colorScale" priority="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1">
    <cfRule type="colorScale" priority="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8">
    <cfRule type="colorScale" priority="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1">
    <cfRule type="colorScale" priority="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1">
    <cfRule type="colorScale" priority="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5">
    <cfRule type="colorScale" priority="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8">
    <cfRule type="colorScale" priority="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1">
    <cfRule type="colorScale" priority="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7">
    <cfRule type="colorScale" priority="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4">
    <cfRule type="colorScale" priority="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8">
    <cfRule type="colorScale" priority="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">
    <cfRule type="colorScale" priority="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7">
    <cfRule type="colorScale" priority="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0">
    <cfRule type="colorScale" priority="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0">
    <cfRule type="colorScale" priority="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7">
    <cfRule type="colorScale" priority="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0">
    <cfRule type="colorScale" priority="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3">
    <cfRule type="colorScale" priority="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">
    <cfRule type="colorScale" priority="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4">
    <cfRule type="colorScale" priority="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1">
    <cfRule type="colorScale" priority="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8">
    <cfRule type="colorScale" priority="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3">
    <cfRule type="colorScale" priority="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9">
    <cfRule type="colorScale" priority="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4">
    <cfRule type="colorScale" priority="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3">
    <cfRule type="colorScale" priority="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">
    <cfRule type="colorScale" priority="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512EE-E1FB-4D0D-A7D9-58DAB5AC9B89}">
  <dimension ref="A1:O108"/>
  <sheetViews>
    <sheetView topLeftCell="B94" zoomScale="70" zoomScaleNormal="70" workbookViewId="0">
      <selection activeCell="G107" sqref="G107"/>
    </sheetView>
  </sheetViews>
  <sheetFormatPr defaultColWidth="8.86328125" defaultRowHeight="15.75" x14ac:dyDescent="0.5"/>
  <cols>
    <col min="1" max="1" width="0" style="5" hidden="1" customWidth="1"/>
    <col min="2" max="2" width="24" style="5" customWidth="1"/>
    <col min="3" max="3" width="41.86328125" style="5" customWidth="1"/>
    <col min="4" max="4" width="38.6640625" style="5" customWidth="1"/>
    <col min="5" max="5" width="36.59765625" style="30" customWidth="1"/>
    <col min="6" max="6" width="23.33203125" style="30" customWidth="1"/>
    <col min="7" max="7" width="16.1328125" style="28" customWidth="1"/>
    <col min="8" max="8" width="4.86328125" style="5" customWidth="1"/>
    <col min="9" max="9" width="8.86328125" style="30"/>
    <col min="10" max="14" width="0" style="30" hidden="1" customWidth="1"/>
    <col min="15" max="15" width="8.86328125" style="30"/>
    <col min="16" max="18" width="28.46484375" style="5" customWidth="1"/>
    <col min="19" max="16384" width="8.86328125" style="5"/>
  </cols>
  <sheetData>
    <row r="1" spans="1:15" x14ac:dyDescent="0.5">
      <c r="B1" s="223"/>
      <c r="C1" s="224"/>
      <c r="D1" s="224"/>
      <c r="E1" s="225"/>
      <c r="F1" s="225"/>
      <c r="G1" s="542"/>
    </row>
    <row r="2" spans="1:15" ht="46.15" customHeight="1" x14ac:dyDescent="0.45">
      <c r="B2" s="565" t="s">
        <v>318</v>
      </c>
      <c r="C2" s="566"/>
      <c r="D2" s="566"/>
      <c r="E2" s="566"/>
      <c r="F2" s="566"/>
      <c r="G2" s="567"/>
    </row>
    <row r="3" spans="1:15" x14ac:dyDescent="0.5">
      <c r="B3" s="212"/>
      <c r="C3" s="213"/>
      <c r="D3" s="214"/>
      <c r="E3" s="213"/>
      <c r="F3" s="213"/>
      <c r="G3" s="543"/>
    </row>
    <row r="4" spans="1:15" ht="26.45" customHeight="1" x14ac:dyDescent="0.45">
      <c r="B4" s="212"/>
      <c r="C4" s="674" t="s">
        <v>446</v>
      </c>
      <c r="D4" s="675"/>
      <c r="E4" s="213"/>
      <c r="F4" s="213"/>
      <c r="G4" s="539"/>
    </row>
    <row r="5" spans="1:15" ht="18.399999999999999" thickBot="1" x14ac:dyDescent="0.6">
      <c r="B5" s="666"/>
      <c r="C5" s="667"/>
      <c r="D5" s="667"/>
      <c r="E5" s="213"/>
      <c r="F5" s="213"/>
      <c r="G5" s="543"/>
    </row>
    <row r="6" spans="1:15" ht="23.65" thickBot="1" x14ac:dyDescent="0.75">
      <c r="B6" s="292"/>
      <c r="C6" s="293"/>
      <c r="D6" s="293"/>
      <c r="E6" s="305"/>
      <c r="F6" s="220" t="s">
        <v>292</v>
      </c>
      <c r="G6" s="540">
        <f>(Chad!P4+Car!P4)/2</f>
        <v>0.23932105408463034</v>
      </c>
    </row>
    <row r="7" spans="1:15" ht="18.399999999999999" thickBot="1" x14ac:dyDescent="0.6">
      <c r="B7" s="217"/>
      <c r="C7" s="218"/>
      <c r="D7" s="218"/>
      <c r="E7" s="219"/>
      <c r="F7" s="219"/>
      <c r="G7" s="544"/>
    </row>
    <row r="8" spans="1:15" ht="6.75" customHeight="1" thickBot="1" x14ac:dyDescent="0.5">
      <c r="B8" s="668"/>
      <c r="C8" s="669"/>
      <c r="D8" s="670"/>
      <c r="E8" s="222"/>
      <c r="F8" s="222"/>
      <c r="G8" s="360"/>
    </row>
    <row r="9" spans="1:15" ht="25.25" customHeight="1" thickBot="1" x14ac:dyDescent="0.5">
      <c r="B9" s="221" t="s">
        <v>2</v>
      </c>
      <c r="C9" s="221" t="s">
        <v>3</v>
      </c>
      <c r="D9" s="221" t="s">
        <v>319</v>
      </c>
      <c r="E9" s="221" t="s">
        <v>102</v>
      </c>
      <c r="F9" s="221" t="s">
        <v>354</v>
      </c>
      <c r="G9" s="541" t="s">
        <v>320</v>
      </c>
      <c r="J9" s="52" t="s">
        <v>151</v>
      </c>
      <c r="K9" s="53"/>
      <c r="L9" s="53"/>
      <c r="M9" s="53"/>
      <c r="N9" s="54"/>
    </row>
    <row r="10" spans="1:15" ht="25.25" customHeight="1" thickBot="1" x14ac:dyDescent="0.5">
      <c r="B10" s="671" t="s">
        <v>0</v>
      </c>
      <c r="C10" s="672"/>
      <c r="D10" s="673"/>
      <c r="E10" s="126"/>
      <c r="F10" s="126"/>
      <c r="G10" s="540">
        <f>(Chad!P9+Car!P9)/2</f>
        <v>0.21010742592384751</v>
      </c>
      <c r="J10" s="127"/>
      <c r="K10" s="128"/>
      <c r="L10" s="128"/>
      <c r="M10" s="128"/>
      <c r="N10" s="129"/>
    </row>
    <row r="11" spans="1:15" s="96" customFormat="1" ht="25.25" customHeight="1" thickBot="1" x14ac:dyDescent="0.5">
      <c r="B11" s="597" t="s">
        <v>1</v>
      </c>
      <c r="C11" s="583"/>
      <c r="D11" s="583"/>
      <c r="E11" s="306"/>
      <c r="F11" s="130"/>
      <c r="G11" s="540">
        <f>(Chad!P10+Car!P10)/2</f>
        <v>0.54834277549592803</v>
      </c>
      <c r="I11" s="131"/>
      <c r="J11" s="132"/>
      <c r="K11" s="133"/>
      <c r="L11" s="133"/>
      <c r="M11" s="133"/>
      <c r="N11" s="134"/>
      <c r="O11" s="131"/>
    </row>
    <row r="12" spans="1:15" ht="27.6" customHeight="1" thickBot="1" x14ac:dyDescent="0.5">
      <c r="A12" s="574">
        <v>1</v>
      </c>
      <c r="B12" s="658" t="s">
        <v>4</v>
      </c>
      <c r="C12" s="311" t="s">
        <v>111</v>
      </c>
      <c r="D12" s="59" t="s">
        <v>5</v>
      </c>
      <c r="E12" s="307" t="s">
        <v>97</v>
      </c>
      <c r="F12" s="545">
        <f>(Chad!M11+Car!M11)/2</f>
        <v>0.65449010654490225</v>
      </c>
      <c r="G12" s="679">
        <f>(Chad!P11+Car!P11)/2</f>
        <v>0.50000728000116479</v>
      </c>
      <c r="J12" s="31" t="s">
        <v>109</v>
      </c>
      <c r="K12" s="32" t="e">
        <f>#REF!</f>
        <v>#REF!</v>
      </c>
      <c r="L12" s="33"/>
      <c r="M12" s="33"/>
      <c r="N12" s="34"/>
    </row>
    <row r="13" spans="1:15" ht="27" customHeight="1" thickBot="1" x14ac:dyDescent="0.5">
      <c r="A13" s="574"/>
      <c r="B13" s="659"/>
      <c r="C13" s="312" t="s">
        <v>112</v>
      </c>
      <c r="D13" s="61" t="s">
        <v>281</v>
      </c>
      <c r="E13" s="302" t="s">
        <v>98</v>
      </c>
      <c r="F13" s="545">
        <f>(Chad!M12+Car!M12)/2</f>
        <v>-0.14925373134328351</v>
      </c>
      <c r="G13" s="680"/>
      <c r="J13" s="35">
        <v>0.02</v>
      </c>
      <c r="K13" s="36" t="e">
        <f>(K12-(K12*J13))</f>
        <v>#REF!</v>
      </c>
      <c r="L13" s="36" t="e">
        <f>K12-(J13*K12)</f>
        <v>#REF!</v>
      </c>
      <c r="M13" s="33"/>
      <c r="N13" s="34"/>
    </row>
    <row r="14" spans="1:15" ht="32.450000000000003" customHeight="1" thickBot="1" x14ac:dyDescent="0.5">
      <c r="A14" s="574">
        <v>2</v>
      </c>
      <c r="B14" s="662" t="s">
        <v>6</v>
      </c>
      <c r="C14" s="315" t="s">
        <v>273</v>
      </c>
      <c r="D14" s="314" t="s">
        <v>7</v>
      </c>
      <c r="E14" s="303" t="s">
        <v>99</v>
      </c>
      <c r="F14" s="545">
        <f>(Chad!M13+Car!M13)/2</f>
        <v>6.3291139240506292E-2</v>
      </c>
      <c r="G14" s="679">
        <f>(Chad!P13+Car!P13)/2</f>
        <v>0.14502104648661937</v>
      </c>
      <c r="J14" s="35">
        <v>0.02</v>
      </c>
      <c r="K14" s="36" t="e">
        <f>(#REF!-(#REF!*J14))</f>
        <v>#REF!</v>
      </c>
      <c r="L14" s="36" t="e">
        <f>(K12-(J13*K12))-((K12-(J13*K12))*0.02)-(((K12-(J13*K12))-((K12-(J13*K12))*0.02))*0.02)-(((K12-(J13*K12))-((K12-(J13*K12))*0.02)-(((K12-(J13*K12))-((K12-(J13*K12))*0.02))*0.02))*0.02)</f>
        <v>#REF!</v>
      </c>
      <c r="M14" s="37" t="e">
        <f>(K12-K15)/K12</f>
        <v>#REF!</v>
      </c>
      <c r="N14" s="34"/>
    </row>
    <row r="15" spans="1:15" ht="33" customHeight="1" thickBot="1" x14ac:dyDescent="0.5">
      <c r="A15" s="574"/>
      <c r="B15" s="663"/>
      <c r="C15" s="315" t="s">
        <v>274</v>
      </c>
      <c r="D15" s="314" t="s">
        <v>8</v>
      </c>
      <c r="E15" s="304" t="s">
        <v>100</v>
      </c>
      <c r="F15" s="545">
        <f>(Chad!M14+Car!M14)/2</f>
        <v>-0.1705320002117936</v>
      </c>
      <c r="G15" s="680"/>
      <c r="J15" s="38">
        <v>0.02</v>
      </c>
      <c r="K15" s="39" t="e">
        <f>(#REF!-(#REF!*J15))</f>
        <v>#REF!</v>
      </c>
      <c r="L15" s="39" t="e">
        <f>(K12-(J13*K12))-((K12-(J13*K12))*0.02)-(((K12-(J13*K12))-((K12-(J13*K12))*0.02))*0.02)-(((K12-(J13*K12))-((K12-(J13*K12))*0.02)-(((K12-(J13*K12))-((K12-(J13*K12))*0.02))*0.02))*0.02)-(((K12-(J13*K12))-((K12-(J13*K12))*0.02)-(((K12-(J13*K12))-((K12-(J13*K12))*0.02))*0.02)-(((K12-(J13*K12))-((K12-(J13*K12))*0.02)-(((K12-(J13*K12))-((K12-(J13*K13))*0.02))*0.02))*0.02))*0.02)-(((K12-(J13*K12))-((K12-(J13*K12))*0.02)-(((K12-(J13*K12))-((K12-(J13*K12))*0.02))*0.02)-(((K12-(J13*K12))-((K12-(J13*K12))*0.02)-(((K12-(J13*K12))-((K12-(J13*K12))*0.02))*0.02))*0.02)-(((K12-(J13*K12))-((K12-(J13*K12))*0.02)-(((K12-(J13*K12))-((K12-(J13*K12))*0.02))*0.02)-(((K12-(J13*K12))-((K12-(J13*K12))*0.02)-(((K12-(J13*K12))-((K12-(J13*K12))*0.02))*0.02))*0.02))*0.02))*0.02)</f>
        <v>#REF!</v>
      </c>
      <c r="M15" s="40" t="e">
        <f>K12-L15</f>
        <v>#REF!</v>
      </c>
      <c r="N15" s="41"/>
    </row>
    <row r="16" spans="1:15" ht="22.25" customHeight="1" thickBot="1" x14ac:dyDescent="0.5">
      <c r="A16" s="574">
        <v>3</v>
      </c>
      <c r="B16" s="653" t="s">
        <v>9</v>
      </c>
      <c r="C16" s="656" t="s">
        <v>113</v>
      </c>
      <c r="D16" s="314" t="s">
        <v>221</v>
      </c>
      <c r="E16" s="308" t="s">
        <v>101</v>
      </c>
      <c r="F16" s="545">
        <f>(Chad!M15+Car!M15)/2</f>
        <v>0.97222222222222221</v>
      </c>
      <c r="G16" s="681">
        <f>(Chad!P15+Car!P15)/2</f>
        <v>1</v>
      </c>
    </row>
    <row r="17" spans="1:9" ht="29.65" customHeight="1" thickBot="1" x14ac:dyDescent="0.5">
      <c r="A17" s="574"/>
      <c r="B17" s="654"/>
      <c r="C17" s="656"/>
      <c r="D17" s="314" t="s">
        <v>220</v>
      </c>
      <c r="E17" s="309" t="s">
        <v>95</v>
      </c>
      <c r="F17" s="545">
        <f>(Chad!M16+Car!M16)/2</f>
        <v>1.6666666666666665</v>
      </c>
      <c r="G17" s="682"/>
    </row>
    <row r="18" spans="1:9" ht="25.25" customHeight="1" thickBot="1" x14ac:dyDescent="0.5">
      <c r="A18" s="574"/>
      <c r="B18" s="655"/>
      <c r="C18" s="657"/>
      <c r="D18" s="316" t="s">
        <v>10</v>
      </c>
      <c r="E18" s="310" t="s">
        <v>162</v>
      </c>
      <c r="F18" s="545">
        <f>(Chad!M17+Car!M17)/2</f>
        <v>2.2476190476190476</v>
      </c>
      <c r="G18" s="683"/>
    </row>
    <row r="19" spans="1:9" ht="26.25" customHeight="1" thickBot="1" x14ac:dyDescent="0.7">
      <c r="A19" s="14"/>
      <c r="B19" s="597" t="s">
        <v>11</v>
      </c>
      <c r="C19" s="650"/>
      <c r="D19" s="651"/>
      <c r="E19" s="44"/>
      <c r="F19" s="546"/>
      <c r="G19" s="540">
        <f>(Chad!P18+Car!P18)/2</f>
        <v>5.6227132467335787E-2</v>
      </c>
    </row>
    <row r="20" spans="1:9" ht="34.25" customHeight="1" thickBot="1" x14ac:dyDescent="0.5">
      <c r="A20" s="574">
        <v>4</v>
      </c>
      <c r="B20" s="627" t="s">
        <v>12</v>
      </c>
      <c r="C20" s="58" t="s">
        <v>114</v>
      </c>
      <c r="D20" s="59" t="s">
        <v>222</v>
      </c>
      <c r="E20" s="230" t="s">
        <v>163</v>
      </c>
      <c r="F20" s="545">
        <f>(Chad!M19+Car!M19)/2</f>
        <v>0.55555555555555558</v>
      </c>
      <c r="G20" s="676">
        <f>(Chad!P19+Car!P19)/2</f>
        <v>5.6227132467335787E-2</v>
      </c>
    </row>
    <row r="21" spans="1:9" ht="39" customHeight="1" thickBot="1" x14ac:dyDescent="0.5">
      <c r="A21" s="574"/>
      <c r="B21" s="628"/>
      <c r="C21" s="296" t="s">
        <v>152</v>
      </c>
      <c r="D21" s="61" t="s">
        <v>265</v>
      </c>
      <c r="E21" s="231" t="s">
        <v>164</v>
      </c>
      <c r="F21" s="545">
        <f>(Chad!M20+Car!M20)/2</f>
        <v>-0.40322580645161293</v>
      </c>
      <c r="G21" s="677"/>
    </row>
    <row r="22" spans="1:9" ht="56.45" customHeight="1" thickBot="1" x14ac:dyDescent="0.5">
      <c r="A22" s="574"/>
      <c r="B22" s="628"/>
      <c r="C22" s="296" t="s">
        <v>153</v>
      </c>
      <c r="D22" s="61" t="s">
        <v>155</v>
      </c>
      <c r="E22" s="231" t="s">
        <v>165</v>
      </c>
      <c r="F22" s="545">
        <f>(Chad!M21+Car!M21)/2</f>
        <v>0</v>
      </c>
      <c r="G22" s="677"/>
    </row>
    <row r="23" spans="1:9" ht="36.6" customHeight="1" thickBot="1" x14ac:dyDescent="0.5">
      <c r="A23" s="574"/>
      <c r="B23" s="629"/>
      <c r="C23" s="64" t="s">
        <v>154</v>
      </c>
      <c r="D23" s="86" t="s">
        <v>156</v>
      </c>
      <c r="E23" s="232" t="s">
        <v>95</v>
      </c>
      <c r="F23" s="545">
        <f>(Chad!M22+Car!M22)/2</f>
        <v>7.2578780765400489E-2</v>
      </c>
      <c r="G23" s="678"/>
    </row>
    <row r="24" spans="1:9" ht="20.45" customHeight="1" thickBot="1" x14ac:dyDescent="0.5">
      <c r="B24" s="597" t="s">
        <v>13</v>
      </c>
      <c r="C24" s="598"/>
      <c r="D24" s="599"/>
      <c r="E24" s="44"/>
      <c r="F24" s="546"/>
      <c r="G24" s="540">
        <f>(Chad!P23+Car!P23)/2</f>
        <v>0.16946633604649203</v>
      </c>
      <c r="I24" s="319"/>
    </row>
    <row r="25" spans="1:9" ht="36" customHeight="1" thickBot="1" x14ac:dyDescent="0.5">
      <c r="A25" s="574">
        <v>5</v>
      </c>
      <c r="B25" s="585" t="s">
        <v>14</v>
      </c>
      <c r="C25" s="297" t="s">
        <v>115</v>
      </c>
      <c r="D25" s="297" t="s">
        <v>280</v>
      </c>
      <c r="E25" s="233" t="s">
        <v>166</v>
      </c>
      <c r="F25" s="545">
        <f>(Chad!M24+Car!M24)/2</f>
        <v>0.10683760683760685</v>
      </c>
      <c r="G25" s="676">
        <f>(Chad!P24+Car!P24)/2</f>
        <v>0.16946633604649203</v>
      </c>
    </row>
    <row r="26" spans="1:9" ht="19.8" customHeight="1" thickBot="1" x14ac:dyDescent="0.5">
      <c r="A26" s="574"/>
      <c r="B26" s="586"/>
      <c r="C26" s="589" t="s">
        <v>158</v>
      </c>
      <c r="D26" s="295" t="s">
        <v>15</v>
      </c>
      <c r="E26" s="234" t="s">
        <v>167</v>
      </c>
      <c r="F26" s="545">
        <f>(Chad!M25+Car!M25)/2</f>
        <v>0</v>
      </c>
      <c r="G26" s="677"/>
    </row>
    <row r="27" spans="1:9" ht="19.8" customHeight="1" thickBot="1" x14ac:dyDescent="0.5">
      <c r="A27" s="574"/>
      <c r="B27" s="586"/>
      <c r="C27" s="647"/>
      <c r="D27" s="295" t="s">
        <v>16</v>
      </c>
      <c r="E27" s="234" t="s">
        <v>168</v>
      </c>
      <c r="F27" s="545">
        <f>(Chad!M26+Car!M26)/2</f>
        <v>-7.6168787954413092E-2</v>
      </c>
      <c r="G27" s="677"/>
    </row>
    <row r="28" spans="1:9" ht="19.8" customHeight="1" thickBot="1" x14ac:dyDescent="0.5">
      <c r="A28" s="574"/>
      <c r="B28" s="586"/>
      <c r="C28" s="647"/>
      <c r="D28" s="295" t="s">
        <v>17</v>
      </c>
      <c r="E28" s="234" t="s">
        <v>169</v>
      </c>
      <c r="F28" s="545">
        <f>(Chad!M27+Car!M27)/2</f>
        <v>0.37243947858473003</v>
      </c>
      <c r="G28" s="677"/>
    </row>
    <row r="29" spans="1:9" ht="30.6" customHeight="1" thickBot="1" x14ac:dyDescent="0.5">
      <c r="A29" s="294"/>
      <c r="B29" s="586"/>
      <c r="C29" s="648" t="s">
        <v>116</v>
      </c>
      <c r="D29" s="295" t="s">
        <v>148</v>
      </c>
      <c r="E29" s="234" t="s">
        <v>170</v>
      </c>
      <c r="F29" s="545">
        <f>(Chad!M28+Car!M28)/2</f>
        <v>0.55555555555555558</v>
      </c>
      <c r="G29" s="684"/>
    </row>
    <row r="30" spans="1:9" ht="20.45" customHeight="1" thickBot="1" x14ac:dyDescent="0.5">
      <c r="A30" s="294"/>
      <c r="B30" s="586"/>
      <c r="C30" s="649"/>
      <c r="D30" s="295" t="s">
        <v>149</v>
      </c>
      <c r="E30" s="234" t="s">
        <v>171</v>
      </c>
      <c r="F30" s="545">
        <f>(Chad!M29+Car!M29)/2</f>
        <v>-0.17543859649122825</v>
      </c>
      <c r="G30" s="684"/>
    </row>
    <row r="31" spans="1:9" ht="20.45" customHeight="1" thickBot="1" x14ac:dyDescent="0.5">
      <c r="A31" s="294"/>
      <c r="B31" s="643"/>
      <c r="C31" s="649"/>
      <c r="D31" s="296" t="s">
        <v>150</v>
      </c>
      <c r="E31" s="234" t="s">
        <v>172</v>
      </c>
      <c r="F31" s="545">
        <f>(Chad!M30+Car!M30)/2</f>
        <v>0.65238095238095239</v>
      </c>
      <c r="G31" s="684"/>
    </row>
    <row r="32" spans="1:9" ht="23.65" thickBot="1" x14ac:dyDescent="0.5">
      <c r="A32" s="294"/>
      <c r="B32" s="644"/>
      <c r="C32" s="64" t="s">
        <v>117</v>
      </c>
      <c r="D32" s="94" t="s">
        <v>223</v>
      </c>
      <c r="E32" s="235" t="s">
        <v>95</v>
      </c>
      <c r="F32" s="545">
        <f>(Chad!M31+Car!M31)/2</f>
        <v>0.12731481481481483</v>
      </c>
      <c r="G32" s="685"/>
    </row>
    <row r="33" spans="1:7" ht="20.45" customHeight="1" thickBot="1" x14ac:dyDescent="0.5">
      <c r="B33" s="637" t="s">
        <v>18</v>
      </c>
      <c r="C33" s="638"/>
      <c r="D33" s="639"/>
      <c r="E33" s="44"/>
      <c r="F33" s="547"/>
      <c r="G33" s="540">
        <f>(Chad!P32+Car!P32)/2</f>
        <v>0.16264182902113938</v>
      </c>
    </row>
    <row r="34" spans="1:7" ht="33.6" customHeight="1" thickBot="1" x14ac:dyDescent="0.5">
      <c r="A34" s="294">
        <v>6</v>
      </c>
      <c r="B34" s="65" t="s">
        <v>19</v>
      </c>
      <c r="C34" s="66" t="s">
        <v>287</v>
      </c>
      <c r="D34" s="65" t="s">
        <v>288</v>
      </c>
      <c r="E34" s="236" t="s">
        <v>97</v>
      </c>
      <c r="F34" s="545">
        <f>(Chad!M33+Car!M33)/2</f>
        <v>-0.30000000000000004</v>
      </c>
      <c r="G34" s="540">
        <f>(Chad!P33+Car!P33)/2</f>
        <v>0.15714285714285717</v>
      </c>
    </row>
    <row r="35" spans="1:7" ht="51" customHeight="1" thickBot="1" x14ac:dyDescent="0.5">
      <c r="A35" s="294">
        <v>7</v>
      </c>
      <c r="B35" s="65" t="s">
        <v>20</v>
      </c>
      <c r="C35" s="65" t="s">
        <v>118</v>
      </c>
      <c r="D35" s="65" t="s">
        <v>21</v>
      </c>
      <c r="E35" s="236" t="s">
        <v>173</v>
      </c>
      <c r="F35" s="545">
        <f>(Chad!M34+Car!M34)/2</f>
        <v>-0.39846743295019144</v>
      </c>
      <c r="G35" s="540">
        <f>(Chad!P34+Car!P34)/2</f>
        <v>0.26819923371647519</v>
      </c>
    </row>
    <row r="36" spans="1:7" ht="40.799999999999997" customHeight="1" thickBot="1" x14ac:dyDescent="0.5">
      <c r="A36" s="294">
        <v>8</v>
      </c>
      <c r="B36" s="65" t="s">
        <v>22</v>
      </c>
      <c r="C36" s="65" t="s">
        <v>119</v>
      </c>
      <c r="D36" s="65" t="s">
        <v>23</v>
      </c>
      <c r="E36" s="236" t="s">
        <v>174</v>
      </c>
      <c r="F36" s="545">
        <f>(Chad!M35+Car!M35)/2</f>
        <v>0</v>
      </c>
      <c r="G36" s="540">
        <f>(Chad!P35+Car!P35)/2</f>
        <v>0</v>
      </c>
    </row>
    <row r="37" spans="1:7" ht="32.450000000000003" customHeight="1" thickBot="1" x14ac:dyDescent="0.5">
      <c r="A37" s="294">
        <v>9</v>
      </c>
      <c r="B37" s="65" t="s">
        <v>24</v>
      </c>
      <c r="C37" s="65" t="s">
        <v>275</v>
      </c>
      <c r="D37" s="67" t="s">
        <v>25</v>
      </c>
      <c r="E37" s="237" t="s">
        <v>175</v>
      </c>
      <c r="F37" s="545">
        <f>(Chad!M36+Car!M36)/2</f>
        <v>0.2252252252252252</v>
      </c>
      <c r="G37" s="540">
        <f>(Chad!P36+Car!P36)/2</f>
        <v>0.2252252252252252</v>
      </c>
    </row>
    <row r="38" spans="1:7" ht="30.6" customHeight="1" thickBot="1" x14ac:dyDescent="0.5">
      <c r="B38" s="640" t="s">
        <v>26</v>
      </c>
      <c r="C38" s="641"/>
      <c r="D38" s="642"/>
      <c r="E38" s="45"/>
      <c r="F38" s="548"/>
      <c r="G38" s="540">
        <f>(Chad!P37+Car!P37)/2</f>
        <v>0</v>
      </c>
    </row>
    <row r="39" spans="1:7" ht="25.8" customHeight="1" thickBot="1" x14ac:dyDescent="0.5">
      <c r="A39" s="574">
        <v>10</v>
      </c>
      <c r="B39" s="627" t="s">
        <v>27</v>
      </c>
      <c r="C39" s="89" t="s">
        <v>120</v>
      </c>
      <c r="D39" s="90" t="s">
        <v>224</v>
      </c>
      <c r="E39" s="238" t="s">
        <v>176</v>
      </c>
      <c r="F39" s="545">
        <f>(Chad!M38+Car!M38)/2</f>
        <v>0</v>
      </c>
      <c r="G39" s="679">
        <f>(Chad!P38+Car!P38)/2</f>
        <v>0</v>
      </c>
    </row>
    <row r="40" spans="1:7" ht="35.25" thickBot="1" x14ac:dyDescent="0.5">
      <c r="A40" s="574"/>
      <c r="B40" s="629"/>
      <c r="C40" s="85" t="s">
        <v>157</v>
      </c>
      <c r="D40" s="264" t="s">
        <v>225</v>
      </c>
      <c r="E40" s="244" t="s">
        <v>95</v>
      </c>
      <c r="F40" s="545">
        <f>(Chad!M39+Car!M39)/2</f>
        <v>0</v>
      </c>
      <c r="G40" s="680"/>
    </row>
    <row r="41" spans="1:7" ht="20.45" customHeight="1" thickBot="1" x14ac:dyDescent="0.5">
      <c r="B41" s="622" t="s">
        <v>28</v>
      </c>
      <c r="C41" s="623"/>
      <c r="D41" s="624"/>
      <c r="E41" s="46"/>
      <c r="F41" s="549"/>
      <c r="G41" s="540">
        <f>(Chad!P40+Car!P40)/2</f>
        <v>0</v>
      </c>
    </row>
    <row r="42" spans="1:7" ht="35.25" thickBot="1" x14ac:dyDescent="0.5">
      <c r="A42" s="574">
        <v>11</v>
      </c>
      <c r="B42" s="588" t="s">
        <v>29</v>
      </c>
      <c r="C42" s="300" t="s">
        <v>121</v>
      </c>
      <c r="D42" s="297" t="s">
        <v>30</v>
      </c>
      <c r="E42" s="265" t="s">
        <v>177</v>
      </c>
      <c r="F42" s="545">
        <f>(Chad!M41+Car!M41)/2</f>
        <v>0</v>
      </c>
      <c r="G42" s="679">
        <f>(Chad!P41+Car!P41)/2</f>
        <v>0</v>
      </c>
    </row>
    <row r="43" spans="1:7" ht="35.25" thickBot="1" x14ac:dyDescent="0.5">
      <c r="A43" s="574"/>
      <c r="B43" s="590"/>
      <c r="C43" s="301" t="s">
        <v>122</v>
      </c>
      <c r="D43" s="298" t="s">
        <v>31</v>
      </c>
      <c r="E43" s="266" t="s">
        <v>95</v>
      </c>
      <c r="F43" s="545">
        <f>(Chad!M42+Car!M42)/2</f>
        <v>0</v>
      </c>
      <c r="G43" s="680"/>
    </row>
    <row r="44" spans="1:7" ht="30.6" customHeight="1" thickBot="1" x14ac:dyDescent="0.5">
      <c r="B44" s="597" t="s">
        <v>32</v>
      </c>
      <c r="C44" s="598"/>
      <c r="D44" s="599"/>
      <c r="E44" s="44"/>
      <c r="F44" s="547"/>
      <c r="G44" s="540">
        <f>(Chad!P43+Car!P43)/2</f>
        <v>0</v>
      </c>
    </row>
    <row r="45" spans="1:7" ht="37.799999999999997" customHeight="1" thickBot="1" x14ac:dyDescent="0.5">
      <c r="A45" s="574">
        <v>12</v>
      </c>
      <c r="B45" s="588" t="s">
        <v>33</v>
      </c>
      <c r="C45" s="297" t="s">
        <v>123</v>
      </c>
      <c r="D45" s="297" t="s">
        <v>34</v>
      </c>
      <c r="E45" s="228" t="s">
        <v>178</v>
      </c>
      <c r="F45" s="540">
        <v>0</v>
      </c>
      <c r="G45" s="679">
        <f>(Chad!P44+Car!P44)/2</f>
        <v>0</v>
      </c>
    </row>
    <row r="46" spans="1:7" ht="35.25" thickBot="1" x14ac:dyDescent="0.5">
      <c r="A46" s="574"/>
      <c r="B46" s="590"/>
      <c r="C46" s="298" t="s">
        <v>124</v>
      </c>
      <c r="D46" s="298" t="s">
        <v>35</v>
      </c>
      <c r="E46" s="229" t="s">
        <v>179</v>
      </c>
      <c r="F46" s="545">
        <f>(Chad!M45+Car!M45)/2</f>
        <v>0</v>
      </c>
      <c r="G46" s="680"/>
    </row>
    <row r="47" spans="1:7" ht="30.6" customHeight="1" thickBot="1" x14ac:dyDescent="0.5">
      <c r="B47" s="616" t="s">
        <v>36</v>
      </c>
      <c r="C47" s="617"/>
      <c r="D47" s="618"/>
      <c r="E47" s="47"/>
      <c r="F47" s="550"/>
      <c r="G47" s="540">
        <f>(Chad!P46+Car!P46)/2</f>
        <v>0.35018025196332658</v>
      </c>
    </row>
    <row r="48" spans="1:7" ht="20.45" customHeight="1" thickBot="1" x14ac:dyDescent="0.5">
      <c r="B48" s="582" t="s">
        <v>37</v>
      </c>
      <c r="C48" s="583"/>
      <c r="D48" s="584"/>
      <c r="E48" s="63"/>
      <c r="F48" s="551"/>
      <c r="G48" s="540">
        <f>(Chad!P47+Car!P47)/2</f>
        <v>0</v>
      </c>
    </row>
    <row r="49" spans="1:7" ht="37.799999999999997" customHeight="1" thickBot="1" x14ac:dyDescent="0.5">
      <c r="A49" s="574">
        <v>13</v>
      </c>
      <c r="B49" s="588" t="s">
        <v>38</v>
      </c>
      <c r="C49" s="297" t="s">
        <v>125</v>
      </c>
      <c r="D49" s="70" t="s">
        <v>289</v>
      </c>
      <c r="E49" s="233" t="s">
        <v>95</v>
      </c>
      <c r="F49" s="545">
        <f>(Chad!M48+Car!M48)/2</f>
        <v>0</v>
      </c>
      <c r="G49" s="679">
        <f>(Chad!P48+Car!P48)/2</f>
        <v>0</v>
      </c>
    </row>
    <row r="50" spans="1:7" ht="30.6" customHeight="1" thickBot="1" x14ac:dyDescent="0.5">
      <c r="A50" s="574"/>
      <c r="B50" s="590"/>
      <c r="C50" s="298" t="s">
        <v>126</v>
      </c>
      <c r="D50" s="298" t="s">
        <v>290</v>
      </c>
      <c r="E50" s="235" t="s">
        <v>95</v>
      </c>
      <c r="F50" s="545">
        <f>(Chad!M49+Car!M49)/2</f>
        <v>0</v>
      </c>
      <c r="G50" s="680"/>
    </row>
    <row r="51" spans="1:7" ht="23.65" customHeight="1" thickBot="1" x14ac:dyDescent="0.5">
      <c r="B51" s="597" t="s">
        <v>39</v>
      </c>
      <c r="C51" s="598"/>
      <c r="D51" s="599"/>
      <c r="E51" s="48"/>
      <c r="F51" s="552"/>
      <c r="G51" s="540">
        <f>(Chad!P50+Car!P50)/2</f>
        <v>0.91666666666666674</v>
      </c>
    </row>
    <row r="52" spans="1:7" ht="30.6" customHeight="1" thickBot="1" x14ac:dyDescent="0.5">
      <c r="A52" s="21">
        <v>14</v>
      </c>
      <c r="B52" s="226" t="s">
        <v>226</v>
      </c>
      <c r="C52" s="227" t="s">
        <v>272</v>
      </c>
      <c r="D52" s="91" t="s">
        <v>266</v>
      </c>
      <c r="E52" s="240" t="s">
        <v>95</v>
      </c>
      <c r="F52" s="545">
        <f>(Chad!M51+Car!M51)/2</f>
        <v>1.25</v>
      </c>
      <c r="G52" s="540">
        <f>(Chad!P51+Car!P51)/2</f>
        <v>0.91666666666666674</v>
      </c>
    </row>
    <row r="53" spans="1:7" ht="27.75" customHeight="1" thickBot="1" x14ac:dyDescent="0.5">
      <c r="B53" s="597" t="s">
        <v>40</v>
      </c>
      <c r="C53" s="598"/>
      <c r="D53" s="599"/>
      <c r="E53" s="43"/>
      <c r="F53" s="553"/>
      <c r="G53" s="540">
        <f>(Chad!P52+Car!P52)/2</f>
        <v>0.13387408922331281</v>
      </c>
    </row>
    <row r="54" spans="1:7" ht="43.8" customHeight="1" thickBot="1" x14ac:dyDescent="0.5">
      <c r="A54" s="574">
        <v>15</v>
      </c>
      <c r="B54" s="627" t="s">
        <v>108</v>
      </c>
      <c r="C54" s="71" t="s">
        <v>127</v>
      </c>
      <c r="D54" s="72" t="s">
        <v>41</v>
      </c>
      <c r="E54" s="241" t="s">
        <v>95</v>
      </c>
      <c r="F54" s="545">
        <f>(Chad!M53+Car!M53)/2</f>
        <v>0.55000000000000004</v>
      </c>
      <c r="G54" s="630">
        <f>(Chad!P53+Car!P53)/2</f>
        <v>0.13387408922331281</v>
      </c>
    </row>
    <row r="55" spans="1:7" ht="35.450000000000003" customHeight="1" thickBot="1" x14ac:dyDescent="0.5">
      <c r="A55" s="574"/>
      <c r="B55" s="628"/>
      <c r="C55" s="93" t="s">
        <v>128</v>
      </c>
      <c r="D55" s="73" t="s">
        <v>42</v>
      </c>
      <c r="E55" s="242" t="s">
        <v>95</v>
      </c>
      <c r="F55" s="545">
        <f>(Chad!M54+Car!M54)/2</f>
        <v>0</v>
      </c>
      <c r="G55" s="631"/>
    </row>
    <row r="56" spans="1:7" ht="34.25" customHeight="1" thickBot="1" x14ac:dyDescent="0.5">
      <c r="A56" s="574"/>
      <c r="B56" s="628"/>
      <c r="C56" s="93" t="s">
        <v>129</v>
      </c>
      <c r="D56" s="73" t="s">
        <v>43</v>
      </c>
      <c r="E56" s="242" t="s">
        <v>95</v>
      </c>
      <c r="F56" s="545">
        <f>(Chad!M55+Car!M55)/2</f>
        <v>-8.8652482269503553E-3</v>
      </c>
      <c r="G56" s="631"/>
    </row>
    <row r="57" spans="1:7" ht="37.25" customHeight="1" thickBot="1" x14ac:dyDescent="0.5">
      <c r="A57" s="574"/>
      <c r="B57" s="628"/>
      <c r="C57" s="93" t="s">
        <v>130</v>
      </c>
      <c r="D57" s="73" t="s">
        <v>44</v>
      </c>
      <c r="E57" s="242" t="s">
        <v>101</v>
      </c>
      <c r="F57" s="545">
        <f>(Chad!M56+Car!M56)/2</f>
        <v>4.6855486010181059E-2</v>
      </c>
      <c r="G57" s="631"/>
    </row>
    <row r="58" spans="1:7" ht="22.8" customHeight="1" thickBot="1" x14ac:dyDescent="0.5">
      <c r="A58" s="574"/>
      <c r="B58" s="628"/>
      <c r="C58" s="633" t="s">
        <v>131</v>
      </c>
      <c r="D58" s="73" t="s">
        <v>45</v>
      </c>
      <c r="E58" s="242" t="s">
        <v>180</v>
      </c>
      <c r="F58" s="545">
        <f>(Chad!M57+Car!M57)/2</f>
        <v>0.16276041666666669</v>
      </c>
      <c r="G58" s="631"/>
    </row>
    <row r="59" spans="1:7" ht="21.4" customHeight="1" thickBot="1" x14ac:dyDescent="0.5">
      <c r="A59" s="574"/>
      <c r="B59" s="629"/>
      <c r="C59" s="634"/>
      <c r="D59" s="56" t="s">
        <v>46</v>
      </c>
      <c r="E59" s="243" t="s">
        <v>95</v>
      </c>
      <c r="F59" s="545">
        <f>(Chad!M58+Car!M58)/2</f>
        <v>0</v>
      </c>
      <c r="G59" s="632"/>
    </row>
    <row r="60" spans="1:7" ht="23.45" customHeight="1" thickBot="1" x14ac:dyDescent="0.5">
      <c r="B60" s="616" t="s">
        <v>47</v>
      </c>
      <c r="C60" s="617"/>
      <c r="D60" s="618"/>
      <c r="E60" s="299"/>
      <c r="F60" s="554"/>
      <c r="G60" s="540">
        <f>(Chad!P59+Car!P59)/2</f>
        <v>0.16624784277006682</v>
      </c>
    </row>
    <row r="61" spans="1:7" ht="22.25" customHeight="1" thickBot="1" x14ac:dyDescent="0.5">
      <c r="B61" s="597" t="s">
        <v>48</v>
      </c>
      <c r="C61" s="598"/>
      <c r="D61" s="599"/>
      <c r="E61" s="42"/>
      <c r="F61" s="546"/>
      <c r="G61" s="540">
        <f>(Chad!P60+Car!P60)/2</f>
        <v>0.26695261437908502</v>
      </c>
    </row>
    <row r="62" spans="1:7" ht="39" customHeight="1" thickBot="1" x14ac:dyDescent="0.5">
      <c r="A62" s="574">
        <v>16</v>
      </c>
      <c r="B62" s="585" t="s">
        <v>49</v>
      </c>
      <c r="C62" s="297" t="s">
        <v>133</v>
      </c>
      <c r="D62" s="297" t="s">
        <v>50</v>
      </c>
      <c r="E62" s="238" t="s">
        <v>181</v>
      </c>
      <c r="F62" s="545">
        <f>(Chad!M61+Car!M61)/2</f>
        <v>0</v>
      </c>
      <c r="G62" s="630">
        <f>(Chad!P61+Car!P61)/2</f>
        <v>0.26695261437908502</v>
      </c>
    </row>
    <row r="63" spans="1:7" ht="58.25" customHeight="1" thickBot="1" x14ac:dyDescent="0.5">
      <c r="A63" s="574"/>
      <c r="B63" s="586"/>
      <c r="C63" s="295" t="s">
        <v>134</v>
      </c>
      <c r="D63" s="93" t="s">
        <v>276</v>
      </c>
      <c r="E63" s="239" t="s">
        <v>182</v>
      </c>
      <c r="F63" s="545">
        <f>(Chad!M62+Car!M62)/2</f>
        <v>1.2254901960784315E-2</v>
      </c>
      <c r="G63" s="631"/>
    </row>
    <row r="64" spans="1:7" ht="26.45" customHeight="1" thickBot="1" x14ac:dyDescent="0.5">
      <c r="A64" s="574"/>
      <c r="B64" s="586"/>
      <c r="C64" s="295" t="s">
        <v>135</v>
      </c>
      <c r="D64" s="295" t="s">
        <v>51</v>
      </c>
      <c r="E64" s="239" t="s">
        <v>95</v>
      </c>
      <c r="F64" s="545">
        <f>(Chad!M63+Car!M63)/2</f>
        <v>0</v>
      </c>
      <c r="G64" s="631"/>
    </row>
    <row r="65" spans="1:9" ht="24" customHeight="1" thickBot="1" x14ac:dyDescent="0.5">
      <c r="A65" s="574"/>
      <c r="B65" s="586"/>
      <c r="C65" s="589" t="s">
        <v>136</v>
      </c>
      <c r="D65" s="74" t="s">
        <v>52</v>
      </c>
      <c r="E65" s="239" t="s">
        <v>95</v>
      </c>
      <c r="F65" s="545">
        <f>(Chad!M64+Car!M64)/2</f>
        <v>1</v>
      </c>
      <c r="G65" s="631"/>
    </row>
    <row r="66" spans="1:9" ht="22.5" customHeight="1" thickBot="1" x14ac:dyDescent="0.5">
      <c r="A66" s="574"/>
      <c r="B66" s="586"/>
      <c r="C66" s="589"/>
      <c r="D66" s="74" t="s">
        <v>53</v>
      </c>
      <c r="E66" s="239" t="s">
        <v>95</v>
      </c>
      <c r="F66" s="545">
        <f>(Chad!M65+Car!M65)/2</f>
        <v>1.3333333333333335</v>
      </c>
      <c r="G66" s="631"/>
    </row>
    <row r="67" spans="1:9" ht="27.6" customHeight="1" thickBot="1" x14ac:dyDescent="0.5">
      <c r="A67" s="574"/>
      <c r="B67" s="587"/>
      <c r="C67" s="590"/>
      <c r="D67" s="75" t="s">
        <v>54</v>
      </c>
      <c r="E67" s="244" t="s">
        <v>95</v>
      </c>
      <c r="F67" s="545">
        <f>(Chad!M66+Car!M66)/2</f>
        <v>0.83333333333333337</v>
      </c>
      <c r="G67" s="632"/>
    </row>
    <row r="68" spans="1:9" ht="27" customHeight="1" thickBot="1" x14ac:dyDescent="0.5">
      <c r="B68" s="582" t="s">
        <v>55</v>
      </c>
      <c r="C68" s="583"/>
      <c r="D68" s="584"/>
      <c r="E68" s="55"/>
      <c r="F68" s="555"/>
      <c r="G68" s="540">
        <f>(Chad!P67+Car!P67)/2</f>
        <v>6.5543071161048697E-2</v>
      </c>
    </row>
    <row r="69" spans="1:9" ht="70.150000000000006" thickBot="1" x14ac:dyDescent="0.5">
      <c r="A69" s="22">
        <v>17</v>
      </c>
      <c r="B69" s="76" t="s">
        <v>56</v>
      </c>
      <c r="C69" s="76" t="s">
        <v>137</v>
      </c>
      <c r="D69" s="76" t="s">
        <v>57</v>
      </c>
      <c r="E69" s="92" t="s">
        <v>132</v>
      </c>
      <c r="F69" s="545">
        <f>(Chad!M68+Car!M68)/2</f>
        <v>6.5543071161048697E-2</v>
      </c>
      <c r="G69" s="540">
        <f>(Chad!P68+Car!P68)/2</f>
        <v>6.5543071161048697E-2</v>
      </c>
    </row>
    <row r="70" spans="1:9" ht="22.25" customHeight="1" thickBot="1" x14ac:dyDescent="0.5">
      <c r="B70" s="619" t="s">
        <v>58</v>
      </c>
      <c r="C70" s="620"/>
      <c r="D70" s="621"/>
      <c r="E70" s="49"/>
      <c r="F70" s="556"/>
      <c r="G70" s="540">
        <f>(Chad!P69+Car!P69)/2</f>
        <v>0.33333333333333337</v>
      </c>
    </row>
    <row r="71" spans="1:9" ht="20.45" customHeight="1" thickBot="1" x14ac:dyDescent="0.5">
      <c r="B71" s="597" t="s">
        <v>59</v>
      </c>
      <c r="C71" s="598"/>
      <c r="D71" s="599"/>
      <c r="E71" s="43"/>
      <c r="F71" s="553"/>
      <c r="G71" s="540">
        <f>(Chad!P70+Car!P70)/2</f>
        <v>0.5</v>
      </c>
    </row>
    <row r="72" spans="1:9" ht="52.25" customHeight="1" thickBot="1" x14ac:dyDescent="0.5">
      <c r="A72" s="22">
        <v>18</v>
      </c>
      <c r="B72" s="77" t="s">
        <v>60</v>
      </c>
      <c r="C72" s="78" t="s">
        <v>138</v>
      </c>
      <c r="D72" s="124" t="s">
        <v>61</v>
      </c>
      <c r="E72" s="245" t="s">
        <v>183</v>
      </c>
      <c r="F72" s="545">
        <f>(Chad!M71+Car!M71)/2</f>
        <v>1.0714285714285714</v>
      </c>
      <c r="G72" s="540">
        <f>(Chad!P71+Car!P71)/2</f>
        <v>0.5</v>
      </c>
    </row>
    <row r="73" spans="1:9" ht="20.45" customHeight="1" thickBot="1" x14ac:dyDescent="0.5">
      <c r="B73" s="622" t="s">
        <v>277</v>
      </c>
      <c r="C73" s="623"/>
      <c r="D73" s="624"/>
      <c r="E73" s="45"/>
      <c r="F73" s="557"/>
      <c r="G73" s="540">
        <f>(Chad!P72+Car!P72)/2</f>
        <v>0</v>
      </c>
    </row>
    <row r="74" spans="1:9" ht="45" customHeight="1" thickBot="1" x14ac:dyDescent="0.5">
      <c r="A74" s="22">
        <v>19</v>
      </c>
      <c r="B74" s="79" t="s">
        <v>62</v>
      </c>
      <c r="C74" s="80" t="s">
        <v>139</v>
      </c>
      <c r="D74" s="125" t="s">
        <v>63</v>
      </c>
      <c r="E74" s="246" t="s">
        <v>95</v>
      </c>
      <c r="F74" s="545">
        <f>(Chad!M73+Car!M73)/2</f>
        <v>0</v>
      </c>
      <c r="G74" s="540">
        <f>(Chad!P73+Car!P73)/2</f>
        <v>0</v>
      </c>
    </row>
    <row r="75" spans="1:9" ht="30.6" customHeight="1" thickBot="1" x14ac:dyDescent="0.5">
      <c r="B75" s="597" t="s">
        <v>64</v>
      </c>
      <c r="C75" s="598"/>
      <c r="D75" s="599"/>
      <c r="E75" s="43"/>
      <c r="F75" s="553"/>
      <c r="G75" s="540">
        <f>(Chad!P74+Car!P74)/2</f>
        <v>0.5</v>
      </c>
      <c r="I75" s="318"/>
    </row>
    <row r="76" spans="1:9" ht="29.45" customHeight="1" thickBot="1" x14ac:dyDescent="0.5">
      <c r="A76" s="22">
        <v>20</v>
      </c>
      <c r="B76" s="79" t="s">
        <v>65</v>
      </c>
      <c r="C76" s="78" t="s">
        <v>140</v>
      </c>
      <c r="D76" s="80" t="s">
        <v>66</v>
      </c>
      <c r="E76" s="247" t="s">
        <v>95</v>
      </c>
      <c r="F76" s="545">
        <f>(Chad!M75+Car!M75)/2</f>
        <v>0.5</v>
      </c>
      <c r="G76" s="540">
        <f>(Chad!P75+Car!P75)/2</f>
        <v>0.5</v>
      </c>
      <c r="I76" s="318"/>
    </row>
    <row r="77" spans="1:9" ht="20.45" customHeight="1" thickBot="1" x14ac:dyDescent="0.5">
      <c r="B77" s="613" t="s">
        <v>67</v>
      </c>
      <c r="C77" s="614"/>
      <c r="D77" s="615"/>
      <c r="E77" s="50"/>
      <c r="F77" s="558"/>
      <c r="G77" s="540">
        <f>(Chad!P76+Car!P76)/2</f>
        <v>0.42279411764705882</v>
      </c>
    </row>
    <row r="78" spans="1:9" ht="20.45" customHeight="1" thickBot="1" x14ac:dyDescent="0.5">
      <c r="B78" s="597" t="s">
        <v>68</v>
      </c>
      <c r="C78" s="598"/>
      <c r="D78" s="599"/>
      <c r="E78" s="43"/>
      <c r="F78" s="553"/>
      <c r="G78" s="540">
        <f>(Chad!P77+Car!P77)/2</f>
        <v>0.42279411764705882</v>
      </c>
    </row>
    <row r="79" spans="1:9" ht="35.25" thickBot="1" x14ac:dyDescent="0.5">
      <c r="A79" s="22">
        <v>21</v>
      </c>
      <c r="B79" s="79" t="s">
        <v>69</v>
      </c>
      <c r="C79" s="82" t="s">
        <v>141</v>
      </c>
      <c r="D79" s="82" t="s">
        <v>70</v>
      </c>
      <c r="E79" s="248" t="s">
        <v>95</v>
      </c>
      <c r="F79" s="545">
        <f>(Chad!M78+Car!M78)/2</f>
        <v>0.42279411764705882</v>
      </c>
      <c r="G79" s="540">
        <f>(Chad!P78+Car!P78)/2</f>
        <v>0.42279411764705882</v>
      </c>
    </row>
    <row r="80" spans="1:9" ht="21.6" customHeight="1" thickBot="1" x14ac:dyDescent="0.5">
      <c r="B80" s="606" t="s">
        <v>71</v>
      </c>
      <c r="C80" s="607"/>
      <c r="D80" s="608"/>
      <c r="E80" s="50"/>
      <c r="F80" s="558"/>
      <c r="G80" s="540">
        <f>(Chad!P79+Car!P79)/2</f>
        <v>0.20980882397345227</v>
      </c>
    </row>
    <row r="81" spans="1:9" ht="20.45" customHeight="1" thickBot="1" x14ac:dyDescent="0.5">
      <c r="B81" s="582" t="s">
        <v>72</v>
      </c>
      <c r="C81" s="583"/>
      <c r="D81" s="584"/>
      <c r="E81" s="249"/>
      <c r="F81" s="559"/>
      <c r="G81" s="540">
        <f>(Chad!P80+Car!P80)/2</f>
        <v>0.26262990262684505</v>
      </c>
      <c r="I81" s="319"/>
    </row>
    <row r="82" spans="1:9" ht="58.5" thickBot="1" x14ac:dyDescent="0.5">
      <c r="A82" s="294"/>
      <c r="B82" s="609" t="s">
        <v>73</v>
      </c>
      <c r="C82" s="297" t="s">
        <v>267</v>
      </c>
      <c r="D82" s="71" t="s">
        <v>278</v>
      </c>
      <c r="E82" s="250" t="s">
        <v>279</v>
      </c>
      <c r="F82" s="545">
        <f>(Chad!M81+Car!M81)/2</f>
        <v>0.81</v>
      </c>
      <c r="G82" s="679">
        <f>(Chad!P81+Car!P81)/2</f>
        <v>0.50000728000116479</v>
      </c>
      <c r="I82" s="319"/>
    </row>
    <row r="83" spans="1:9" ht="39.6" customHeight="1" thickBot="1" x14ac:dyDescent="0.5">
      <c r="A83" s="294"/>
      <c r="B83" s="610"/>
      <c r="C83" s="298" t="s">
        <v>268</v>
      </c>
      <c r="D83" s="94" t="s">
        <v>74</v>
      </c>
      <c r="E83" s="251" t="s">
        <v>282</v>
      </c>
      <c r="F83" s="545">
        <f>(Chad!M82+Car!M82)/2</f>
        <v>0.20055970149253732</v>
      </c>
      <c r="G83" s="680"/>
      <c r="I83" s="319"/>
    </row>
    <row r="84" spans="1:9" ht="60" customHeight="1" thickBot="1" x14ac:dyDescent="0.5">
      <c r="A84" s="294"/>
      <c r="B84" s="591" t="s">
        <v>142</v>
      </c>
      <c r="C84" s="267" t="s">
        <v>145</v>
      </c>
      <c r="D84" s="297" t="s">
        <v>143</v>
      </c>
      <c r="E84" s="252" t="s">
        <v>184</v>
      </c>
      <c r="F84" s="545">
        <f>(Chad!M83+Car!M83)/2</f>
        <v>-0.15060240963855434</v>
      </c>
      <c r="G84" s="681">
        <f>(Chad!P83+Car!P83)/2</f>
        <v>2.5252525252525252E-2</v>
      </c>
    </row>
    <row r="85" spans="1:9" ht="45" customHeight="1" thickBot="1" x14ac:dyDescent="0.5">
      <c r="A85" s="294"/>
      <c r="B85" s="592"/>
      <c r="C85" s="83" t="s">
        <v>146</v>
      </c>
      <c r="D85" s="93" t="s">
        <v>283</v>
      </c>
      <c r="E85" s="253" t="s">
        <v>185</v>
      </c>
      <c r="F85" s="545">
        <f>(Chad!M84+Car!M84)/2</f>
        <v>0</v>
      </c>
      <c r="G85" s="682"/>
    </row>
    <row r="86" spans="1:9" ht="38.450000000000003" customHeight="1" thickBot="1" x14ac:dyDescent="0.5">
      <c r="A86" s="294"/>
      <c r="B86" s="593"/>
      <c r="C86" s="84" t="s">
        <v>147</v>
      </c>
      <c r="D86" s="94" t="s">
        <v>144</v>
      </c>
      <c r="E86" s="254" t="s">
        <v>284</v>
      </c>
      <c r="F86" s="545">
        <f>(Chad!M85+Car!M85)/2</f>
        <v>0.11742424242424243</v>
      </c>
      <c r="G86" s="683"/>
    </row>
    <row r="87" spans="1:9" ht="20.45" customHeight="1" thickBot="1" x14ac:dyDescent="0.5">
      <c r="B87" s="597" t="s">
        <v>75</v>
      </c>
      <c r="C87" s="598"/>
      <c r="D87" s="599"/>
      <c r="E87" s="44"/>
      <c r="F87" s="546"/>
      <c r="G87" s="540">
        <f>(Chad!P86+Car!P86)/2</f>
        <v>0.10416666666666666</v>
      </c>
    </row>
    <row r="88" spans="1:9" ht="27.6" customHeight="1" thickBot="1" x14ac:dyDescent="0.5">
      <c r="A88" s="574">
        <v>24</v>
      </c>
      <c r="B88" s="600" t="s">
        <v>76</v>
      </c>
      <c r="C88" s="89" t="s">
        <v>159</v>
      </c>
      <c r="D88" s="59" t="s">
        <v>285</v>
      </c>
      <c r="E88" s="268" t="s">
        <v>186</v>
      </c>
      <c r="F88" s="545">
        <f>(Chad!M87+Car!M87)/2</f>
        <v>-0.7465277777777779</v>
      </c>
      <c r="G88" s="681">
        <f>(Chad!P87+Car!P87)/2</f>
        <v>0.10416666666666666</v>
      </c>
    </row>
    <row r="89" spans="1:9" ht="25.8" customHeight="1" thickBot="1" x14ac:dyDescent="0.5">
      <c r="A89" s="574"/>
      <c r="B89" s="601"/>
      <c r="C89" s="605" t="s">
        <v>160</v>
      </c>
      <c r="D89" s="61" t="s">
        <v>77</v>
      </c>
      <c r="E89" s="255" t="s">
        <v>187</v>
      </c>
      <c r="F89" s="545">
        <f>(Chad!M88+Car!M88)/2</f>
        <v>0</v>
      </c>
      <c r="G89" s="684"/>
    </row>
    <row r="90" spans="1:9" ht="25.25" customHeight="1" thickBot="1" x14ac:dyDescent="0.5">
      <c r="A90" s="574"/>
      <c r="B90" s="601"/>
      <c r="C90" s="605"/>
      <c r="D90" s="61" t="s">
        <v>78</v>
      </c>
      <c r="E90" s="255" t="s">
        <v>188</v>
      </c>
      <c r="F90" s="545">
        <f>(Chad!M89+Car!M89)/2</f>
        <v>-9.7222222222222224E-2</v>
      </c>
      <c r="G90" s="684"/>
    </row>
    <row r="91" spans="1:9" ht="26.45" customHeight="1" thickBot="1" x14ac:dyDescent="0.5">
      <c r="A91" s="574"/>
      <c r="B91" s="601"/>
      <c r="C91" s="605"/>
      <c r="D91" s="61" t="s">
        <v>79</v>
      </c>
      <c r="E91" s="256" t="s">
        <v>189</v>
      </c>
      <c r="F91" s="545">
        <f>(Chad!M90+Car!M90)/2</f>
        <v>0.35714285714285715</v>
      </c>
      <c r="G91" s="684"/>
    </row>
    <row r="92" spans="1:9" ht="40.799999999999997" customHeight="1" thickBot="1" x14ac:dyDescent="0.5">
      <c r="A92" s="574"/>
      <c r="B92" s="602"/>
      <c r="C92" s="85" t="s">
        <v>161</v>
      </c>
      <c r="D92" s="86" t="s">
        <v>80</v>
      </c>
      <c r="E92" s="257" t="s">
        <v>95</v>
      </c>
      <c r="F92" s="545">
        <f>(Chad!M91+Car!M91)/2</f>
        <v>0.4910714285714286</v>
      </c>
      <c r="G92" s="685"/>
    </row>
    <row r="93" spans="1:9" ht="26.65" customHeight="1" thickBot="1" x14ac:dyDescent="0.5">
      <c r="B93" s="579" t="s">
        <v>81</v>
      </c>
      <c r="C93" s="580"/>
      <c r="D93" s="581"/>
      <c r="E93" s="47"/>
      <c r="F93" s="550"/>
      <c r="G93" s="540">
        <f>(Chad!P92+Car!P92)/2</f>
        <v>0.18611111111111112</v>
      </c>
    </row>
    <row r="94" spans="1:9" ht="20.45" customHeight="1" thickBot="1" x14ac:dyDescent="0.5">
      <c r="B94" s="582" t="s">
        <v>82</v>
      </c>
      <c r="C94" s="583"/>
      <c r="D94" s="584"/>
      <c r="E94" s="51"/>
      <c r="F94" s="560"/>
      <c r="G94" s="540">
        <f>(Chad!P93+Car!P93)/2</f>
        <v>0.74444444444444446</v>
      </c>
    </row>
    <row r="95" spans="1:9" ht="34.799999999999997" customHeight="1" thickBot="1" x14ac:dyDescent="0.5">
      <c r="A95" s="574">
        <v>25</v>
      </c>
      <c r="B95" s="585" t="s">
        <v>83</v>
      </c>
      <c r="C95" s="588" t="s">
        <v>214</v>
      </c>
      <c r="D95" s="297" t="s">
        <v>269</v>
      </c>
      <c r="E95" s="258" t="s">
        <v>190</v>
      </c>
      <c r="F95" s="545">
        <f>(Chad!M94+Car!M94)/2</f>
        <v>1.6666666666666667</v>
      </c>
      <c r="G95" s="681">
        <f>(Chad!P94+Car!P94)/2</f>
        <v>0.74444444444444446</v>
      </c>
    </row>
    <row r="96" spans="1:9" ht="39.6" customHeight="1" thickBot="1" x14ac:dyDescent="0.5">
      <c r="A96" s="574"/>
      <c r="B96" s="586"/>
      <c r="C96" s="589"/>
      <c r="D96" s="93" t="s">
        <v>270</v>
      </c>
      <c r="E96" s="259" t="s">
        <v>191</v>
      </c>
      <c r="F96" s="545">
        <f>(Chad!M95+Car!M95)/2</f>
        <v>6.6666666666666666E-2</v>
      </c>
      <c r="G96" s="682"/>
    </row>
    <row r="97" spans="1:7" ht="41.45" customHeight="1" thickBot="1" x14ac:dyDescent="0.5">
      <c r="A97" s="574"/>
      <c r="B97" s="587"/>
      <c r="C97" s="590"/>
      <c r="D97" s="298" t="s">
        <v>84</v>
      </c>
      <c r="E97" s="260" t="s">
        <v>95</v>
      </c>
      <c r="F97" s="545">
        <f>(Chad!M96+Car!M96)/2</f>
        <v>0.5</v>
      </c>
      <c r="G97" s="683"/>
    </row>
    <row r="98" spans="1:7" ht="18" customHeight="1" thickBot="1" x14ac:dyDescent="0.5">
      <c r="B98" s="571" t="s">
        <v>85</v>
      </c>
      <c r="C98" s="572"/>
      <c r="D98" s="573"/>
      <c r="E98" s="158"/>
      <c r="F98" s="561"/>
      <c r="G98" s="540">
        <f>(Chad!P97+Car!P97)/2</f>
        <v>0</v>
      </c>
    </row>
    <row r="99" spans="1:7" ht="29.45" customHeight="1" thickBot="1" x14ac:dyDescent="0.5">
      <c r="A99" s="294">
        <v>26</v>
      </c>
      <c r="B99" s="87" t="s">
        <v>86</v>
      </c>
      <c r="C99" s="87" t="s">
        <v>215</v>
      </c>
      <c r="D99" s="88" t="s">
        <v>291</v>
      </c>
      <c r="E99" s="261" t="s">
        <v>95</v>
      </c>
      <c r="F99" s="545">
        <f>(Chad!M98+Car!M98)/2</f>
        <v>0</v>
      </c>
      <c r="G99" s="540">
        <f>(Chad!P98+Car!P98)/2</f>
        <v>0</v>
      </c>
    </row>
    <row r="100" spans="1:7" ht="35.25" thickBot="1" x14ac:dyDescent="0.5">
      <c r="A100" s="294">
        <v>27</v>
      </c>
      <c r="B100" s="87" t="s">
        <v>87</v>
      </c>
      <c r="C100" s="87" t="s">
        <v>216</v>
      </c>
      <c r="D100" s="88" t="s">
        <v>271</v>
      </c>
      <c r="E100" s="261" t="s">
        <v>192</v>
      </c>
      <c r="F100" s="562">
        <f>(Chad!M99+Car!M99)/2</f>
        <v>0</v>
      </c>
      <c r="G100" s="540">
        <f>(Chad!P99+Car!P99)/2</f>
        <v>0</v>
      </c>
    </row>
    <row r="101" spans="1:7" ht="30.4" x14ac:dyDescent="0.45">
      <c r="A101" s="574">
        <v>28</v>
      </c>
      <c r="B101" s="575" t="s">
        <v>88</v>
      </c>
      <c r="C101" s="575" t="s">
        <v>217</v>
      </c>
      <c r="D101" s="71" t="s">
        <v>89</v>
      </c>
      <c r="E101" s="262" t="s">
        <v>193</v>
      </c>
      <c r="F101" s="545">
        <f>(Chad!M100+Car!M100)/2</f>
        <v>-2.3561384851707432</v>
      </c>
      <c r="G101" s="679">
        <f>(Chad!P100+Car!P100)/2</f>
        <v>0</v>
      </c>
    </row>
    <row r="102" spans="1:7" ht="38.450000000000003" customHeight="1" thickBot="1" x14ac:dyDescent="0.5">
      <c r="A102" s="574"/>
      <c r="B102" s="576"/>
      <c r="C102" s="576"/>
      <c r="D102" s="361" t="s">
        <v>90</v>
      </c>
      <c r="E102" s="263" t="s">
        <v>95</v>
      </c>
      <c r="F102" s="563">
        <f>(Chad!M101+Car!M101)/2</f>
        <v>0</v>
      </c>
      <c r="G102" s="680"/>
    </row>
    <row r="104" spans="1:7" x14ac:dyDescent="0.5">
      <c r="B104" s="28"/>
    </row>
    <row r="107" spans="1:7" x14ac:dyDescent="0.5">
      <c r="B107" s="28"/>
    </row>
    <row r="108" spans="1:7" x14ac:dyDescent="0.5">
      <c r="B108" s="29"/>
    </row>
  </sheetData>
  <mergeCells count="85">
    <mergeCell ref="B93:D93"/>
    <mergeCell ref="A101:A102"/>
    <mergeCell ref="B101:B102"/>
    <mergeCell ref="C101:C102"/>
    <mergeCell ref="G101:G102"/>
    <mergeCell ref="B94:D94"/>
    <mergeCell ref="A95:A97"/>
    <mergeCell ref="B95:B97"/>
    <mergeCell ref="C95:C97"/>
    <mergeCell ref="G95:G97"/>
    <mergeCell ref="B98:D98"/>
    <mergeCell ref="A88:A92"/>
    <mergeCell ref="B88:B92"/>
    <mergeCell ref="G88:G92"/>
    <mergeCell ref="C89:C91"/>
    <mergeCell ref="B87:D87"/>
    <mergeCell ref="G54:G59"/>
    <mergeCell ref="C58:C59"/>
    <mergeCell ref="B78:D78"/>
    <mergeCell ref="B61:D61"/>
    <mergeCell ref="B70:D70"/>
    <mergeCell ref="B71:D71"/>
    <mergeCell ref="B73:D73"/>
    <mergeCell ref="B75:D75"/>
    <mergeCell ref="B77:D77"/>
    <mergeCell ref="B60:D60"/>
    <mergeCell ref="B80:D80"/>
    <mergeCell ref="B81:D81"/>
    <mergeCell ref="B82:B83"/>
    <mergeCell ref="G82:G83"/>
    <mergeCell ref="B84:B86"/>
    <mergeCell ref="G84:G86"/>
    <mergeCell ref="A62:A67"/>
    <mergeCell ref="B62:B67"/>
    <mergeCell ref="G62:G67"/>
    <mergeCell ref="C65:C67"/>
    <mergeCell ref="B68:D68"/>
    <mergeCell ref="A54:A59"/>
    <mergeCell ref="B54:B59"/>
    <mergeCell ref="G49:G50"/>
    <mergeCell ref="B51:D51"/>
    <mergeCell ref="A42:A43"/>
    <mergeCell ref="B42:B43"/>
    <mergeCell ref="G42:G43"/>
    <mergeCell ref="B44:D44"/>
    <mergeCell ref="A45:A46"/>
    <mergeCell ref="B45:B46"/>
    <mergeCell ref="G45:G46"/>
    <mergeCell ref="B47:D47"/>
    <mergeCell ref="B48:D48"/>
    <mergeCell ref="A49:A50"/>
    <mergeCell ref="B49:B50"/>
    <mergeCell ref="B53:D53"/>
    <mergeCell ref="B41:D41"/>
    <mergeCell ref="B24:D24"/>
    <mergeCell ref="A25:A28"/>
    <mergeCell ref="B25:B32"/>
    <mergeCell ref="G25:G32"/>
    <mergeCell ref="C26:C28"/>
    <mergeCell ref="C29:C31"/>
    <mergeCell ref="B33:D33"/>
    <mergeCell ref="B38:D38"/>
    <mergeCell ref="A39:A40"/>
    <mergeCell ref="B39:B40"/>
    <mergeCell ref="G39:G40"/>
    <mergeCell ref="A20:A23"/>
    <mergeCell ref="B20:B23"/>
    <mergeCell ref="G20:G23"/>
    <mergeCell ref="A12:A13"/>
    <mergeCell ref="B12:B13"/>
    <mergeCell ref="G12:G13"/>
    <mergeCell ref="A14:A15"/>
    <mergeCell ref="B14:B15"/>
    <mergeCell ref="G14:G15"/>
    <mergeCell ref="A16:A18"/>
    <mergeCell ref="B16:B18"/>
    <mergeCell ref="C16:C18"/>
    <mergeCell ref="G16:G18"/>
    <mergeCell ref="B19:D19"/>
    <mergeCell ref="B11:D11"/>
    <mergeCell ref="B2:G2"/>
    <mergeCell ref="C4:D4"/>
    <mergeCell ref="B5:D5"/>
    <mergeCell ref="B8:D8"/>
    <mergeCell ref="B10:D10"/>
  </mergeCells>
  <conditionalFormatting sqref="G20:G23 G54 G12:G15">
    <cfRule type="colorScale" priority="67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16:G18">
    <cfRule type="colorScale" priority="67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25:G28">
    <cfRule type="colorScale" priority="67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88">
    <cfRule type="colorScale" priority="66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4">
    <cfRule type="colorScale" priority="6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6">
    <cfRule type="colorScale" priority="6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2:F18">
    <cfRule type="colorScale" priority="6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10">
    <cfRule type="colorScale" priority="4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11">
    <cfRule type="colorScale" priority="4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5">
    <cfRule type="colorScale" priority="2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62">
    <cfRule type="colorScale" priority="16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42:G43">
    <cfRule type="colorScale" priority="10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45:G46">
    <cfRule type="colorScale" priority="10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49:G50">
    <cfRule type="colorScale" priority="10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82:G83">
    <cfRule type="colorScale" priority="10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101:G102">
    <cfRule type="colorScale" priority="10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84:G86">
    <cfRule type="colorScale" priority="9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95:G97">
    <cfRule type="colorScale" priority="9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19">
    <cfRule type="colorScale" priority="9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24">
    <cfRule type="colorScale" priority="9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33">
    <cfRule type="colorScale" priority="9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34">
    <cfRule type="colorScale" priority="9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35">
    <cfRule type="colorScale" priority="9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36">
    <cfRule type="colorScale" priority="9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37">
    <cfRule type="colorScale" priority="9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38">
    <cfRule type="colorScale" priority="9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41">
    <cfRule type="colorScale" priority="8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39:G40">
    <cfRule type="colorScale" priority="8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44">
    <cfRule type="colorScale" priority="8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47">
    <cfRule type="colorScale" priority="8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48">
    <cfRule type="colorScale" priority="8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51">
    <cfRule type="colorScale" priority="8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52">
    <cfRule type="colorScale" priority="8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53">
    <cfRule type="colorScale" priority="8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60">
    <cfRule type="colorScale" priority="8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61">
    <cfRule type="colorScale" priority="8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68">
    <cfRule type="colorScale" priority="7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69">
    <cfRule type="colorScale" priority="7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70">
    <cfRule type="colorScale" priority="7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71">
    <cfRule type="colorScale" priority="7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72">
    <cfRule type="colorScale" priority="7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73">
    <cfRule type="colorScale" priority="7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74">
    <cfRule type="colorScale" priority="7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75">
    <cfRule type="colorScale" priority="7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76">
    <cfRule type="colorScale" priority="7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77">
    <cfRule type="colorScale" priority="7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78">
    <cfRule type="colorScale" priority="6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79">
    <cfRule type="colorScale" priority="6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80">
    <cfRule type="colorScale" priority="6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81">
    <cfRule type="colorScale" priority="6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87">
    <cfRule type="colorScale" priority="6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93">
    <cfRule type="colorScale" priority="6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94">
    <cfRule type="colorScale" priority="6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98">
    <cfRule type="colorScale" priority="6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99">
    <cfRule type="colorScale" priority="6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100">
    <cfRule type="colorScale" priority="6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0">
    <cfRule type="colorScale" priority="5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1">
    <cfRule type="colorScale" priority="5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2">
    <cfRule type="colorScale" priority="5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3">
    <cfRule type="colorScale" priority="5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5">
    <cfRule type="colorScale" priority="5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6">
    <cfRule type="colorScale" priority="5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7">
    <cfRule type="colorScale" priority="5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8">
    <cfRule type="colorScale" priority="5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9">
    <cfRule type="colorScale" priority="5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0">
    <cfRule type="colorScale" priority="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1">
    <cfRule type="colorScale" priority="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2">
    <cfRule type="colorScale" priority="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4">
    <cfRule type="colorScale" priority="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5">
    <cfRule type="colorScale" priority="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6">
    <cfRule type="colorScale" priority="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7">
    <cfRule type="colorScale" priority="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9">
    <cfRule type="colorScale" priority="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0">
    <cfRule type="colorScale" priority="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2">
    <cfRule type="colorScale" priority="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3">
    <cfRule type="colorScale" priority="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6">
    <cfRule type="colorScale" priority="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9">
    <cfRule type="colorScale" priority="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0">
    <cfRule type="colorScale" priority="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2">
    <cfRule type="colorScale" priority="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4">
    <cfRule type="colorScale" priority="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5">
    <cfRule type="colorScale" priority="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6">
    <cfRule type="colorScale" priority="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7">
    <cfRule type="colorScale" priority="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8">
    <cfRule type="colorScale" priority="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9">
    <cfRule type="colorScale" priority="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2">
    <cfRule type="colorScale" priority="2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3">
    <cfRule type="colorScale" priority="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4">
    <cfRule type="colorScale" priority="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5">
    <cfRule type="colorScale" priority="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6">
    <cfRule type="colorScale" priority="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7">
    <cfRule type="colorScale" priority="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9">
    <cfRule type="colorScale" priority="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2">
    <cfRule type="colorScale" priority="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4">
    <cfRule type="colorScale" priority="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6">
    <cfRule type="colorScale" priority="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9">
    <cfRule type="colorScale" priority="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2">
    <cfRule type="colorScale" priority="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3">
    <cfRule type="colorScale" priority="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4">
    <cfRule type="colorScale" priority="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5">
    <cfRule type="colorScale" priority="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6">
    <cfRule type="colorScale" priority="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8">
    <cfRule type="colorScale" priority="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9">
    <cfRule type="colorScale" priority="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0">
    <cfRule type="colorScale" priority="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1">
    <cfRule type="colorScale" priority="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2">
    <cfRule type="colorScale" priority="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5">
    <cfRule type="colorScale" priority="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6">
    <cfRule type="colorScale" priority="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7">
    <cfRule type="colorScale" priority="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9">
    <cfRule type="colorScale" priority="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0">
    <cfRule type="colorScale" priority="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1">
    <cfRule type="colorScale" priority="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2">
    <cfRule type="colorScale" priority="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86AE1-33E8-40D5-A80C-3A0E3E8CCD48}">
  <dimension ref="A1:AA168"/>
  <sheetViews>
    <sheetView topLeftCell="B1" zoomScale="60" zoomScaleNormal="60" workbookViewId="0">
      <selection activeCell="O4" sqref="O4"/>
    </sheetView>
  </sheetViews>
  <sheetFormatPr defaultColWidth="8.86328125" defaultRowHeight="14.25" x14ac:dyDescent="0.45"/>
  <cols>
    <col min="1" max="1" width="0" style="5" hidden="1" customWidth="1"/>
    <col min="2" max="2" width="18.6640625" style="5" customWidth="1"/>
    <col min="3" max="3" width="7.86328125" style="5" customWidth="1"/>
    <col min="4" max="4" width="47.46484375" style="5" customWidth="1"/>
    <col min="5" max="5" width="9.53125" style="5" customWidth="1"/>
    <col min="6" max="6" width="36.19921875" style="5" customWidth="1"/>
    <col min="7" max="7" width="10" style="5" customWidth="1"/>
    <col min="8" max="8" width="11.796875" style="5" customWidth="1"/>
    <col min="9" max="9" width="10.33203125" style="5" customWidth="1"/>
    <col min="10" max="10" width="12.19921875" style="5" customWidth="1"/>
    <col min="11" max="11" width="12.6640625" style="5" customWidth="1"/>
    <col min="12" max="12" width="16.06640625" style="5" customWidth="1"/>
    <col min="13" max="13" width="12.19921875" style="5" customWidth="1"/>
    <col min="14" max="16" width="15.33203125" style="5" customWidth="1"/>
    <col min="17" max="17" width="42.796875" customWidth="1"/>
    <col min="18" max="19" width="36.19921875" style="5" customWidth="1"/>
    <col min="20" max="20" width="8.86328125" style="5"/>
    <col min="22" max="26" width="0" hidden="1" customWidth="1"/>
    <col min="28" max="30" width="28.46484375" style="5" customWidth="1"/>
    <col min="31" max="16384" width="8.86328125" style="5"/>
  </cols>
  <sheetData>
    <row r="1" spans="1:27" s="1" customFormat="1" ht="6.6" customHeight="1" x14ac:dyDescent="0.4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62"/>
      <c r="R1" s="3"/>
      <c r="S1" s="4"/>
      <c r="U1" s="363"/>
      <c r="V1" s="363"/>
      <c r="W1" s="363"/>
      <c r="X1" s="363"/>
      <c r="Y1" s="363"/>
      <c r="Z1" s="363"/>
      <c r="AA1" s="363"/>
    </row>
    <row r="2" spans="1:27" ht="30" x14ac:dyDescent="1.1000000000000001">
      <c r="B2" s="364"/>
      <c r="C2" s="365"/>
      <c r="D2" s="366" t="s">
        <v>286</v>
      </c>
      <c r="E2" s="365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5"/>
      <c r="R2" s="367"/>
      <c r="S2" s="6"/>
    </row>
    <row r="3" spans="1:27" ht="14.65" thickBot="1" x14ac:dyDescent="0.5">
      <c r="B3" s="368"/>
      <c r="C3" s="369"/>
      <c r="D3" s="369"/>
      <c r="E3" s="369"/>
      <c r="F3" s="370"/>
      <c r="G3" s="370"/>
      <c r="H3" s="370"/>
      <c r="I3" s="370"/>
      <c r="J3" s="370"/>
      <c r="K3" s="370"/>
      <c r="L3" s="370"/>
      <c r="M3" s="370"/>
      <c r="N3" s="370"/>
      <c r="O3" s="370"/>
      <c r="P3" s="370"/>
      <c r="Q3" s="369"/>
      <c r="R3" s="370"/>
      <c r="S3" s="7"/>
    </row>
    <row r="4" spans="1:27" ht="26.45" customHeight="1" thickBot="1" x14ac:dyDescent="0.5">
      <c r="B4" s="368"/>
      <c r="C4" s="369"/>
      <c r="D4" s="371" t="s">
        <v>195</v>
      </c>
      <c r="E4" s="369"/>
      <c r="F4" s="8" t="s">
        <v>201</v>
      </c>
      <c r="G4" s="370"/>
      <c r="H4" s="370"/>
      <c r="I4" s="370"/>
      <c r="J4" s="370"/>
      <c r="K4" s="686" t="s">
        <v>447</v>
      </c>
      <c r="L4" s="687"/>
      <c r="M4" s="688"/>
      <c r="N4" s="837">
        <f>(N9+N46+N59+N69+N76+N79+N92)/7</f>
        <v>0.253412857415107</v>
      </c>
      <c r="O4" s="838">
        <f>(O9+O46+O59+O69+O76+O79+O92)</f>
        <v>22.107409443273188</v>
      </c>
      <c r="P4" s="837">
        <f>O4/100</f>
        <v>0.22107409443273188</v>
      </c>
      <c r="Q4" s="369"/>
      <c r="R4" s="370"/>
      <c r="S4" s="7"/>
    </row>
    <row r="5" spans="1:27" ht="18.399999999999999" thickBot="1" x14ac:dyDescent="0.6">
      <c r="B5" s="689"/>
      <c r="C5" s="690"/>
      <c r="D5" s="690"/>
      <c r="E5" s="690"/>
      <c r="F5" s="690"/>
      <c r="G5" s="690"/>
      <c r="H5" s="690"/>
      <c r="I5" s="690"/>
      <c r="J5" s="690"/>
      <c r="K5" s="690"/>
      <c r="L5" s="68"/>
      <c r="M5" s="372">
        <f>100/28</f>
        <v>3.5714285714285716</v>
      </c>
      <c r="N5" s="9"/>
      <c r="O5" s="340"/>
      <c r="P5" s="340"/>
      <c r="Q5" s="373"/>
      <c r="R5" s="9"/>
      <c r="S5" s="10"/>
    </row>
    <row r="6" spans="1:27" ht="33.6" customHeight="1" thickBot="1" x14ac:dyDescent="0.5">
      <c r="B6" s="691"/>
      <c r="C6" s="692"/>
      <c r="D6" s="692"/>
      <c r="E6" s="692"/>
      <c r="F6" s="693"/>
      <c r="G6" s="374"/>
      <c r="H6" s="374"/>
      <c r="I6" s="374"/>
      <c r="J6" s="374"/>
      <c r="K6" s="374"/>
      <c r="L6" s="374"/>
      <c r="M6" s="374"/>
      <c r="N6" s="375"/>
      <c r="O6" s="376"/>
      <c r="P6" s="376"/>
      <c r="Q6" s="375"/>
      <c r="R6" s="12"/>
      <c r="S6" s="13"/>
    </row>
    <row r="7" spans="1:27" ht="55.8" customHeight="1" thickBot="1" x14ac:dyDescent="0.5">
      <c r="B7" s="694"/>
      <c r="C7" s="695"/>
      <c r="D7" s="695"/>
      <c r="E7" s="695"/>
      <c r="F7" s="696"/>
      <c r="G7" s="377"/>
      <c r="H7" s="378" t="s">
        <v>218</v>
      </c>
      <c r="I7" s="379" t="s">
        <v>219</v>
      </c>
      <c r="J7" s="380" t="s">
        <v>91</v>
      </c>
      <c r="K7" s="381" t="s">
        <v>107</v>
      </c>
      <c r="L7" s="381" t="s">
        <v>104</v>
      </c>
      <c r="M7" s="381" t="s">
        <v>105</v>
      </c>
      <c r="N7" s="379" t="s">
        <v>106</v>
      </c>
      <c r="O7" s="379" t="s">
        <v>395</v>
      </c>
      <c r="P7" s="382" t="s">
        <v>396</v>
      </c>
      <c r="Q7" s="383" t="s">
        <v>93</v>
      </c>
      <c r="R7" s="384" t="s">
        <v>110</v>
      </c>
      <c r="S7" s="385" t="s">
        <v>103</v>
      </c>
    </row>
    <row r="8" spans="1:27" ht="25.25" customHeight="1" thickBot="1" x14ac:dyDescent="0.5">
      <c r="B8" s="386" t="s">
        <v>2</v>
      </c>
      <c r="C8" s="386" t="s">
        <v>92</v>
      </c>
      <c r="D8" s="386" t="s">
        <v>3</v>
      </c>
      <c r="E8" s="386" t="s">
        <v>94</v>
      </c>
      <c r="F8" s="386" t="s">
        <v>102</v>
      </c>
      <c r="G8" s="386" t="s">
        <v>96</v>
      </c>
      <c r="H8" s="387"/>
      <c r="I8" s="388"/>
      <c r="J8" s="387"/>
      <c r="K8" s="389"/>
      <c r="L8" s="389"/>
      <c r="M8" s="386"/>
      <c r="N8" s="390"/>
      <c r="O8" s="391"/>
      <c r="P8" s="392"/>
      <c r="Q8" s="388"/>
      <c r="R8" s="390"/>
      <c r="S8" s="390"/>
      <c r="V8" s="393" t="s">
        <v>151</v>
      </c>
      <c r="W8" s="394"/>
      <c r="X8" s="394"/>
      <c r="Y8" s="394"/>
      <c r="Z8" s="395"/>
    </row>
    <row r="9" spans="1:27" s="148" customFormat="1" ht="25.25" customHeight="1" thickBot="1" x14ac:dyDescent="0.5">
      <c r="B9" s="697" t="s">
        <v>0</v>
      </c>
      <c r="C9" s="698"/>
      <c r="D9" s="698"/>
      <c r="E9" s="698"/>
      <c r="F9" s="699"/>
      <c r="G9" s="396"/>
      <c r="H9" s="839"/>
      <c r="I9" s="840"/>
      <c r="J9" s="841"/>
      <c r="K9" s="841"/>
      <c r="L9" s="841"/>
      <c r="M9" s="842"/>
      <c r="N9" s="843">
        <f>(N10+N18+N23+N32+N37+N40+N43)/7</f>
        <v>0.26457971150170856</v>
      </c>
      <c r="O9" s="844">
        <f>(O10+O18+O23+O32+O37+O40+O43)</f>
        <v>10.1818104765497</v>
      </c>
      <c r="P9" s="845">
        <f>O9/42.857136</f>
        <v>0.2375756157982582</v>
      </c>
      <c r="Q9" s="841"/>
      <c r="R9" s="397"/>
      <c r="S9" s="397"/>
      <c r="U9" s="398"/>
      <c r="V9" s="399"/>
      <c r="W9" s="400"/>
      <c r="X9" s="400"/>
      <c r="Y9" s="400"/>
      <c r="Z9" s="401"/>
      <c r="AA9" s="398"/>
    </row>
    <row r="10" spans="1:27" s="96" customFormat="1" ht="25.25" customHeight="1" thickBot="1" x14ac:dyDescent="0.5">
      <c r="B10" s="700" t="s">
        <v>1</v>
      </c>
      <c r="C10" s="701"/>
      <c r="D10" s="701"/>
      <c r="E10" s="701"/>
      <c r="F10" s="702"/>
      <c r="G10" s="402"/>
      <c r="H10" s="846"/>
      <c r="I10" s="847"/>
      <c r="J10" s="848"/>
      <c r="K10" s="848"/>
      <c r="L10" s="848"/>
      <c r="M10" s="849"/>
      <c r="N10" s="843">
        <f>(N11+N13+N15)/3</f>
        <v>1.9220775230545719</v>
      </c>
      <c r="O10" s="844">
        <f>(O11+O13+O15)</f>
        <v>8.1787724520232281</v>
      </c>
      <c r="P10" s="845">
        <f>O10/10.714284</f>
        <v>0.76335221765852279</v>
      </c>
      <c r="Q10" s="848"/>
      <c r="R10" s="403"/>
      <c r="S10" s="403"/>
      <c r="U10" s="404"/>
      <c r="V10" s="405"/>
      <c r="W10" s="406"/>
      <c r="X10" s="406"/>
      <c r="Y10" s="406"/>
      <c r="Z10" s="407"/>
      <c r="AA10" s="404"/>
    </row>
    <row r="11" spans="1:27" ht="27.6" customHeight="1" x14ac:dyDescent="0.45">
      <c r="A11" s="703">
        <v>1</v>
      </c>
      <c r="B11" s="708" t="s">
        <v>4</v>
      </c>
      <c r="C11" s="710">
        <f>M5</f>
        <v>3.5714285714285716</v>
      </c>
      <c r="D11" s="408" t="s">
        <v>111</v>
      </c>
      <c r="E11" s="409">
        <f>$C$11/2</f>
        <v>1.7857142857142858</v>
      </c>
      <c r="F11" s="410" t="s">
        <v>5</v>
      </c>
      <c r="G11" s="411">
        <f>E11/1</f>
        <v>1.7857142857142858</v>
      </c>
      <c r="H11" s="850">
        <v>0.6</v>
      </c>
      <c r="I11" s="851">
        <v>-1.5</v>
      </c>
      <c r="J11" s="852">
        <f>(H11-I11)</f>
        <v>2.1</v>
      </c>
      <c r="K11" s="853">
        <f>(-0.3*I11)*6/10</f>
        <v>0.26999999999999996</v>
      </c>
      <c r="L11" s="854">
        <f>I11+K11</f>
        <v>-1.23</v>
      </c>
      <c r="M11" s="855">
        <f>IF(K11&lt;&gt;0,J11/K11,"0%")</f>
        <v>7.7777777777777795</v>
      </c>
      <c r="N11" s="856">
        <f>(((G11/C11)*M11)+((G12/C11)*M12))</f>
        <v>3.8888888888888897</v>
      </c>
      <c r="O11" s="857">
        <f>IF((((G11/C11)*M11)+((G12/C11)*M12))&gt;=1,3.57148,IF((((G11/C11)*M11)+((G12/C11)*M12))&lt;=0,0, (((G11/C11)*M11)+((G12/C11)*M12))*3.571428))</f>
        <v>3.5714800000000002</v>
      </c>
      <c r="P11" s="858">
        <f>O11/3.571428</f>
        <v>1.0000145600023296</v>
      </c>
      <c r="Q11" s="859" t="s">
        <v>97</v>
      </c>
      <c r="R11" s="99" t="s">
        <v>293</v>
      </c>
      <c r="S11" s="167" t="s">
        <v>398</v>
      </c>
      <c r="V11" s="412" t="s">
        <v>109</v>
      </c>
      <c r="W11" s="413" t="e">
        <f>#REF!</f>
        <v>#REF!</v>
      </c>
      <c r="X11" s="414"/>
      <c r="Y11" s="414"/>
      <c r="Z11" s="415"/>
    </row>
    <row r="12" spans="1:27" ht="27" customHeight="1" thickBot="1" x14ac:dyDescent="0.5">
      <c r="A12" s="703"/>
      <c r="B12" s="709"/>
      <c r="C12" s="711"/>
      <c r="D12" s="416" t="s">
        <v>112</v>
      </c>
      <c r="E12" s="417">
        <f>$C$11/2</f>
        <v>1.7857142857142858</v>
      </c>
      <c r="F12" s="418" t="s">
        <v>281</v>
      </c>
      <c r="G12" s="419">
        <f>E12/1</f>
        <v>1.7857142857142858</v>
      </c>
      <c r="H12" s="860"/>
      <c r="I12" s="861">
        <v>5.7000000000000002E-2</v>
      </c>
      <c r="J12" s="862">
        <f>I12-H12</f>
        <v>5.7000000000000002E-2</v>
      </c>
      <c r="K12" s="863">
        <f>(0.25*I12)*(6/10)</f>
        <v>8.5500000000000003E-3</v>
      </c>
      <c r="L12" s="864">
        <f>I12-K12</f>
        <v>4.845E-2</v>
      </c>
      <c r="M12" s="865" t="str">
        <f>IF(K12=0,J12/K12,"0%")</f>
        <v>0%</v>
      </c>
      <c r="N12" s="866"/>
      <c r="O12" s="867"/>
      <c r="P12" s="868"/>
      <c r="Q12" s="869" t="s">
        <v>98</v>
      </c>
      <c r="R12" s="95" t="s">
        <v>294</v>
      </c>
      <c r="S12" s="178" t="s">
        <v>399</v>
      </c>
      <c r="V12" s="420">
        <v>0.02</v>
      </c>
      <c r="W12" s="421" t="e">
        <f>(W11-(W11*V12))</f>
        <v>#REF!</v>
      </c>
      <c r="X12" s="421" t="e">
        <f>W11-(V12*W11)</f>
        <v>#REF!</v>
      </c>
      <c r="Y12" s="414"/>
      <c r="Z12" s="415"/>
    </row>
    <row r="13" spans="1:27" ht="32.450000000000003" customHeight="1" thickBot="1" x14ac:dyDescent="0.5">
      <c r="A13" s="703">
        <v>2</v>
      </c>
      <c r="B13" s="704" t="s">
        <v>6</v>
      </c>
      <c r="C13" s="706">
        <f>M5</f>
        <v>3.5714285714285716</v>
      </c>
      <c r="D13" s="422" t="s">
        <v>273</v>
      </c>
      <c r="E13" s="423">
        <f>$C$13/2</f>
        <v>1.7857142857142858</v>
      </c>
      <c r="F13" s="424" t="s">
        <v>7</v>
      </c>
      <c r="G13" s="425">
        <f>E13/1</f>
        <v>1.7857142857142858</v>
      </c>
      <c r="H13" s="870"/>
      <c r="I13" s="871">
        <v>11</v>
      </c>
      <c r="J13" s="872">
        <f>IF(I13=H13,(5-H13),I13-H13)</f>
        <v>11</v>
      </c>
      <c r="K13" s="873">
        <f>IF(I13&lt;=5,0,((I13-5)*(6/10)))</f>
        <v>3.5999999999999996</v>
      </c>
      <c r="L13" s="874">
        <f>I13-K13</f>
        <v>7.4</v>
      </c>
      <c r="M13" s="855" t="str">
        <f>IF(K13=0,J13/K13,"0%")</f>
        <v>0%</v>
      </c>
      <c r="N13" s="856">
        <f>(((G13/C13)*M13)+((G14/C13)*M14))</f>
        <v>0.29004209297323874</v>
      </c>
      <c r="O13" s="857">
        <f>IF((((G13/C13)*M13)+((G14/C13)*M14))&gt;=1,3.57148,IF((((G13/C13)*M13)+((G14/C13)*M14))&lt;=0,0, (((G13/C13)*M13)+((G14/C13)*M14))*3.571428))</f>
        <v>1.0358644520232281</v>
      </c>
      <c r="P13" s="858">
        <f>O13/3.571428</f>
        <v>0.29004209297323874</v>
      </c>
      <c r="Q13" s="875" t="s">
        <v>99</v>
      </c>
      <c r="R13" s="161" t="s">
        <v>295</v>
      </c>
      <c r="S13" s="178" t="s">
        <v>400</v>
      </c>
      <c r="V13" s="420">
        <v>0.02</v>
      </c>
      <c r="W13" s="421" t="e">
        <f>(#REF!-(#REF!*V13))</f>
        <v>#REF!</v>
      </c>
      <c r="X13" s="421" t="e">
        <f>(W11-(V12*W11))-((W11-(V12*W11))*0.02)-(((W11-(V12*W11))-((W11-(V12*W11))*0.02))*0.02)-(((W11-(V12*W11))-((W11-(V12*W11))*0.02)-(((W11-(V12*W11))-((W11-(V12*W11))*0.02))*0.02))*0.02)</f>
        <v>#REF!</v>
      </c>
      <c r="Y13" s="426" t="e">
        <f>(W11-W14)/W11</f>
        <v>#REF!</v>
      </c>
      <c r="Z13" s="415"/>
    </row>
    <row r="14" spans="1:27" ht="33" customHeight="1" thickBot="1" x14ac:dyDescent="0.5">
      <c r="A14" s="703"/>
      <c r="B14" s="705"/>
      <c r="C14" s="707"/>
      <c r="D14" s="416" t="s">
        <v>274</v>
      </c>
      <c r="E14" s="427">
        <f>$C$13/2</f>
        <v>1.7857142857142858</v>
      </c>
      <c r="F14" s="428" t="s">
        <v>8</v>
      </c>
      <c r="G14" s="429">
        <f>E14/1</f>
        <v>1.7857142857142858</v>
      </c>
      <c r="H14" s="876">
        <v>61.78</v>
      </c>
      <c r="I14" s="877">
        <v>42.9</v>
      </c>
      <c r="J14" s="878">
        <f>H14-I14</f>
        <v>18.880000000000003</v>
      </c>
      <c r="K14" s="879">
        <f>(0.95*(100-I14))*6/10</f>
        <v>32.546999999999997</v>
      </c>
      <c r="L14" s="880">
        <f>K14+I14</f>
        <v>75.447000000000003</v>
      </c>
      <c r="M14" s="881">
        <f>IF(K14&lt;&gt;0,J14/K14,"1%")</f>
        <v>0.58008418594647748</v>
      </c>
      <c r="N14" s="866"/>
      <c r="O14" s="867"/>
      <c r="P14" s="868"/>
      <c r="Q14" s="882" t="s">
        <v>100</v>
      </c>
      <c r="R14" s="101" t="s">
        <v>296</v>
      </c>
      <c r="S14" s="180" t="s">
        <v>401</v>
      </c>
      <c r="V14" s="430">
        <v>0.02</v>
      </c>
      <c r="W14" s="431" t="e">
        <f>(#REF!-(#REF!*V14))</f>
        <v>#REF!</v>
      </c>
      <c r="X14" s="431" t="e">
        <f>(W11-(V12*W11))-((W11-(V12*W11))*0.02)-(((W11-(V12*W11))-((W11-(V12*W11))*0.02))*0.02)-(((W11-(V12*W11))-((W11-(V12*W11))*0.02)-(((W11-(V12*W11))-((W11-(V12*W11))*0.02))*0.02))*0.02)-(((W11-(V12*W11))-((W11-(V12*W11))*0.02)-(((W11-(V12*W11))-((W11-(V12*W11))*0.02))*0.02)-(((W11-(V12*W11))-((W11-(V12*W11))*0.02)-(((W11-(V12*W11))-((W11-(V12*W12))*0.02))*0.02))*0.02))*0.02)-(((W11-(V12*W11))-((W11-(V12*W11))*0.02)-(((W11-(V12*W11))-((W11-(V12*W11))*0.02))*0.02)-(((W11-(V12*W11))-((W11-(V12*W11))*0.02)-(((W11-(V12*W11))-((W11-(V12*W11))*0.02))*0.02))*0.02)-(((W11-(V12*W11))-((W11-(V12*W11))*0.02)-(((W11-(V12*W11))-((W11-(V12*W11))*0.02))*0.02)-(((W11-(V12*W11))-((W11-(V12*W11))*0.02)-(((W11-(V12*W11))-((W11-(V12*W11))*0.02))*0.02))*0.02))*0.02))*0.02)</f>
        <v>#REF!</v>
      </c>
      <c r="Y14" s="432" t="e">
        <f>W11-X14</f>
        <v>#REF!</v>
      </c>
      <c r="Z14" s="433"/>
    </row>
    <row r="15" spans="1:27" ht="22.25" customHeight="1" thickBot="1" x14ac:dyDescent="0.5">
      <c r="A15" s="703">
        <v>3</v>
      </c>
      <c r="B15" s="704" t="s">
        <v>9</v>
      </c>
      <c r="C15" s="706">
        <f>M5</f>
        <v>3.5714285714285716</v>
      </c>
      <c r="D15" s="704" t="s">
        <v>113</v>
      </c>
      <c r="E15" s="723">
        <f>$C$15/1</f>
        <v>3.5714285714285716</v>
      </c>
      <c r="F15" s="434" t="s">
        <v>221</v>
      </c>
      <c r="G15" s="411">
        <f>$E$15/3</f>
        <v>1.1904761904761905</v>
      </c>
      <c r="H15" s="883">
        <v>0</v>
      </c>
      <c r="I15" s="884">
        <v>0</v>
      </c>
      <c r="J15" s="885">
        <f>H15-I15</f>
        <v>0</v>
      </c>
      <c r="K15" s="886">
        <f>(0.5*I15)*6/10</f>
        <v>0</v>
      </c>
      <c r="L15" s="854">
        <f>I15+K15</f>
        <v>0</v>
      </c>
      <c r="M15" s="887" t="str">
        <f>IF(K15&lt;&gt;0,J15/K15,"0%")</f>
        <v>0%</v>
      </c>
      <c r="N15" s="888">
        <f>(((G15/C15)*M15)+((G16/C15)*M16)+((G17/C15)*M17))</f>
        <v>1.587301587301587</v>
      </c>
      <c r="O15" s="889">
        <f>IF((((G15/C15)*M15)+((G16/C15)*M16)+((G17/C15)*M17))&gt;=1,3.571428,IF((((G15/C15)*M15)+((G16/C15)*M16)+((G17/C15)*M17))&lt;=0,0,(((G15/C15)*M15)+((G16/C15)*M16)+((G17/C15)*M17))*3.571428))</f>
        <v>3.571428</v>
      </c>
      <c r="P15" s="858">
        <f>O15/3.571428</f>
        <v>1</v>
      </c>
      <c r="Q15" s="890" t="s">
        <v>101</v>
      </c>
      <c r="R15" s="162" t="s">
        <v>297</v>
      </c>
      <c r="S15" s="178" t="s">
        <v>402</v>
      </c>
    </row>
    <row r="16" spans="1:27" ht="14.65" customHeight="1" thickBot="1" x14ac:dyDescent="0.5">
      <c r="A16" s="703"/>
      <c r="B16" s="721"/>
      <c r="C16" s="722"/>
      <c r="D16" s="721"/>
      <c r="E16" s="722"/>
      <c r="F16" s="435" t="s">
        <v>220</v>
      </c>
      <c r="G16" s="436">
        <f t="shared" ref="G16:G17" si="0">$E$15/3</f>
        <v>1.1904761904761905</v>
      </c>
      <c r="H16" s="891">
        <v>0.05</v>
      </c>
      <c r="I16" s="892">
        <v>2.5000000000000001E-2</v>
      </c>
      <c r="J16" s="893">
        <f>H16-I16</f>
        <v>2.5000000000000001E-2</v>
      </c>
      <c r="K16" s="894">
        <f>(0.5*I16)*6/10</f>
        <v>7.5000000000000015E-3</v>
      </c>
      <c r="L16" s="895">
        <f t="shared" ref="L16:L17" si="1">I16+K16</f>
        <v>3.2500000000000001E-2</v>
      </c>
      <c r="M16" s="896">
        <f>IF(K16&lt;&gt;0,J16/K16,"0%")</f>
        <v>3.333333333333333</v>
      </c>
      <c r="N16" s="897"/>
      <c r="O16" s="898"/>
      <c r="P16" s="899"/>
      <c r="Q16" s="900" t="s">
        <v>95</v>
      </c>
      <c r="R16" s="163"/>
      <c r="S16" s="178"/>
    </row>
    <row r="17" spans="1:19" ht="25.25" customHeight="1" thickBot="1" x14ac:dyDescent="0.5">
      <c r="A17" s="703"/>
      <c r="B17" s="705"/>
      <c r="C17" s="707"/>
      <c r="D17" s="705"/>
      <c r="E17" s="707"/>
      <c r="F17" s="437" t="s">
        <v>10</v>
      </c>
      <c r="G17" s="419">
        <f t="shared" si="0"/>
        <v>1.1904761904761905</v>
      </c>
      <c r="H17" s="901">
        <v>5</v>
      </c>
      <c r="I17" s="902">
        <v>3.5</v>
      </c>
      <c r="J17" s="903">
        <f>H17-I17</f>
        <v>1.5</v>
      </c>
      <c r="K17" s="904">
        <f>(0.5*I17)*6/10</f>
        <v>1.05</v>
      </c>
      <c r="L17" s="864">
        <f t="shared" si="1"/>
        <v>4.55</v>
      </c>
      <c r="M17" s="881">
        <f>IF(K17&lt;&gt;0,J17/K17,"0%")</f>
        <v>1.4285714285714286</v>
      </c>
      <c r="N17" s="905"/>
      <c r="O17" s="906"/>
      <c r="P17" s="868"/>
      <c r="Q17" s="907" t="s">
        <v>162</v>
      </c>
      <c r="R17" s="164" t="s">
        <v>298</v>
      </c>
      <c r="S17" s="178" t="s">
        <v>299</v>
      </c>
    </row>
    <row r="18" spans="1:19" ht="21.4" customHeight="1" thickBot="1" x14ac:dyDescent="0.7">
      <c r="A18" s="14"/>
      <c r="B18" s="712" t="s">
        <v>11</v>
      </c>
      <c r="C18" s="713"/>
      <c r="D18" s="713"/>
      <c r="E18" s="713"/>
      <c r="F18" s="714"/>
      <c r="G18" s="438"/>
      <c r="H18" s="908"/>
      <c r="I18" s="909"/>
      <c r="J18" s="910"/>
      <c r="K18" s="910"/>
      <c r="L18" s="910"/>
      <c r="M18" s="911"/>
      <c r="N18" s="843">
        <f>N19</f>
        <v>2.4452269170579032E-2</v>
      </c>
      <c r="O18" s="844">
        <f>O19</f>
        <v>8.7329518779342738E-2</v>
      </c>
      <c r="P18" s="845">
        <f>O18/3.571428</f>
        <v>2.4452269170579032E-2</v>
      </c>
      <c r="Q18" s="910"/>
      <c r="R18" s="15"/>
      <c r="S18" s="16"/>
    </row>
    <row r="19" spans="1:19" ht="34.25" customHeight="1" thickBot="1" x14ac:dyDescent="0.5">
      <c r="A19" s="703">
        <v>4</v>
      </c>
      <c r="B19" s="715" t="s">
        <v>12</v>
      </c>
      <c r="C19" s="718">
        <f>M5</f>
        <v>3.5714285714285716</v>
      </c>
      <c r="D19" s="440" t="s">
        <v>114</v>
      </c>
      <c r="E19" s="441">
        <f>$C$19/4</f>
        <v>0.8928571428571429</v>
      </c>
      <c r="F19" s="442" t="s">
        <v>222</v>
      </c>
      <c r="G19" s="411">
        <f>E19/1</f>
        <v>0.8928571428571429</v>
      </c>
      <c r="H19" s="912"/>
      <c r="I19" s="913"/>
      <c r="J19" s="914">
        <f>H19-I19</f>
        <v>0</v>
      </c>
      <c r="K19" s="886">
        <f>(2*I19)*6/10</f>
        <v>0</v>
      </c>
      <c r="L19" s="915">
        <f t="shared" ref="L19:L22" si="2">K19+I19</f>
        <v>0</v>
      </c>
      <c r="M19" s="855" t="str">
        <f>IF(K19&lt;&gt;0,J19/K19,"0%")</f>
        <v>0%</v>
      </c>
      <c r="N19" s="856">
        <f>(((G19/C19)*M19)+((G20/C19)*M20)+((G21/C19)*M21)+((G22/C19)*M22))</f>
        <v>2.4452269170579032E-2</v>
      </c>
      <c r="O19" s="857">
        <f>IF((((G19/C19)*M19)+((G20/C19)*M20)+((G21/C19)*M21)+((G22/C19)*M22))&gt;=1,3.571428,IF((((G19/C19)*M19)+((G20/C19)*M20)+((G21/C19)*M21)+((G22/C19)*M22))&lt;=0,0,((((G19/C19)*M19)+((G20/C19)*M20)+((G21/C19)*M21)+((G22/C19)*M22))*3.571428)))</f>
        <v>8.7329518779342738E-2</v>
      </c>
      <c r="P19" s="858">
        <f>O19/3.571428</f>
        <v>2.4452269170579032E-2</v>
      </c>
      <c r="Q19" s="916" t="s">
        <v>163</v>
      </c>
      <c r="R19" s="102"/>
      <c r="S19" s="343" t="s">
        <v>379</v>
      </c>
    </row>
    <row r="20" spans="1:19" ht="39" customHeight="1" thickBot="1" x14ac:dyDescent="0.5">
      <c r="A20" s="703"/>
      <c r="B20" s="716"/>
      <c r="C20" s="719"/>
      <c r="D20" s="443" t="s">
        <v>152</v>
      </c>
      <c r="E20" s="444">
        <f>($C$19/4)</f>
        <v>0.8928571428571429</v>
      </c>
      <c r="F20" s="445" t="s">
        <v>265</v>
      </c>
      <c r="G20" s="436">
        <f>E20/1</f>
        <v>0.8928571428571429</v>
      </c>
      <c r="H20" s="917"/>
      <c r="I20" s="918">
        <v>18</v>
      </c>
      <c r="J20" s="919">
        <f t="shared" ref="J20:J24" si="3">H20-I20</f>
        <v>-18</v>
      </c>
      <c r="K20" s="894">
        <f>(100-I20)*(6/10)</f>
        <v>49.199999999999996</v>
      </c>
      <c r="L20" s="920">
        <f t="shared" si="2"/>
        <v>67.199999999999989</v>
      </c>
      <c r="M20" s="881" t="str">
        <f>IF(K20=0,J20/K20,"0%")</f>
        <v>0%</v>
      </c>
      <c r="N20" s="921"/>
      <c r="O20" s="922"/>
      <c r="P20" s="899"/>
      <c r="Q20" s="923" t="s">
        <v>164</v>
      </c>
      <c r="R20" s="103" t="s">
        <v>300</v>
      </c>
      <c r="S20" s="165" t="s">
        <v>403</v>
      </c>
    </row>
    <row r="21" spans="1:19" ht="56.45" customHeight="1" thickBot="1" x14ac:dyDescent="0.5">
      <c r="A21" s="703"/>
      <c r="B21" s="716"/>
      <c r="C21" s="719"/>
      <c r="D21" s="443" t="s">
        <v>153</v>
      </c>
      <c r="E21" s="444">
        <f t="shared" ref="E21:E22" si="4">($C$19/4)</f>
        <v>0.8928571428571429</v>
      </c>
      <c r="F21" s="445" t="s">
        <v>155</v>
      </c>
      <c r="G21" s="436">
        <f>E21/1</f>
        <v>0.8928571428571429</v>
      </c>
      <c r="H21" s="924"/>
      <c r="I21" s="918">
        <v>52.3</v>
      </c>
      <c r="J21" s="919">
        <f t="shared" si="3"/>
        <v>-52.3</v>
      </c>
      <c r="K21" s="894">
        <f>(0.3*I21)*6/10</f>
        <v>9.4139999999999979</v>
      </c>
      <c r="L21" s="920">
        <f t="shared" si="2"/>
        <v>61.713999999999999</v>
      </c>
      <c r="M21" s="881" t="str">
        <f>IF(K21=0,J21/K21,"0%")</f>
        <v>0%</v>
      </c>
      <c r="N21" s="921"/>
      <c r="O21" s="922"/>
      <c r="P21" s="899"/>
      <c r="Q21" s="923" t="s">
        <v>165</v>
      </c>
      <c r="R21" s="104" t="s">
        <v>301</v>
      </c>
      <c r="S21" s="165" t="s">
        <v>404</v>
      </c>
    </row>
    <row r="22" spans="1:19" ht="36.6" customHeight="1" thickBot="1" x14ac:dyDescent="0.5">
      <c r="A22" s="703"/>
      <c r="B22" s="717"/>
      <c r="C22" s="720"/>
      <c r="D22" s="428" t="s">
        <v>154</v>
      </c>
      <c r="E22" s="446">
        <f t="shared" si="4"/>
        <v>0.8928571428571429</v>
      </c>
      <c r="F22" s="447" t="s">
        <v>156</v>
      </c>
      <c r="G22" s="448">
        <f>E22/1</f>
        <v>0.8928571428571429</v>
      </c>
      <c r="H22" s="925">
        <v>59.9</v>
      </c>
      <c r="I22" s="926">
        <v>57.4</v>
      </c>
      <c r="J22" s="927">
        <f t="shared" si="3"/>
        <v>2.5</v>
      </c>
      <c r="K22" s="904">
        <f>(100-I22)*(6/10)</f>
        <v>25.56</v>
      </c>
      <c r="L22" s="928">
        <f t="shared" si="2"/>
        <v>82.96</v>
      </c>
      <c r="M22" s="881">
        <f>IF(K22&lt;&gt;0,J22/K22,"100%")</f>
        <v>9.7809076682316129E-2</v>
      </c>
      <c r="N22" s="866"/>
      <c r="O22" s="867"/>
      <c r="P22" s="868"/>
      <c r="Q22" s="929" t="s">
        <v>95</v>
      </c>
      <c r="R22" s="149" t="s">
        <v>302</v>
      </c>
      <c r="S22" s="62" t="s">
        <v>303</v>
      </c>
    </row>
    <row r="23" spans="1:19" ht="20.45" customHeight="1" thickBot="1" x14ac:dyDescent="0.5">
      <c r="B23" s="712" t="s">
        <v>13</v>
      </c>
      <c r="C23" s="713"/>
      <c r="D23" s="713"/>
      <c r="E23" s="713"/>
      <c r="F23" s="714"/>
      <c r="G23" s="438"/>
      <c r="H23" s="908"/>
      <c r="I23" s="909"/>
      <c r="J23" s="930"/>
      <c r="K23" s="930"/>
      <c r="L23" s="930"/>
      <c r="M23" s="931"/>
      <c r="N23" s="843">
        <f>N24</f>
        <v>0</v>
      </c>
      <c r="O23" s="844">
        <f>O24</f>
        <v>0</v>
      </c>
      <c r="P23" s="845">
        <f>O23/3.571428</f>
        <v>0</v>
      </c>
      <c r="Q23" s="910"/>
      <c r="R23" s="17"/>
      <c r="S23" s="17"/>
    </row>
    <row r="24" spans="1:19" ht="36" customHeight="1" thickBot="1" x14ac:dyDescent="0.5">
      <c r="A24" s="703">
        <v>5</v>
      </c>
      <c r="B24" s="715" t="s">
        <v>14</v>
      </c>
      <c r="C24" s="718">
        <f>M5</f>
        <v>3.5714285714285716</v>
      </c>
      <c r="D24" s="440" t="s">
        <v>115</v>
      </c>
      <c r="E24" s="441">
        <f>$C$24/4</f>
        <v>0.8928571428571429</v>
      </c>
      <c r="F24" s="440" t="s">
        <v>280</v>
      </c>
      <c r="G24" s="411">
        <f>E24/1</f>
        <v>0.8928571428571429</v>
      </c>
      <c r="H24" s="932"/>
      <c r="I24" s="933">
        <v>0.05</v>
      </c>
      <c r="J24" s="885">
        <f t="shared" si="3"/>
        <v>-0.05</v>
      </c>
      <c r="K24" s="886">
        <f>(0.3*I24)*6/10</f>
        <v>8.9999999999999993E-3</v>
      </c>
      <c r="L24" s="915">
        <f>K24+I24</f>
        <v>5.9000000000000004E-2</v>
      </c>
      <c r="M24" s="934" t="str">
        <f t="shared" ref="M24:M30" si="5">IF(K24=0,J24/K24,"0%")</f>
        <v>0%</v>
      </c>
      <c r="N24" s="856">
        <f>(((G24/C24)*M24)+((G25/C24)*M25)+ ((G26/C24)*M26)+((G27/C24)*M27)+((G28/C24)*M28)+((G29/C24)*M29)+((G30/C24)*M30)+((G31/C24)*M31))</f>
        <v>0</v>
      </c>
      <c r="O24" s="857">
        <f>IF((((G24/C24)*M24)+((G25/C24)*M25)+ ((G26/C24)*M26)+((G27/C24)*M27)+((G28/C24)*M28)+((G29/C24)*M29)+((G30/C24)*M30)+((G31/C24)*M31))&gt;=1,3.571428,IF((((G24/C24)*M24)+((G25/C24)*M25)+ ((G26/C24)*M26)+((G27/C24)*M27)+((G28/C24)*M28)+((G29/C24)*M29)+((G30/C24)*M30)+((G31/C24)*M31))&lt;=0,0,((((G24/C24)*M24)+((G25/C24)*M25)+ ((G26/C24)*M26)+((G27/C24)*M27)+((G28/C24)*M28)+((G29/C24)*M29)+((G30/C24)*M30)+((G31/C24)*M31))*3.571428)))</f>
        <v>0</v>
      </c>
      <c r="P24" s="858">
        <f>O24/3.571428</f>
        <v>0</v>
      </c>
      <c r="Q24" s="935" t="s">
        <v>166</v>
      </c>
      <c r="R24" s="166" t="s">
        <v>304</v>
      </c>
      <c r="S24" s="167" t="s">
        <v>405</v>
      </c>
    </row>
    <row r="25" spans="1:19" ht="19.8" customHeight="1" thickBot="1" x14ac:dyDescent="0.5">
      <c r="A25" s="703"/>
      <c r="B25" s="716"/>
      <c r="C25" s="719"/>
      <c r="D25" s="727" t="s">
        <v>158</v>
      </c>
      <c r="E25" s="730">
        <v>0.9</v>
      </c>
      <c r="F25" s="443" t="s">
        <v>15</v>
      </c>
      <c r="G25" s="436">
        <f>$E$25/3</f>
        <v>0.3</v>
      </c>
      <c r="H25" s="917"/>
      <c r="I25" s="936">
        <v>860</v>
      </c>
      <c r="J25" s="919">
        <f t="shared" ref="J25:J30" si="6">I25-H25</f>
        <v>860</v>
      </c>
      <c r="K25" s="894">
        <f>(0.5*I25)*6/10</f>
        <v>258</v>
      </c>
      <c r="L25" s="920">
        <f t="shared" ref="L25:L30" si="7">I25-K25</f>
        <v>602</v>
      </c>
      <c r="M25" s="881" t="str">
        <f t="shared" si="5"/>
        <v>0%</v>
      </c>
      <c r="N25" s="921"/>
      <c r="O25" s="922"/>
      <c r="P25" s="899"/>
      <c r="Q25" s="937" t="s">
        <v>167</v>
      </c>
      <c r="R25" s="150" t="s">
        <v>304</v>
      </c>
      <c r="S25" s="167" t="s">
        <v>405</v>
      </c>
    </row>
    <row r="26" spans="1:19" ht="19.8" customHeight="1" thickBot="1" x14ac:dyDescent="0.5">
      <c r="A26" s="703"/>
      <c r="B26" s="716"/>
      <c r="C26" s="719"/>
      <c r="D26" s="728"/>
      <c r="E26" s="719"/>
      <c r="F26" s="443" t="s">
        <v>16</v>
      </c>
      <c r="G26" s="436">
        <f t="shared" ref="G26:G27" si="8">$E$25/3</f>
        <v>0.3</v>
      </c>
      <c r="H26" s="917"/>
      <c r="I26" s="936">
        <v>34</v>
      </c>
      <c r="J26" s="919">
        <f t="shared" si="6"/>
        <v>34</v>
      </c>
      <c r="K26" s="894">
        <f>(0.8*I26)*6/10</f>
        <v>16.32</v>
      </c>
      <c r="L26" s="920">
        <f t="shared" si="7"/>
        <v>17.68</v>
      </c>
      <c r="M26" s="881" t="str">
        <f t="shared" si="5"/>
        <v>0%</v>
      </c>
      <c r="N26" s="921"/>
      <c r="O26" s="922"/>
      <c r="P26" s="899"/>
      <c r="Q26" s="937" t="s">
        <v>168</v>
      </c>
      <c r="R26" s="168" t="s">
        <v>304</v>
      </c>
      <c r="S26" s="167" t="s">
        <v>405</v>
      </c>
    </row>
    <row r="27" spans="1:19" ht="19.8" customHeight="1" thickBot="1" x14ac:dyDescent="0.5">
      <c r="A27" s="703"/>
      <c r="B27" s="716"/>
      <c r="C27" s="719"/>
      <c r="D27" s="729"/>
      <c r="E27" s="731"/>
      <c r="F27" s="443" t="s">
        <v>17</v>
      </c>
      <c r="G27" s="436">
        <f t="shared" si="8"/>
        <v>0.3</v>
      </c>
      <c r="H27" s="917"/>
      <c r="I27" s="936">
        <v>133</v>
      </c>
      <c r="J27" s="919">
        <f t="shared" si="6"/>
        <v>133</v>
      </c>
      <c r="K27" s="894">
        <f>(0.5*I27)*(6/10)</f>
        <v>39.9</v>
      </c>
      <c r="L27" s="920">
        <f t="shared" si="7"/>
        <v>93.1</v>
      </c>
      <c r="M27" s="881" t="str">
        <f t="shared" si="5"/>
        <v>0%</v>
      </c>
      <c r="N27" s="921"/>
      <c r="O27" s="922"/>
      <c r="P27" s="899"/>
      <c r="Q27" s="937" t="s">
        <v>169</v>
      </c>
      <c r="R27" s="168" t="s">
        <v>304</v>
      </c>
      <c r="S27" s="167" t="s">
        <v>405</v>
      </c>
    </row>
    <row r="28" spans="1:19" ht="30.6" customHeight="1" thickBot="1" x14ac:dyDescent="0.5">
      <c r="A28" s="22"/>
      <c r="B28" s="716"/>
      <c r="C28" s="719"/>
      <c r="D28" s="727" t="s">
        <v>116</v>
      </c>
      <c r="E28" s="730">
        <f t="shared" ref="E28:E31" si="9">$C$24/4</f>
        <v>0.8928571428571429</v>
      </c>
      <c r="F28" s="443" t="s">
        <v>148</v>
      </c>
      <c r="G28" s="436">
        <f>$E$28/3</f>
        <v>0.29761904761904762</v>
      </c>
      <c r="H28" s="917"/>
      <c r="I28" s="936">
        <v>0.32</v>
      </c>
      <c r="J28" s="919">
        <f t="shared" si="6"/>
        <v>0.32</v>
      </c>
      <c r="K28" s="894">
        <f>(0.5*I28)*(6/10)</f>
        <v>9.6000000000000002E-2</v>
      </c>
      <c r="L28" s="920">
        <f t="shared" si="7"/>
        <v>0.224</v>
      </c>
      <c r="M28" s="881" t="str">
        <f t="shared" si="5"/>
        <v>0%</v>
      </c>
      <c r="N28" s="921"/>
      <c r="O28" s="922"/>
      <c r="P28" s="899"/>
      <c r="Q28" s="937" t="s">
        <v>170</v>
      </c>
      <c r="R28" s="150" t="s">
        <v>305</v>
      </c>
      <c r="S28" s="167" t="s">
        <v>405</v>
      </c>
    </row>
    <row r="29" spans="1:19" ht="20.45" customHeight="1" thickBot="1" x14ac:dyDescent="0.5">
      <c r="A29" s="22"/>
      <c r="B29" s="716"/>
      <c r="C29" s="719"/>
      <c r="D29" s="728"/>
      <c r="E29" s="719"/>
      <c r="F29" s="443" t="s">
        <v>149</v>
      </c>
      <c r="G29" s="436">
        <f t="shared" ref="G29:G30" si="10">$E$28/3</f>
        <v>0.29761904761904762</v>
      </c>
      <c r="H29" s="917"/>
      <c r="I29" s="936">
        <v>113.17</v>
      </c>
      <c r="J29" s="919">
        <f t="shared" si="6"/>
        <v>113.17</v>
      </c>
      <c r="K29" s="894">
        <f>(0.5*I29)*(6/10)</f>
        <v>33.951000000000001</v>
      </c>
      <c r="L29" s="920">
        <f t="shared" si="7"/>
        <v>79.218999999999994</v>
      </c>
      <c r="M29" s="881" t="str">
        <f t="shared" si="5"/>
        <v>0%</v>
      </c>
      <c r="N29" s="921"/>
      <c r="O29" s="922"/>
      <c r="P29" s="899"/>
      <c r="Q29" s="937" t="s">
        <v>171</v>
      </c>
      <c r="R29" s="150" t="s">
        <v>305</v>
      </c>
      <c r="S29" s="167" t="s">
        <v>405</v>
      </c>
    </row>
    <row r="30" spans="1:19" ht="20.45" customHeight="1" thickBot="1" x14ac:dyDescent="0.5">
      <c r="A30" s="22"/>
      <c r="B30" s="716"/>
      <c r="C30" s="719"/>
      <c r="D30" s="729"/>
      <c r="E30" s="731"/>
      <c r="F30" s="443" t="s">
        <v>150</v>
      </c>
      <c r="G30" s="436">
        <f t="shared" si="10"/>
        <v>0.29761904761904762</v>
      </c>
      <c r="H30" s="917"/>
      <c r="I30" s="936">
        <v>57.57</v>
      </c>
      <c r="J30" s="919">
        <f t="shared" si="6"/>
        <v>57.57</v>
      </c>
      <c r="K30" s="894">
        <f>(0.5*I30)*(6/10)</f>
        <v>17.271000000000001</v>
      </c>
      <c r="L30" s="920">
        <f t="shared" si="7"/>
        <v>40.298999999999999</v>
      </c>
      <c r="M30" s="881" t="str">
        <f t="shared" si="5"/>
        <v>0%</v>
      </c>
      <c r="N30" s="921"/>
      <c r="O30" s="922"/>
      <c r="P30" s="899"/>
      <c r="Q30" s="937" t="s">
        <v>172</v>
      </c>
      <c r="R30" s="150"/>
      <c r="S30" s="167" t="s">
        <v>405</v>
      </c>
    </row>
    <row r="31" spans="1:19" ht="34.9" customHeight="1" thickBot="1" x14ac:dyDescent="0.5">
      <c r="A31" s="22"/>
      <c r="B31" s="717"/>
      <c r="C31" s="720"/>
      <c r="D31" s="450" t="s">
        <v>117</v>
      </c>
      <c r="E31" s="451">
        <f t="shared" si="9"/>
        <v>0.8928571428571429</v>
      </c>
      <c r="F31" s="452" t="s">
        <v>223</v>
      </c>
      <c r="G31" s="419">
        <f>E31/1</f>
        <v>0.8928571428571429</v>
      </c>
      <c r="H31" s="938"/>
      <c r="I31" s="939"/>
      <c r="J31" s="927">
        <f t="shared" ref="J31" si="11">H31-I31</f>
        <v>0</v>
      </c>
      <c r="K31" s="904">
        <f>(100-I31)*(6/10)</f>
        <v>60</v>
      </c>
      <c r="L31" s="928">
        <f>K31+I31</f>
        <v>60</v>
      </c>
      <c r="M31" s="865">
        <f t="shared" ref="M31" si="12">IF(K31&lt;&gt;0,J31/K31,"0%")</f>
        <v>0</v>
      </c>
      <c r="N31" s="866"/>
      <c r="O31" s="867"/>
      <c r="P31" s="868"/>
      <c r="Q31" s="940" t="s">
        <v>95</v>
      </c>
      <c r="R31" s="169"/>
      <c r="S31" s="165" t="s">
        <v>397</v>
      </c>
    </row>
    <row r="32" spans="1:19" ht="20.45" customHeight="1" thickBot="1" x14ac:dyDescent="0.5">
      <c r="B32" s="712" t="s">
        <v>18</v>
      </c>
      <c r="C32" s="713"/>
      <c r="D32" s="713"/>
      <c r="E32" s="713"/>
      <c r="F32" s="714"/>
      <c r="G32" s="438"/>
      <c r="H32" s="941"/>
      <c r="I32" s="942"/>
      <c r="J32" s="943"/>
      <c r="K32" s="944"/>
      <c r="L32" s="945"/>
      <c r="M32" s="946"/>
      <c r="N32" s="843">
        <f>(N33+N34+N35+N36)/4</f>
        <v>-9.4471811713190995E-2</v>
      </c>
      <c r="O32" s="844">
        <f>(O33+O34+O35+O36)</f>
        <v>1.9157085057471273</v>
      </c>
      <c r="P32" s="845">
        <f>O32/14.285712</f>
        <v>0.1340996168582376</v>
      </c>
      <c r="Q32" s="910"/>
      <c r="R32" s="16"/>
      <c r="S32" s="16"/>
    </row>
    <row r="33" spans="1:19" ht="33.6" customHeight="1" thickBot="1" x14ac:dyDescent="0.5">
      <c r="A33" s="22">
        <v>6</v>
      </c>
      <c r="B33" s="453" t="s">
        <v>19</v>
      </c>
      <c r="C33" s="454">
        <f>$M$5</f>
        <v>3.5714285714285716</v>
      </c>
      <c r="D33" s="455" t="s">
        <v>287</v>
      </c>
      <c r="E33" s="456">
        <f>C33/1</f>
        <v>3.5714285714285716</v>
      </c>
      <c r="F33" s="453" t="s">
        <v>288</v>
      </c>
      <c r="G33" s="454">
        <f>E33/1</f>
        <v>3.5714285714285716</v>
      </c>
      <c r="H33" s="947">
        <v>0.6</v>
      </c>
      <c r="I33" s="948">
        <v>-1.1499999999999999</v>
      </c>
      <c r="J33" s="949">
        <f>IF(H33&lt;7,(H33-7),(H33-I33))</f>
        <v>-6.4</v>
      </c>
      <c r="K33" s="950">
        <f>IF((7-H33&gt;=0),(7-H33),0)</f>
        <v>6.4</v>
      </c>
      <c r="L33" s="951">
        <f>IF((I33&lt;7),7,I33)</f>
        <v>7</v>
      </c>
      <c r="M33" s="952">
        <f>IF(K33&lt;&gt;0,J33/7,(1+((H33-I33)/I33)))</f>
        <v>-0.91428571428571437</v>
      </c>
      <c r="N33" s="953">
        <f>((G33/C33)*M33)</f>
        <v>-0.91428571428571437</v>
      </c>
      <c r="O33" s="954">
        <f>IF(((G33/C33)*M33)&gt;=1,3.571428,IF(((G33/C33)*M33)&lt;=0,0,((G33/C33)*M33)*3.571428))</f>
        <v>0</v>
      </c>
      <c r="P33" s="845">
        <f>O33/3.571428</f>
        <v>0</v>
      </c>
      <c r="Q33" s="955" t="s">
        <v>97</v>
      </c>
      <c r="R33" s="151" t="s">
        <v>306</v>
      </c>
      <c r="S33" s="457"/>
    </row>
    <row r="34" spans="1:19" ht="51" customHeight="1" thickBot="1" x14ac:dyDescent="0.5">
      <c r="A34" s="22">
        <v>7</v>
      </c>
      <c r="B34" s="453" t="s">
        <v>20</v>
      </c>
      <c r="C34" s="454">
        <f t="shared" ref="C34:C36" si="13">$M$5</f>
        <v>3.5714285714285716</v>
      </c>
      <c r="D34" s="453" t="s">
        <v>118</v>
      </c>
      <c r="E34" s="456">
        <f t="shared" ref="E34:E36" si="14">C34/1</f>
        <v>3.5714285714285716</v>
      </c>
      <c r="F34" s="453" t="s">
        <v>21</v>
      </c>
      <c r="G34" s="454">
        <f>E34/1</f>
        <v>3.5714285714285716</v>
      </c>
      <c r="H34" s="956">
        <v>10.1</v>
      </c>
      <c r="I34" s="957">
        <v>8.6999999999999993</v>
      </c>
      <c r="J34" s="958">
        <f>H34-I34</f>
        <v>1.4000000000000004</v>
      </c>
      <c r="K34" s="959">
        <f>(0.5*I34)*(6/10)</f>
        <v>2.61</v>
      </c>
      <c r="L34" s="960">
        <f>K34+I34</f>
        <v>11.309999999999999</v>
      </c>
      <c r="M34" s="952">
        <f>IF(K34&lt;&gt;0,J34/K34,"0%")</f>
        <v>0.53639846743295039</v>
      </c>
      <c r="N34" s="953">
        <f>((G34/C34)*M34)</f>
        <v>0.53639846743295039</v>
      </c>
      <c r="O34" s="954">
        <f>IF(((G34/C34)*M34)&gt;=1,3.571428,IF(((G34/C34)*M34)&lt;=0,0,((G34/C34)*M34)*3.571428))</f>
        <v>1.9157085057471273</v>
      </c>
      <c r="P34" s="845">
        <f t="shared" ref="P34:P36" si="15">O34/3.571428</f>
        <v>0.53639846743295039</v>
      </c>
      <c r="Q34" s="955" t="s">
        <v>173</v>
      </c>
      <c r="R34" s="170" t="s">
        <v>307</v>
      </c>
      <c r="S34" s="24" t="s">
        <v>308</v>
      </c>
    </row>
    <row r="35" spans="1:19" ht="40.799999999999997" customHeight="1" thickBot="1" x14ac:dyDescent="0.5">
      <c r="A35" s="22">
        <v>8</v>
      </c>
      <c r="B35" s="453" t="s">
        <v>22</v>
      </c>
      <c r="C35" s="454">
        <f t="shared" si="13"/>
        <v>3.5714285714285716</v>
      </c>
      <c r="D35" s="453" t="s">
        <v>119</v>
      </c>
      <c r="E35" s="456">
        <f t="shared" si="14"/>
        <v>3.5714285714285716</v>
      </c>
      <c r="F35" s="453" t="s">
        <v>23</v>
      </c>
      <c r="G35" s="454">
        <f>E35/1</f>
        <v>3.5714285714285716</v>
      </c>
      <c r="H35" s="961"/>
      <c r="I35" s="962">
        <v>0.32</v>
      </c>
      <c r="J35" s="963">
        <f>H35-I35</f>
        <v>-0.32</v>
      </c>
      <c r="K35" s="964">
        <f>IF((I35&gt;=1),0,((1-I35)*0.6))</f>
        <v>0.40799999999999997</v>
      </c>
      <c r="L35" s="951">
        <f>I35+K35</f>
        <v>0.72799999999999998</v>
      </c>
      <c r="M35" s="881" t="str">
        <f>IF(K35=0,J35/K35,"0%")</f>
        <v>0%</v>
      </c>
      <c r="N35" s="953">
        <f>((G35/C35)*M35)</f>
        <v>0</v>
      </c>
      <c r="O35" s="954">
        <f>IF(((G35/C35)*M35)&gt;=1,3.571428,IF(((G35/C35)*M35)&lt;=0,0,((G35/C35)*M35)*3.571428))</f>
        <v>0</v>
      </c>
      <c r="P35" s="845">
        <f t="shared" si="15"/>
        <v>0</v>
      </c>
      <c r="Q35" s="955" t="s">
        <v>174</v>
      </c>
      <c r="R35" s="106" t="s">
        <v>309</v>
      </c>
      <c r="S35" s="135" t="s">
        <v>406</v>
      </c>
    </row>
    <row r="36" spans="1:19" ht="32.450000000000003" customHeight="1" thickBot="1" x14ac:dyDescent="0.5">
      <c r="A36" s="22">
        <v>9</v>
      </c>
      <c r="B36" s="453" t="s">
        <v>24</v>
      </c>
      <c r="C36" s="454">
        <f t="shared" si="13"/>
        <v>3.5714285714285716</v>
      </c>
      <c r="D36" s="453" t="s">
        <v>275</v>
      </c>
      <c r="E36" s="456">
        <f t="shared" si="14"/>
        <v>3.5714285714285716</v>
      </c>
      <c r="F36" s="458" t="s">
        <v>25</v>
      </c>
      <c r="G36" s="454">
        <f>E36/1</f>
        <v>3.5714285714285716</v>
      </c>
      <c r="H36" s="965"/>
      <c r="I36" s="966"/>
      <c r="J36" s="967">
        <f>H36-I36</f>
        <v>0</v>
      </c>
      <c r="K36" s="968">
        <f>(1*I36)*(6/10)</f>
        <v>0</v>
      </c>
      <c r="L36" s="969">
        <f>I36+K36</f>
        <v>0</v>
      </c>
      <c r="M36" s="952" t="str">
        <f>IF(K36&lt;&gt;0,J36/K36,"0%")</f>
        <v>0%</v>
      </c>
      <c r="N36" s="953">
        <f>((G36/C36)*M36)</f>
        <v>0</v>
      </c>
      <c r="O36" s="954">
        <f>IF(((G36/C36)*M36)&gt;=1,3.571428,IF(((G36/C36)*M36)&lt;=0,0,((G36/C36)*M36)*3.571428))</f>
        <v>0</v>
      </c>
      <c r="P36" s="845">
        <f t="shared" si="15"/>
        <v>0</v>
      </c>
      <c r="Q36" s="970" t="s">
        <v>175</v>
      </c>
      <c r="R36" s="105"/>
      <c r="S36" s="24" t="s">
        <v>310</v>
      </c>
    </row>
    <row r="37" spans="1:19" ht="30.6" customHeight="1" thickBot="1" x14ac:dyDescent="0.5">
      <c r="B37" s="724" t="s">
        <v>26</v>
      </c>
      <c r="C37" s="725"/>
      <c r="D37" s="725"/>
      <c r="E37" s="725"/>
      <c r="F37" s="726"/>
      <c r="G37" s="459"/>
      <c r="H37" s="971"/>
      <c r="I37" s="972"/>
      <c r="J37" s="973"/>
      <c r="K37" s="973"/>
      <c r="L37" s="973"/>
      <c r="M37" s="974"/>
      <c r="N37" s="843">
        <f>N38</f>
        <v>0</v>
      </c>
      <c r="O37" s="844">
        <f>O38</f>
        <v>0</v>
      </c>
      <c r="P37" s="845">
        <f>O37/3.571428</f>
        <v>0</v>
      </c>
      <c r="Q37" s="975"/>
      <c r="R37" s="15"/>
      <c r="S37" s="16"/>
    </row>
    <row r="38" spans="1:19" ht="25.8" customHeight="1" thickBot="1" x14ac:dyDescent="0.5">
      <c r="A38" s="703">
        <v>10</v>
      </c>
      <c r="B38" s="715" t="s">
        <v>27</v>
      </c>
      <c r="C38" s="718">
        <f>M5</f>
        <v>3.5714285714285716</v>
      </c>
      <c r="D38" s="434" t="s">
        <v>120</v>
      </c>
      <c r="E38" s="441">
        <f>$C$38/2</f>
        <v>1.7857142857142858</v>
      </c>
      <c r="F38" s="460" t="s">
        <v>224</v>
      </c>
      <c r="G38" s="411">
        <f>E38/1</f>
        <v>1.7857142857142858</v>
      </c>
      <c r="H38" s="976"/>
      <c r="I38" s="977">
        <v>0.87</v>
      </c>
      <c r="J38" s="978">
        <f>H38-I38</f>
        <v>-0.87</v>
      </c>
      <c r="K38" s="979">
        <f>(1*I38)*(6/10)</f>
        <v>0.52200000000000002</v>
      </c>
      <c r="L38" s="980">
        <f>I38+K38</f>
        <v>1.3919999999999999</v>
      </c>
      <c r="M38" s="881" t="str">
        <f>IF(K38=0,J38/K38,"0%")</f>
        <v>0%</v>
      </c>
      <c r="N38" s="888">
        <f>(((G38/C38)*M38)+((G39/C38)*M39))</f>
        <v>0</v>
      </c>
      <c r="O38" s="857">
        <f>IF((((G38/C38)*M38)+((G39/C38)*M39))&gt;=1,3.57148,IF((((G38/C38)*M38)+((G39/C38)*M39))&lt;=0,0, (((G38/C38)*M38)+((G39/C38)*M39))*3.571428))</f>
        <v>0</v>
      </c>
      <c r="P38" s="858">
        <f>O38/3.571428</f>
        <v>0</v>
      </c>
      <c r="Q38" s="981" t="s">
        <v>176</v>
      </c>
      <c r="R38" s="69"/>
      <c r="S38" s="135" t="s">
        <v>407</v>
      </c>
    </row>
    <row r="39" spans="1:19" ht="46.9" thickBot="1" x14ac:dyDescent="0.5">
      <c r="A39" s="703"/>
      <c r="B39" s="717"/>
      <c r="C39" s="720"/>
      <c r="D39" s="435" t="s">
        <v>157</v>
      </c>
      <c r="E39" s="451">
        <f>$C$38/2</f>
        <v>1.7857142857142858</v>
      </c>
      <c r="F39" s="461" t="s">
        <v>225</v>
      </c>
      <c r="G39" s="436">
        <f>E39/1</f>
        <v>1.7857142857142858</v>
      </c>
      <c r="H39" s="917"/>
      <c r="I39" s="936">
        <v>26.05</v>
      </c>
      <c r="J39" s="982">
        <f>H39-I39</f>
        <v>-26.05</v>
      </c>
      <c r="K39" s="983">
        <f>IF(AND(I39&gt;=10,H39&gt;=I39),0,((10-H39)*(6/10)))</f>
        <v>6</v>
      </c>
      <c r="L39" s="984">
        <f>I39+K39</f>
        <v>32.049999999999997</v>
      </c>
      <c r="M39" s="881" t="str">
        <f>IF(K39=0,J39/K39,"0%")</f>
        <v>0%</v>
      </c>
      <c r="N39" s="905"/>
      <c r="O39" s="867"/>
      <c r="P39" s="868"/>
      <c r="Q39" s="985" t="s">
        <v>95</v>
      </c>
      <c r="R39" s="115"/>
      <c r="S39" s="135" t="s">
        <v>407</v>
      </c>
    </row>
    <row r="40" spans="1:19" ht="20.45" customHeight="1" thickBot="1" x14ac:dyDescent="0.5">
      <c r="B40" s="734" t="s">
        <v>28</v>
      </c>
      <c r="C40" s="735"/>
      <c r="D40" s="735"/>
      <c r="E40" s="735"/>
      <c r="F40" s="736"/>
      <c r="G40" s="459"/>
      <c r="H40" s="986"/>
      <c r="I40" s="987"/>
      <c r="J40" s="988"/>
      <c r="K40" s="988"/>
      <c r="L40" s="988"/>
      <c r="M40" s="989"/>
      <c r="N40" s="843">
        <f>N41</f>
        <v>0</v>
      </c>
      <c r="O40" s="844">
        <f>O41</f>
        <v>0</v>
      </c>
      <c r="P40" s="845">
        <f>O40/3.571428</f>
        <v>0</v>
      </c>
      <c r="Q40" s="990"/>
      <c r="R40" s="19"/>
      <c r="S40" s="17"/>
    </row>
    <row r="41" spans="1:19" ht="35.25" thickBot="1" x14ac:dyDescent="0.5">
      <c r="A41" s="703">
        <v>11</v>
      </c>
      <c r="B41" s="732" t="s">
        <v>29</v>
      </c>
      <c r="C41" s="718">
        <f>M5</f>
        <v>3.5714285714285716</v>
      </c>
      <c r="D41" s="462" t="s">
        <v>121</v>
      </c>
      <c r="E41" s="463">
        <f>$C$41/2</f>
        <v>1.7857142857142858</v>
      </c>
      <c r="F41" s="424" t="s">
        <v>30</v>
      </c>
      <c r="G41" s="464">
        <f>E41/1</f>
        <v>1.7857142857142858</v>
      </c>
      <c r="H41" s="991"/>
      <c r="I41" s="992"/>
      <c r="J41" s="993">
        <f>H41-I41</f>
        <v>0</v>
      </c>
      <c r="K41" s="994">
        <f>(0.5*I41)*(6/10)</f>
        <v>0</v>
      </c>
      <c r="L41" s="995">
        <f>I41+K41</f>
        <v>0</v>
      </c>
      <c r="M41" s="855" t="str">
        <f>IF(K41&lt;&gt;0,J41/K41,"0%")</f>
        <v>0%</v>
      </c>
      <c r="N41" s="996">
        <f>(((G41/C41)*M41)+(G42/C41)*M42)</f>
        <v>0</v>
      </c>
      <c r="O41" s="857">
        <f>IF((((G41/C41)*M41)+((G42/C41)*M42))&gt;=1,3.57148,IF((((G41/C41)*M41)+((G42/C41)*M42))&lt;=0,0, (((G41/C41)*M41)+((G42/C41)*M42))*3.571428))</f>
        <v>0</v>
      </c>
      <c r="P41" s="858">
        <f>O41/3.571428</f>
        <v>0</v>
      </c>
      <c r="Q41" s="997" t="s">
        <v>177</v>
      </c>
      <c r="R41" s="152"/>
      <c r="S41" s="167" t="s">
        <v>408</v>
      </c>
    </row>
    <row r="42" spans="1:19" ht="35.25" thickBot="1" x14ac:dyDescent="0.5">
      <c r="A42" s="703"/>
      <c r="B42" s="733"/>
      <c r="C42" s="720"/>
      <c r="D42" s="465" t="s">
        <v>122</v>
      </c>
      <c r="E42" s="446">
        <f>$C$41/2</f>
        <v>1.7857142857142858</v>
      </c>
      <c r="F42" s="428" t="s">
        <v>31</v>
      </c>
      <c r="G42" s="466">
        <f>E42/1</f>
        <v>1.7857142857142858</v>
      </c>
      <c r="H42" s="998"/>
      <c r="I42" s="999"/>
      <c r="J42" s="1000">
        <f>H42-I42</f>
        <v>0</v>
      </c>
      <c r="K42" s="879">
        <f>(0.5*I42)*(6/10)</f>
        <v>0</v>
      </c>
      <c r="L42" s="1001">
        <f>I42+K42</f>
        <v>0</v>
      </c>
      <c r="M42" s="881" t="str">
        <f>IF(K42&lt;&gt;0,J42/K42,"0%")</f>
        <v>0%</v>
      </c>
      <c r="N42" s="1002"/>
      <c r="O42" s="867"/>
      <c r="P42" s="868"/>
      <c r="Q42" s="997" t="s">
        <v>95</v>
      </c>
      <c r="R42" s="107"/>
      <c r="S42" s="167" t="s">
        <v>408</v>
      </c>
    </row>
    <row r="43" spans="1:19" ht="30.6" customHeight="1" thickBot="1" x14ac:dyDescent="0.5">
      <c r="B43" s="712" t="s">
        <v>32</v>
      </c>
      <c r="C43" s="713"/>
      <c r="D43" s="713"/>
      <c r="E43" s="713"/>
      <c r="F43" s="714"/>
      <c r="G43" s="438"/>
      <c r="H43" s="1003"/>
      <c r="I43" s="1004"/>
      <c r="J43" s="1005"/>
      <c r="K43" s="1005"/>
      <c r="L43" s="1005"/>
      <c r="M43" s="931"/>
      <c r="N43" s="843">
        <f>N44</f>
        <v>0</v>
      </c>
      <c r="O43" s="844">
        <f>O44</f>
        <v>0</v>
      </c>
      <c r="P43" s="845">
        <f>O43/3.571428</f>
        <v>0</v>
      </c>
      <c r="Q43" s="1006"/>
      <c r="R43" s="17"/>
      <c r="S43" s="17"/>
    </row>
    <row r="44" spans="1:19" ht="37.799999999999997" customHeight="1" thickBot="1" x14ac:dyDescent="0.5">
      <c r="A44" s="703">
        <v>12</v>
      </c>
      <c r="B44" s="732" t="s">
        <v>33</v>
      </c>
      <c r="C44" s="718">
        <f>M5</f>
        <v>3.5714285714285716</v>
      </c>
      <c r="D44" s="440" t="s">
        <v>123</v>
      </c>
      <c r="E44" s="467">
        <f>C44/2</f>
        <v>1.7857142857142858</v>
      </c>
      <c r="F44" s="440" t="s">
        <v>34</v>
      </c>
      <c r="G44" s="411">
        <f>$E$44/1</f>
        <v>1.7857142857142858</v>
      </c>
      <c r="H44" s="1007"/>
      <c r="I44" s="1008"/>
      <c r="J44" s="1009">
        <f>IF(I44=H44,(H44-30),H44-I44)</f>
        <v>-30</v>
      </c>
      <c r="K44" s="886">
        <f>IF(I44&gt;=30,0,((30-I44)*(6/10)))</f>
        <v>18</v>
      </c>
      <c r="L44" s="1010">
        <f>I44+K44</f>
        <v>18</v>
      </c>
      <c r="M44" s="881" t="str">
        <f>IF(K44=0,J44/K44,"0%")</f>
        <v>0%</v>
      </c>
      <c r="N44" s="888">
        <f>(((G44/C44)*M44)+((G45/C44)*M45))</f>
        <v>0</v>
      </c>
      <c r="O44" s="857">
        <f>IF((((G44/C44)*M44)+((G45/C44)*M45))&gt;=1,3.57148,IF((((G44/C44)*M44)+((G45/C44)*M45))&lt;=0,0, (((G44/C44)*M44)+((G45/C44)*M45))*3.571428))</f>
        <v>0</v>
      </c>
      <c r="P44" s="858">
        <f>O44/3.571428</f>
        <v>0</v>
      </c>
      <c r="Q44" s="890" t="s">
        <v>178</v>
      </c>
      <c r="R44" s="108"/>
      <c r="S44" s="165" t="s">
        <v>397</v>
      </c>
    </row>
    <row r="45" spans="1:19" ht="35.25" thickBot="1" x14ac:dyDescent="0.5">
      <c r="A45" s="703"/>
      <c r="B45" s="733"/>
      <c r="C45" s="720"/>
      <c r="D45" s="450" t="s">
        <v>124</v>
      </c>
      <c r="E45" s="468">
        <f>(C44/2)</f>
        <v>1.7857142857142858</v>
      </c>
      <c r="F45" s="450" t="s">
        <v>35</v>
      </c>
      <c r="G45" s="419">
        <f>$E$45/1</f>
        <v>1.7857142857142858</v>
      </c>
      <c r="H45" s="938"/>
      <c r="I45" s="1011">
        <v>70.2</v>
      </c>
      <c r="J45" s="1012">
        <f>IF(I45=H45,(H45-17),H45-I45)</f>
        <v>-70.2</v>
      </c>
      <c r="K45" s="1013">
        <f>IF(I45&gt;=17,0,((17-I45)*(6/10)))</f>
        <v>0</v>
      </c>
      <c r="L45" s="1014">
        <f>I45+K45</f>
        <v>70.2</v>
      </c>
      <c r="M45" s="881" t="str">
        <f>IF(K45=0,"0%",J45/K45)</f>
        <v>0%</v>
      </c>
      <c r="N45" s="905"/>
      <c r="O45" s="867"/>
      <c r="P45" s="868"/>
      <c r="Q45" s="907" t="s">
        <v>179</v>
      </c>
      <c r="R45" s="109"/>
      <c r="S45" s="135" t="s">
        <v>409</v>
      </c>
    </row>
    <row r="46" spans="1:19" ht="30.6" customHeight="1" thickBot="1" x14ac:dyDescent="0.5">
      <c r="B46" s="737" t="s">
        <v>36</v>
      </c>
      <c r="C46" s="738"/>
      <c r="D46" s="738"/>
      <c r="E46" s="738"/>
      <c r="F46" s="739"/>
      <c r="G46" s="469"/>
      <c r="H46" s="1015"/>
      <c r="I46" s="1016"/>
      <c r="J46" s="1017"/>
      <c r="K46" s="1017"/>
      <c r="L46" s="1017"/>
      <c r="M46" s="1018"/>
      <c r="N46" s="843">
        <f>(N47+N50+N52)/3</f>
        <v>0.62862847222222229</v>
      </c>
      <c r="O46" s="844">
        <f>(O47+O50+O52)</f>
        <v>4.3543519818750003</v>
      </c>
      <c r="P46" s="845">
        <f>O46/10.714284</f>
        <v>0.40640625000000008</v>
      </c>
      <c r="Q46" s="1019"/>
      <c r="R46" s="20"/>
      <c r="S46" s="20"/>
    </row>
    <row r="47" spans="1:19" ht="20.45" customHeight="1" thickBot="1" x14ac:dyDescent="0.5">
      <c r="B47" s="712" t="s">
        <v>37</v>
      </c>
      <c r="C47" s="713"/>
      <c r="D47" s="713"/>
      <c r="E47" s="713"/>
      <c r="F47" s="714"/>
      <c r="G47" s="470"/>
      <c r="H47" s="986"/>
      <c r="I47" s="987"/>
      <c r="J47" s="1020"/>
      <c r="K47" s="1020"/>
      <c r="L47" s="1020"/>
      <c r="M47" s="931"/>
      <c r="N47" s="843">
        <f>N48</f>
        <v>0</v>
      </c>
      <c r="O47" s="844">
        <f>O48</f>
        <v>0</v>
      </c>
      <c r="P47" s="845">
        <f>O47/3.571428</f>
        <v>0</v>
      </c>
      <c r="Q47" s="1006"/>
      <c r="R47" s="17"/>
      <c r="S47" s="17"/>
    </row>
    <row r="48" spans="1:19" ht="37.799999999999997" customHeight="1" x14ac:dyDescent="0.45">
      <c r="A48" s="703">
        <v>13</v>
      </c>
      <c r="B48" s="732" t="s">
        <v>38</v>
      </c>
      <c r="C48" s="718">
        <f>M5</f>
        <v>3.5714285714285716</v>
      </c>
      <c r="D48" s="440" t="s">
        <v>125</v>
      </c>
      <c r="E48" s="441">
        <f>$C$48/2</f>
        <v>1.7857142857142858</v>
      </c>
      <c r="F48" s="471" t="s">
        <v>289</v>
      </c>
      <c r="G48" s="411">
        <f>E48/1</f>
        <v>1.7857142857142858</v>
      </c>
      <c r="H48" s="1007">
        <v>1</v>
      </c>
      <c r="I48" s="1008">
        <v>0</v>
      </c>
      <c r="J48" s="914">
        <f>H48-I48</f>
        <v>1</v>
      </c>
      <c r="K48" s="1021">
        <f>(0.5*I48)* (6/10)</f>
        <v>0</v>
      </c>
      <c r="L48" s="1022">
        <f>I48-K48</f>
        <v>0</v>
      </c>
      <c r="M48" s="887" t="str">
        <f>IF(K48&lt;&gt;0,J48/K48,"0%")</f>
        <v>0%</v>
      </c>
      <c r="N48" s="1023">
        <f>(((G48/C48)*M48)+((G49/C48)*M49))</f>
        <v>0</v>
      </c>
      <c r="O48" s="857">
        <f>IF((((G48/C48)*M48)+((G49/C48)*M49))&gt;=1,3.57148,IF((((G48/C48)*M48)+((G49/C48)*M49))&lt;=0,0, (((G48/C48)*M48)+((G49/C48)*M49))*3.571428))</f>
        <v>0</v>
      </c>
      <c r="P48" s="858">
        <f>O48/3.571428</f>
        <v>0</v>
      </c>
      <c r="Q48" s="935" t="s">
        <v>95</v>
      </c>
      <c r="R48" s="69"/>
      <c r="S48" s="167" t="s">
        <v>410</v>
      </c>
    </row>
    <row r="49" spans="1:19" ht="30.6" customHeight="1" thickBot="1" x14ac:dyDescent="0.5">
      <c r="A49" s="703"/>
      <c r="B49" s="733"/>
      <c r="C49" s="720"/>
      <c r="D49" s="450" t="s">
        <v>126</v>
      </c>
      <c r="E49" s="451">
        <f>$C$48/2</f>
        <v>1.7857142857142858</v>
      </c>
      <c r="F49" s="450" t="s">
        <v>290</v>
      </c>
      <c r="G49" s="419">
        <f>E49/1</f>
        <v>1.7857142857142858</v>
      </c>
      <c r="H49" s="1024"/>
      <c r="I49" s="1025"/>
      <c r="J49" s="927">
        <f>H49-I49</f>
        <v>0</v>
      </c>
      <c r="K49" s="1026">
        <f>(2*I49)*(6/10)</f>
        <v>0</v>
      </c>
      <c r="L49" s="1027">
        <f>I49+K49</f>
        <v>0</v>
      </c>
      <c r="M49" s="881" t="str">
        <f>IF(K49&lt;&gt;0,J49/K49,"0%")</f>
        <v>0%</v>
      </c>
      <c r="N49" s="1028"/>
      <c r="O49" s="867"/>
      <c r="P49" s="868"/>
      <c r="Q49" s="940" t="s">
        <v>95</v>
      </c>
      <c r="R49" s="107"/>
      <c r="S49" s="165" t="s">
        <v>411</v>
      </c>
    </row>
    <row r="50" spans="1:19" ht="15" customHeight="1" thickBot="1" x14ac:dyDescent="0.5">
      <c r="B50" s="712" t="s">
        <v>39</v>
      </c>
      <c r="C50" s="713"/>
      <c r="D50" s="713"/>
      <c r="E50" s="713"/>
      <c r="F50" s="714"/>
      <c r="G50" s="472"/>
      <c r="H50" s="1029"/>
      <c r="I50" s="1030"/>
      <c r="J50" s="1031"/>
      <c r="K50" s="1031"/>
      <c r="L50" s="1031"/>
      <c r="M50" s="1032"/>
      <c r="N50" s="843">
        <f>N51</f>
        <v>1.6666666666666667</v>
      </c>
      <c r="O50" s="844">
        <f>O51</f>
        <v>3.571428</v>
      </c>
      <c r="P50" s="845">
        <f>O50/3.571428</f>
        <v>1</v>
      </c>
      <c r="Q50" s="1033"/>
      <c r="R50" s="18"/>
      <c r="S50" s="18"/>
    </row>
    <row r="51" spans="1:19" ht="30.6" customHeight="1" thickBot="1" x14ac:dyDescent="0.5">
      <c r="A51" s="21">
        <v>14</v>
      </c>
      <c r="B51" s="473" t="s">
        <v>226</v>
      </c>
      <c r="C51" s="474">
        <f>M5</f>
        <v>3.5714285714285716</v>
      </c>
      <c r="D51" s="475" t="s">
        <v>272</v>
      </c>
      <c r="E51" s="476">
        <f>C51</f>
        <v>3.5714285714285716</v>
      </c>
      <c r="F51" s="477" t="s">
        <v>266</v>
      </c>
      <c r="G51" s="478">
        <f>E51/1</f>
        <v>3.5714285714285716</v>
      </c>
      <c r="H51" s="1034">
        <v>100</v>
      </c>
      <c r="I51" s="1035">
        <v>0</v>
      </c>
      <c r="J51" s="1036">
        <f>H51-I51</f>
        <v>100</v>
      </c>
      <c r="K51" s="1037">
        <f>(100-I51)*(6/10)</f>
        <v>60</v>
      </c>
      <c r="L51" s="1038">
        <f>I51+K51</f>
        <v>60</v>
      </c>
      <c r="M51" s="865">
        <f>IF(K51&lt;&gt;0,J51/K51,"100%")</f>
        <v>1.6666666666666667</v>
      </c>
      <c r="N51" s="953">
        <f>((G51/C51)*M51)</f>
        <v>1.6666666666666667</v>
      </c>
      <c r="O51" s="954">
        <f>IF(((G51/C51)*M51)&gt;=1,3.571428,IF(((G51/C51)*M51)&lt;=0,0,((G51/C51)*M51)*3.571428))</f>
        <v>3.571428</v>
      </c>
      <c r="P51" s="845">
        <f>O51/3.571428</f>
        <v>1</v>
      </c>
      <c r="Q51" s="1039" t="s">
        <v>95</v>
      </c>
      <c r="R51" s="111"/>
      <c r="S51" s="344" t="s">
        <v>412</v>
      </c>
    </row>
    <row r="52" spans="1:19" ht="20.45" customHeight="1" thickBot="1" x14ac:dyDescent="0.5">
      <c r="B52" s="712" t="s">
        <v>40</v>
      </c>
      <c r="C52" s="713"/>
      <c r="D52" s="713"/>
      <c r="E52" s="713"/>
      <c r="F52" s="714"/>
      <c r="G52" s="470"/>
      <c r="H52" s="986"/>
      <c r="I52" s="987"/>
      <c r="J52" s="1020"/>
      <c r="K52" s="1020"/>
      <c r="L52" s="1020"/>
      <c r="M52" s="1040"/>
      <c r="N52" s="843">
        <f>N53</f>
        <v>0.21921875000000002</v>
      </c>
      <c r="O52" s="844">
        <f>O53</f>
        <v>0.78292398187500012</v>
      </c>
      <c r="P52" s="845">
        <f>O52/3.571428</f>
        <v>0.21921875000000002</v>
      </c>
      <c r="Q52" s="1041"/>
      <c r="R52" s="18"/>
      <c r="S52" s="18"/>
    </row>
    <row r="53" spans="1:19" ht="43.8" customHeight="1" x14ac:dyDescent="0.45">
      <c r="A53" s="703">
        <v>15</v>
      </c>
      <c r="B53" s="715" t="s">
        <v>108</v>
      </c>
      <c r="C53" s="718">
        <f>M5</f>
        <v>3.5714285714285716</v>
      </c>
      <c r="D53" s="480" t="s">
        <v>127</v>
      </c>
      <c r="E53" s="481">
        <f>$C$53/5</f>
        <v>0.7142857142857143</v>
      </c>
      <c r="F53" s="482" t="s">
        <v>41</v>
      </c>
      <c r="G53" s="411">
        <f>E53/1</f>
        <v>0.7142857142857143</v>
      </c>
      <c r="H53" s="1042">
        <v>66</v>
      </c>
      <c r="I53" s="1043">
        <v>0</v>
      </c>
      <c r="J53" s="914">
        <f>H53-I53</f>
        <v>66</v>
      </c>
      <c r="K53" s="1021">
        <f>(100-I53)*(6/10)</f>
        <v>60</v>
      </c>
      <c r="L53" s="980">
        <f t="shared" ref="L53:L58" si="16">I53+K53</f>
        <v>60</v>
      </c>
      <c r="M53" s="855">
        <f t="shared" ref="M53:M57" si="17">IF(K53&lt;&gt;0,J53/K53,"0%")</f>
        <v>1.1000000000000001</v>
      </c>
      <c r="N53" s="996">
        <f>(((G53/C53)*M53)+((G54/C53)*M54)+((G55/C53)*M55)+((G56/C53)*M56)+((G57/C53)*M57)+((G58/C53)*M58))</f>
        <v>0.21921875000000002</v>
      </c>
      <c r="O53" s="1044">
        <f>IF((((G53/C53)*M53)+((G54/C53)*M54)+((G55/C53)*M55)+((G56/C53)*M56)+((G57/C53)*M57)+((G58/C53)*M58))&gt;=1,3.571428,IF((((G53/C53)*M53)+((G54/C53)*M54)+((G55/C53)*M55)+((G56/C53)*M56)+((G57/C53)*M57)+((G58/C53)*M58))&lt;=0,0,((((G53/C53)*M53)+((G54/C53)*M54)+((G55/C53)*M55)+((G56/C53)*M56)+((G57/C53)*M57)+((G58/C53)*M58))*3.571428)))</f>
        <v>0.78292398187500012</v>
      </c>
      <c r="P53" s="858">
        <f>O53/3.571428</f>
        <v>0.21921875000000002</v>
      </c>
      <c r="Q53" s="1045" t="s">
        <v>95</v>
      </c>
      <c r="R53" s="112"/>
      <c r="S53" s="112"/>
    </row>
    <row r="54" spans="1:19" ht="35.450000000000003" customHeight="1" x14ac:dyDescent="0.45">
      <c r="A54" s="703"/>
      <c r="B54" s="716"/>
      <c r="C54" s="719"/>
      <c r="D54" s="483" t="s">
        <v>128</v>
      </c>
      <c r="E54" s="484">
        <f t="shared" ref="E54:E57" si="18">$C$53/5</f>
        <v>0.7142857142857143</v>
      </c>
      <c r="F54" s="485" t="s">
        <v>42</v>
      </c>
      <c r="G54" s="436">
        <f>E54/1</f>
        <v>0.7142857142857143</v>
      </c>
      <c r="H54" s="917"/>
      <c r="I54" s="1046"/>
      <c r="J54" s="919">
        <f>H54-I54</f>
        <v>0</v>
      </c>
      <c r="K54" s="983">
        <f>(100-I54)*(6/6)</f>
        <v>100</v>
      </c>
      <c r="L54" s="984">
        <f>I54+K54</f>
        <v>100</v>
      </c>
      <c r="M54" s="896">
        <f t="shared" si="17"/>
        <v>0</v>
      </c>
      <c r="N54" s="1047"/>
      <c r="O54" s="1048"/>
      <c r="P54" s="899"/>
      <c r="Q54" s="1049" t="s">
        <v>95</v>
      </c>
      <c r="R54" s="113"/>
      <c r="S54" s="165" t="s">
        <v>411</v>
      </c>
    </row>
    <row r="55" spans="1:19" ht="34.25" customHeight="1" thickBot="1" x14ac:dyDescent="0.5">
      <c r="A55" s="703"/>
      <c r="B55" s="716"/>
      <c r="C55" s="719"/>
      <c r="D55" s="483" t="s">
        <v>129</v>
      </c>
      <c r="E55" s="484">
        <f t="shared" si="18"/>
        <v>0.7142857142857143</v>
      </c>
      <c r="F55" s="485" t="s">
        <v>43</v>
      </c>
      <c r="G55" s="436">
        <f>E55/1</f>
        <v>0.7142857142857143</v>
      </c>
      <c r="H55" s="917"/>
      <c r="I55" s="1046"/>
      <c r="J55" s="919">
        <f>H55-I55</f>
        <v>0</v>
      </c>
      <c r="K55" s="983">
        <f>(100-I55)*(6/10)</f>
        <v>60</v>
      </c>
      <c r="L55" s="984">
        <f t="shared" si="16"/>
        <v>60</v>
      </c>
      <c r="M55" s="896">
        <f t="shared" si="17"/>
        <v>0</v>
      </c>
      <c r="N55" s="1047"/>
      <c r="O55" s="1048"/>
      <c r="P55" s="899"/>
      <c r="Q55" s="1049" t="s">
        <v>95</v>
      </c>
      <c r="R55" s="113"/>
      <c r="S55" s="165" t="s">
        <v>411</v>
      </c>
    </row>
    <row r="56" spans="1:19" ht="37.25" customHeight="1" thickBot="1" x14ac:dyDescent="0.5">
      <c r="A56" s="703"/>
      <c r="B56" s="716"/>
      <c r="C56" s="719"/>
      <c r="D56" s="483" t="s">
        <v>130</v>
      </c>
      <c r="E56" s="484">
        <f t="shared" si="18"/>
        <v>0.7142857142857143</v>
      </c>
      <c r="F56" s="485" t="s">
        <v>44</v>
      </c>
      <c r="G56" s="436">
        <f>E56/1</f>
        <v>0.7142857142857143</v>
      </c>
      <c r="H56" s="917"/>
      <c r="I56" s="1050">
        <v>8</v>
      </c>
      <c r="J56" s="919">
        <f>H56-I56</f>
        <v>-8</v>
      </c>
      <c r="K56" s="1051">
        <f>(0.5*I56)*(6/7)</f>
        <v>3.4285714285714284</v>
      </c>
      <c r="L56" s="984">
        <f t="shared" si="16"/>
        <v>11.428571428571429</v>
      </c>
      <c r="M56" s="881" t="str">
        <f>IF(K56=0,J56/K56,"0%")</f>
        <v>0%</v>
      </c>
      <c r="N56" s="1047"/>
      <c r="O56" s="1048"/>
      <c r="P56" s="899"/>
      <c r="Q56" s="1049" t="s">
        <v>101</v>
      </c>
      <c r="R56" s="113" t="s">
        <v>311</v>
      </c>
      <c r="S56" s="167" t="s">
        <v>405</v>
      </c>
    </row>
    <row r="57" spans="1:19" ht="22.8" customHeight="1" x14ac:dyDescent="0.45">
      <c r="A57" s="703"/>
      <c r="B57" s="716"/>
      <c r="C57" s="719"/>
      <c r="D57" s="740" t="s">
        <v>131</v>
      </c>
      <c r="E57" s="742">
        <f t="shared" si="18"/>
        <v>0.7142857142857143</v>
      </c>
      <c r="F57" s="485" t="s">
        <v>45</v>
      </c>
      <c r="G57" s="436">
        <f>$E$57/2</f>
        <v>0.35714285714285715</v>
      </c>
      <c r="H57" s="1052">
        <v>63.7</v>
      </c>
      <c r="I57" s="1050">
        <v>64</v>
      </c>
      <c r="J57" s="919">
        <f t="shared" ref="J57:J58" si="19">H57-I57</f>
        <v>-0.29999999999999716</v>
      </c>
      <c r="K57" s="1053">
        <f>(1*I57)*(6/10)</f>
        <v>38.4</v>
      </c>
      <c r="L57" s="984">
        <f t="shared" si="16"/>
        <v>102.4</v>
      </c>
      <c r="M57" s="855">
        <f t="shared" si="17"/>
        <v>-7.8124999999999263E-3</v>
      </c>
      <c r="N57" s="1047"/>
      <c r="O57" s="1048"/>
      <c r="P57" s="899"/>
      <c r="Q57" s="1049" t="s">
        <v>180</v>
      </c>
      <c r="R57" s="113" t="s">
        <v>304</v>
      </c>
      <c r="S57" s="167" t="s">
        <v>405</v>
      </c>
    </row>
    <row r="58" spans="1:19" ht="15" customHeight="1" thickBot="1" x14ac:dyDescent="0.5">
      <c r="A58" s="703"/>
      <c r="B58" s="717"/>
      <c r="C58" s="720"/>
      <c r="D58" s="741"/>
      <c r="E58" s="743"/>
      <c r="F58" s="418" t="s">
        <v>46</v>
      </c>
      <c r="G58" s="419">
        <f>$E$57/2</f>
        <v>0.35714285714285715</v>
      </c>
      <c r="H58" s="1054"/>
      <c r="I58" s="939"/>
      <c r="J58" s="927">
        <f t="shared" si="19"/>
        <v>0</v>
      </c>
      <c r="K58" s="1026">
        <f>(1*I58)*(6/10)</f>
        <v>0</v>
      </c>
      <c r="L58" s="1055">
        <f t="shared" si="16"/>
        <v>0</v>
      </c>
      <c r="M58" s="881" t="str">
        <f>IF(K58&lt;&gt;0,J58/K58,"0%")</f>
        <v>0%</v>
      </c>
      <c r="N58" s="1002"/>
      <c r="O58" s="1056"/>
      <c r="P58" s="868"/>
      <c r="Q58" s="1057" t="s">
        <v>95</v>
      </c>
      <c r="R58" s="110"/>
      <c r="S58" s="165" t="s">
        <v>411</v>
      </c>
    </row>
    <row r="59" spans="1:19" ht="23.45" customHeight="1" thickBot="1" x14ac:dyDescent="0.5">
      <c r="B59" s="737" t="s">
        <v>47</v>
      </c>
      <c r="C59" s="738"/>
      <c r="D59" s="738"/>
      <c r="E59" s="738"/>
      <c r="F59" s="739"/>
      <c r="G59" s="486"/>
      <c r="H59" s="1058"/>
      <c r="I59" s="1059"/>
      <c r="J59" s="1060"/>
      <c r="K59" s="1060"/>
      <c r="L59" s="1060"/>
      <c r="M59" s="1018"/>
      <c r="N59" s="843">
        <f>(N60+N67)/2</f>
        <v>0.15277777777777779</v>
      </c>
      <c r="O59" s="844">
        <f>(O60+O67)</f>
        <v>1.0912696666666668</v>
      </c>
      <c r="P59" s="845">
        <f>O59/7.142856</f>
        <v>0.15277777777777779</v>
      </c>
      <c r="Q59" s="1061"/>
      <c r="R59" s="153"/>
      <c r="S59" s="154"/>
    </row>
    <row r="60" spans="1:19" ht="22.25" customHeight="1" thickBot="1" x14ac:dyDescent="0.5">
      <c r="B60" s="712" t="s">
        <v>48</v>
      </c>
      <c r="C60" s="713"/>
      <c r="D60" s="713"/>
      <c r="E60" s="713"/>
      <c r="F60" s="714"/>
      <c r="G60" s="438"/>
      <c r="H60" s="1003"/>
      <c r="I60" s="1004"/>
      <c r="J60" s="930"/>
      <c r="K60" s="930"/>
      <c r="L60" s="930"/>
      <c r="M60" s="931"/>
      <c r="N60" s="843">
        <f>N61</f>
        <v>0.30555555555555558</v>
      </c>
      <c r="O60" s="844">
        <f>O61</f>
        <v>1.0912696666666668</v>
      </c>
      <c r="P60" s="845">
        <f>O60/3.571428</f>
        <v>0.30555555555555558</v>
      </c>
      <c r="Q60" s="910"/>
      <c r="R60" s="17"/>
      <c r="S60" s="17"/>
    </row>
    <row r="61" spans="1:19" ht="39" customHeight="1" thickBot="1" x14ac:dyDescent="0.5">
      <c r="A61" s="703">
        <v>16</v>
      </c>
      <c r="B61" s="715" t="s">
        <v>49</v>
      </c>
      <c r="C61" s="718">
        <f>M5</f>
        <v>3.5714285714285716</v>
      </c>
      <c r="D61" s="440" t="s">
        <v>133</v>
      </c>
      <c r="E61" s="441">
        <f>$C$61/4</f>
        <v>0.8928571428571429</v>
      </c>
      <c r="F61" s="440" t="s">
        <v>50</v>
      </c>
      <c r="G61" s="411">
        <f>E61/1</f>
        <v>0.8928571428571429</v>
      </c>
      <c r="H61" s="932"/>
      <c r="I61" s="1062"/>
      <c r="J61" s="1009">
        <f>IF(I61=H61,(H61-70),H61-I61)</f>
        <v>-70</v>
      </c>
      <c r="K61" s="886">
        <f>IF(I61&gt;=70,0,((70-I61)*(6/10)))</f>
        <v>42</v>
      </c>
      <c r="L61" s="1063">
        <f t="shared" ref="L61:L66" si="20">I61+K61</f>
        <v>42</v>
      </c>
      <c r="M61" s="881" t="str">
        <f>IF(K61=0,J61/K61,"0%")</f>
        <v>0%</v>
      </c>
      <c r="N61" s="888">
        <f>(((G61/C61)*M61)+((G62/C61)*M62)+((G63/C61)*M63)+((G64/C61)*M64)+((G65/C61)*M65)+((G66/C61)*M66))</f>
        <v>0.30555555555555558</v>
      </c>
      <c r="O61" s="1044">
        <f>IF((((G61/C61)*M61)+((G62/C61)*M62)+((G63/C61)*M63)+((G64/C61)*M64)+((G65/C61)*M65)+((G66/C61)*M66))&gt;=1,3.571428,IF((((G61/C61)*M61)+((G62/C61)*M62)+((G63/C61)*M63)+((G64/C61)*M64)+((G65/C61)*M65)+((G66/C61)*M66))&lt;=0,0,((((G61/C61)*M61)+((G62/C61)*M62)+((G63/C61)*M63)+((G64/C61)*M64)+((G65/C61)*M65)+((G66/C61)*M66))*3.571428)))</f>
        <v>1.0912696666666668</v>
      </c>
      <c r="P61" s="858">
        <f>O61/3.571428</f>
        <v>0.30555555555555558</v>
      </c>
      <c r="Q61" s="981" t="s">
        <v>181</v>
      </c>
      <c r="R61" s="69"/>
      <c r="S61" s="165" t="s">
        <v>397</v>
      </c>
    </row>
    <row r="62" spans="1:19" ht="58.25" customHeight="1" thickBot="1" x14ac:dyDescent="0.5">
      <c r="A62" s="703"/>
      <c r="B62" s="716"/>
      <c r="C62" s="719"/>
      <c r="D62" s="443" t="s">
        <v>134</v>
      </c>
      <c r="E62" s="444">
        <f t="shared" ref="E62:E63" si="21">$C$61/4</f>
        <v>0.8928571428571429</v>
      </c>
      <c r="F62" s="483" t="s">
        <v>276</v>
      </c>
      <c r="G62" s="436">
        <f>$E$62/1</f>
        <v>0.8928571428571429</v>
      </c>
      <c r="H62" s="917"/>
      <c r="I62" s="1046"/>
      <c r="J62" s="1064">
        <f>IF(I62=H62,(H62-70),H62-I62)</f>
        <v>-70</v>
      </c>
      <c r="K62" s="894">
        <f t="shared" ref="K62:K63" si="22">IF(I62&gt;=70,0,((70-I62)*(6/10)))</f>
        <v>42</v>
      </c>
      <c r="L62" s="1065">
        <f t="shared" si="20"/>
        <v>42</v>
      </c>
      <c r="M62" s="881" t="str">
        <f>IF(K62=0,J62/K62,"0%")</f>
        <v>0%</v>
      </c>
      <c r="N62" s="897"/>
      <c r="O62" s="1048"/>
      <c r="P62" s="899"/>
      <c r="Q62" s="985" t="s">
        <v>182</v>
      </c>
      <c r="R62" s="115"/>
      <c r="S62" s="165" t="s">
        <v>397</v>
      </c>
    </row>
    <row r="63" spans="1:19" ht="26.45" customHeight="1" thickBot="1" x14ac:dyDescent="0.5">
      <c r="A63" s="703"/>
      <c r="B63" s="716"/>
      <c r="C63" s="719"/>
      <c r="D63" s="443" t="s">
        <v>135</v>
      </c>
      <c r="E63" s="444">
        <f t="shared" si="21"/>
        <v>0.8928571428571429</v>
      </c>
      <c r="F63" s="443" t="s">
        <v>51</v>
      </c>
      <c r="G63" s="436">
        <f>E63/1</f>
        <v>0.8928571428571429</v>
      </c>
      <c r="H63" s="1066"/>
      <c r="I63" s="1067"/>
      <c r="J63" s="1064">
        <f>IF(I63=H63,(H63-70),H63-I63)</f>
        <v>-70</v>
      </c>
      <c r="K63" s="894">
        <f t="shared" si="22"/>
        <v>42</v>
      </c>
      <c r="L63" s="1065">
        <f t="shared" si="20"/>
        <v>42</v>
      </c>
      <c r="M63" s="881" t="str">
        <f>IF(K63=0,J63/K63,"0%")</f>
        <v>0%</v>
      </c>
      <c r="N63" s="897"/>
      <c r="O63" s="1048"/>
      <c r="P63" s="899"/>
      <c r="Q63" s="985" t="s">
        <v>95</v>
      </c>
      <c r="R63" s="115"/>
      <c r="S63" s="165" t="s">
        <v>397</v>
      </c>
    </row>
    <row r="64" spans="1:19" ht="15" customHeight="1" thickBot="1" x14ac:dyDescent="0.5">
      <c r="A64" s="703"/>
      <c r="B64" s="716"/>
      <c r="C64" s="719"/>
      <c r="D64" s="727" t="s">
        <v>136</v>
      </c>
      <c r="E64" s="730">
        <f>$C$61/4</f>
        <v>0.8928571428571429</v>
      </c>
      <c r="F64" s="487" t="s">
        <v>52</v>
      </c>
      <c r="G64" s="488">
        <f>$E$64/3</f>
        <v>0.29761904761904762</v>
      </c>
      <c r="H64" s="1068">
        <v>100</v>
      </c>
      <c r="I64" s="1069">
        <v>100</v>
      </c>
      <c r="J64" s="1070">
        <f t="shared" ref="J64:J66" si="23">H64-I64</f>
        <v>0</v>
      </c>
      <c r="K64" s="1071">
        <f>(100-I64)*(6/10)</f>
        <v>0</v>
      </c>
      <c r="L64" s="1065">
        <f t="shared" si="20"/>
        <v>100</v>
      </c>
      <c r="M64" s="896" t="str">
        <f t="shared" ref="M64:M66" si="24">IF(K64&lt;&gt;0,J64/K64,"100%")</f>
        <v>100%</v>
      </c>
      <c r="N64" s="897"/>
      <c r="O64" s="1048"/>
      <c r="P64" s="899"/>
      <c r="Q64" s="985" t="s">
        <v>95</v>
      </c>
      <c r="R64" s="114"/>
      <c r="S64" s="276" t="s">
        <v>321</v>
      </c>
    </row>
    <row r="65" spans="1:19" ht="23.65" thickBot="1" x14ac:dyDescent="0.5">
      <c r="A65" s="703"/>
      <c r="B65" s="716"/>
      <c r="C65" s="719"/>
      <c r="D65" s="728"/>
      <c r="E65" s="719"/>
      <c r="F65" s="487" t="s">
        <v>53</v>
      </c>
      <c r="G65" s="488">
        <f t="shared" ref="G65:G66" si="25">$E$64/3</f>
        <v>0.29761904761904762</v>
      </c>
      <c r="H65" s="1068">
        <v>100</v>
      </c>
      <c r="I65" s="1069">
        <v>100</v>
      </c>
      <c r="J65" s="1070">
        <f t="shared" si="23"/>
        <v>0</v>
      </c>
      <c r="K65" s="1071">
        <f>(100-I65)*(6/10)</f>
        <v>0</v>
      </c>
      <c r="L65" s="1065">
        <f t="shared" si="20"/>
        <v>100</v>
      </c>
      <c r="M65" s="896" t="str">
        <f t="shared" si="24"/>
        <v>100%</v>
      </c>
      <c r="N65" s="897"/>
      <c r="O65" s="1048"/>
      <c r="P65" s="899"/>
      <c r="Q65" s="985" t="s">
        <v>95</v>
      </c>
      <c r="R65" s="115"/>
      <c r="S65" s="276" t="s">
        <v>321</v>
      </c>
    </row>
    <row r="66" spans="1:19" ht="27.6" customHeight="1" thickBot="1" x14ac:dyDescent="0.5">
      <c r="A66" s="703"/>
      <c r="B66" s="717"/>
      <c r="C66" s="720"/>
      <c r="D66" s="733"/>
      <c r="E66" s="720"/>
      <c r="F66" s="489" t="s">
        <v>54</v>
      </c>
      <c r="G66" s="490">
        <f t="shared" si="25"/>
        <v>0.29761904761904762</v>
      </c>
      <c r="H66" s="1072">
        <v>100</v>
      </c>
      <c r="I66" s="1073">
        <v>0</v>
      </c>
      <c r="J66" s="1074">
        <f t="shared" si="23"/>
        <v>100</v>
      </c>
      <c r="K66" s="1075">
        <f>(100-I66)*(6/10)</f>
        <v>60</v>
      </c>
      <c r="L66" s="1076">
        <f t="shared" si="20"/>
        <v>60</v>
      </c>
      <c r="M66" s="881">
        <f t="shared" si="24"/>
        <v>1.6666666666666667</v>
      </c>
      <c r="N66" s="905"/>
      <c r="O66" s="1056"/>
      <c r="P66" s="868"/>
      <c r="Q66" s="1077" t="s">
        <v>95</v>
      </c>
      <c r="R66" s="107"/>
      <c r="S66" s="178" t="s">
        <v>413</v>
      </c>
    </row>
    <row r="67" spans="1:19" ht="27" customHeight="1" thickBot="1" x14ac:dyDescent="0.5">
      <c r="B67" s="712" t="s">
        <v>55</v>
      </c>
      <c r="C67" s="713"/>
      <c r="D67" s="713"/>
      <c r="E67" s="713"/>
      <c r="F67" s="714"/>
      <c r="G67" s="438"/>
      <c r="H67" s="1003"/>
      <c r="I67" s="1004"/>
      <c r="J67" s="1005"/>
      <c r="K67" s="1005"/>
      <c r="L67" s="1005"/>
      <c r="M67" s="931"/>
      <c r="N67" s="843">
        <f>N68</f>
        <v>0</v>
      </c>
      <c r="O67" s="844">
        <f>O68</f>
        <v>0</v>
      </c>
      <c r="P67" s="845">
        <f>O67/3.571428</f>
        <v>0</v>
      </c>
      <c r="Q67" s="1078"/>
      <c r="R67" s="96"/>
      <c r="S67" s="18"/>
    </row>
    <row r="68" spans="1:19" ht="58.5" thickBot="1" x14ac:dyDescent="0.5">
      <c r="A68" s="22">
        <v>17</v>
      </c>
      <c r="B68" s="491" t="s">
        <v>56</v>
      </c>
      <c r="C68" s="492">
        <f>M5</f>
        <v>3.5714285714285716</v>
      </c>
      <c r="D68" s="491" t="s">
        <v>137</v>
      </c>
      <c r="E68" s="492">
        <f>C68</f>
        <v>3.5714285714285716</v>
      </c>
      <c r="F68" s="491" t="s">
        <v>57</v>
      </c>
      <c r="G68" s="493">
        <f>E68/1</f>
        <v>3.5714285714285716</v>
      </c>
      <c r="H68" s="1079"/>
      <c r="I68" s="1080">
        <v>21.5</v>
      </c>
      <c r="J68" s="1081">
        <f>IF(I68=H68,(H68-70),I68-H68)</f>
        <v>21.5</v>
      </c>
      <c r="K68" s="968">
        <f t="shared" ref="K68" si="26">IF(I68&gt;=70,0,((70-I68)*(6/10)))</f>
        <v>29.099999999999998</v>
      </c>
      <c r="L68" s="1082">
        <f>I68-K68</f>
        <v>-7.5999999999999979</v>
      </c>
      <c r="M68" s="881" t="str">
        <f>IF(K68=0,J68/K68,"0%")</f>
        <v>0%</v>
      </c>
      <c r="N68" s="1083">
        <f>((G68/C68)*M68)</f>
        <v>0</v>
      </c>
      <c r="O68" s="954">
        <f>IF(((G68/C68)*M68)&gt;=1,3.571428,IF(((G68/C68)*M68)&lt;=0,0,((G68/C68)*M68)*3.571428))</f>
        <v>0</v>
      </c>
      <c r="P68" s="845">
        <f>O68/3.571428</f>
        <v>0</v>
      </c>
      <c r="Q68" s="1084" t="s">
        <v>132</v>
      </c>
      <c r="R68" s="97" t="s">
        <v>312</v>
      </c>
      <c r="S68" s="135" t="s">
        <v>407</v>
      </c>
    </row>
    <row r="69" spans="1:19" ht="22.25" customHeight="1" thickBot="1" x14ac:dyDescent="0.5">
      <c r="B69" s="579" t="s">
        <v>58</v>
      </c>
      <c r="C69" s="580"/>
      <c r="D69" s="580"/>
      <c r="E69" s="580"/>
      <c r="F69" s="581"/>
      <c r="G69" s="98"/>
      <c r="H69" s="1085"/>
      <c r="I69" s="1086"/>
      <c r="J69" s="1087"/>
      <c r="K69" s="1087"/>
      <c r="L69" s="1087"/>
      <c r="M69" s="1088"/>
      <c r="N69" s="843">
        <f>(N70+N72+N74)/3</f>
        <v>0.33333333333333331</v>
      </c>
      <c r="O69" s="844">
        <f>(O70+O72+O74)</f>
        <v>3.571428</v>
      </c>
      <c r="P69" s="845">
        <f>O69/10.714284</f>
        <v>0.33333333333333337</v>
      </c>
      <c r="Q69" s="1089"/>
      <c r="R69" s="12"/>
      <c r="S69" s="13"/>
    </row>
    <row r="70" spans="1:19" ht="20.45" customHeight="1" thickBot="1" x14ac:dyDescent="0.5">
      <c r="B70" s="712" t="s">
        <v>59</v>
      </c>
      <c r="C70" s="713"/>
      <c r="D70" s="713"/>
      <c r="E70" s="713"/>
      <c r="F70" s="714"/>
      <c r="G70" s="438"/>
      <c r="H70" s="1003"/>
      <c r="I70" s="1004"/>
      <c r="J70" s="910"/>
      <c r="K70" s="910"/>
      <c r="L70" s="910"/>
      <c r="M70" s="1090"/>
      <c r="N70" s="843">
        <f>N71</f>
        <v>0</v>
      </c>
      <c r="O70" s="844">
        <f>O71</f>
        <v>0</v>
      </c>
      <c r="P70" s="845">
        <f t="shared" ref="P70:P78" si="27">O70/3.571428</f>
        <v>0</v>
      </c>
      <c r="Q70" s="1041"/>
      <c r="R70" s="18"/>
      <c r="S70" s="18"/>
    </row>
    <row r="71" spans="1:19" ht="52.25" customHeight="1" thickBot="1" x14ac:dyDescent="0.5">
      <c r="A71" s="22">
        <v>18</v>
      </c>
      <c r="B71" s="495" t="s">
        <v>60</v>
      </c>
      <c r="C71" s="496">
        <f>M5</f>
        <v>3.5714285714285716</v>
      </c>
      <c r="D71" s="497" t="s">
        <v>138</v>
      </c>
      <c r="E71" s="498">
        <f>C71</f>
        <v>3.5714285714285716</v>
      </c>
      <c r="F71" s="499" t="s">
        <v>61</v>
      </c>
      <c r="G71" s="500">
        <f>E71/1</f>
        <v>3.5714285714285716</v>
      </c>
      <c r="H71" s="961"/>
      <c r="I71" s="962"/>
      <c r="J71" s="1091">
        <f>I71-H71</f>
        <v>0</v>
      </c>
      <c r="K71" s="964">
        <f>(0.5*I71)*0.6</f>
        <v>0</v>
      </c>
      <c r="L71" s="1082">
        <f>I71-K71</f>
        <v>0</v>
      </c>
      <c r="M71" s="896" t="str">
        <f>IF(K71&lt;&gt;0,J71/K71,"0%")</f>
        <v>0%</v>
      </c>
      <c r="N71" s="1083">
        <f>((G71/C71)*M71)</f>
        <v>0</v>
      </c>
      <c r="O71" s="954">
        <f>IF(((G71/C71)*M71)&gt;=1,3.571428,IF(((G71/C71)*M71)&lt;=0,0,((G71/C71)*M71)*3.571428))</f>
        <v>0</v>
      </c>
      <c r="P71" s="845">
        <f t="shared" si="27"/>
        <v>0</v>
      </c>
      <c r="Q71" s="1092" t="s">
        <v>183</v>
      </c>
      <c r="R71" s="24"/>
      <c r="S71" s="165" t="s">
        <v>397</v>
      </c>
    </row>
    <row r="72" spans="1:19" ht="20.45" customHeight="1" thickBot="1" x14ac:dyDescent="0.5">
      <c r="B72" s="734" t="s">
        <v>277</v>
      </c>
      <c r="C72" s="735"/>
      <c r="D72" s="735"/>
      <c r="E72" s="735"/>
      <c r="F72" s="736"/>
      <c r="G72" s="459"/>
      <c r="H72" s="986"/>
      <c r="I72" s="987"/>
      <c r="J72" s="973"/>
      <c r="K72" s="973"/>
      <c r="L72" s="973"/>
      <c r="M72" s="974"/>
      <c r="N72" s="843">
        <f>N73</f>
        <v>0</v>
      </c>
      <c r="O72" s="844">
        <f>O73</f>
        <v>0</v>
      </c>
      <c r="P72" s="845">
        <f t="shared" si="27"/>
        <v>0</v>
      </c>
      <c r="Q72" s="1093"/>
      <c r="R72" s="18"/>
      <c r="S72" s="18"/>
    </row>
    <row r="73" spans="1:19" ht="45" customHeight="1" thickBot="1" x14ac:dyDescent="0.5">
      <c r="A73" s="22">
        <v>19</v>
      </c>
      <c r="B73" s="501" t="s">
        <v>62</v>
      </c>
      <c r="C73" s="502">
        <f>M5</f>
        <v>3.5714285714285716</v>
      </c>
      <c r="D73" s="503" t="s">
        <v>139</v>
      </c>
      <c r="E73" s="502">
        <f>C73</f>
        <v>3.5714285714285716</v>
      </c>
      <c r="F73" s="504" t="s">
        <v>63</v>
      </c>
      <c r="G73" s="500">
        <f>E73/1</f>
        <v>3.5714285714285716</v>
      </c>
      <c r="H73" s="961"/>
      <c r="I73" s="962"/>
      <c r="J73" s="1094">
        <f>I73-H73</f>
        <v>0</v>
      </c>
      <c r="K73" s="1095">
        <f>IF(H73&gt;0,(H73),I73)</f>
        <v>0</v>
      </c>
      <c r="L73" s="1096">
        <f>I73-K73</f>
        <v>0</v>
      </c>
      <c r="M73" s="896" t="str">
        <f>IF(K73&lt;&gt;0,J73/K73,"0%")</f>
        <v>0%</v>
      </c>
      <c r="N73" s="1083">
        <f>((G73/C73)*M73)</f>
        <v>0</v>
      </c>
      <c r="O73" s="954">
        <f>IF(((G73/C73)*M73)&gt;=1,3.571428,IF(((G73/C73)*M73)&lt;=0,0,((G73/C73)*M73)*3.571428))</f>
        <v>0</v>
      </c>
      <c r="P73" s="845">
        <f t="shared" si="27"/>
        <v>0</v>
      </c>
      <c r="Q73" s="1097" t="s">
        <v>95</v>
      </c>
      <c r="R73" s="24"/>
      <c r="S73" s="165" t="s">
        <v>397</v>
      </c>
    </row>
    <row r="74" spans="1:19" ht="30.6" customHeight="1" thickBot="1" x14ac:dyDescent="0.5">
      <c r="B74" s="712" t="s">
        <v>64</v>
      </c>
      <c r="C74" s="713"/>
      <c r="D74" s="713"/>
      <c r="E74" s="713"/>
      <c r="F74" s="714"/>
      <c r="G74" s="439"/>
      <c r="H74" s="1003"/>
      <c r="I74" s="1004"/>
      <c r="J74" s="910"/>
      <c r="K74" s="910"/>
      <c r="L74" s="910"/>
      <c r="M74" s="931"/>
      <c r="N74" s="843">
        <f>N75</f>
        <v>1</v>
      </c>
      <c r="O74" s="844">
        <f>O75</f>
        <v>3.571428</v>
      </c>
      <c r="P74" s="845">
        <f t="shared" si="27"/>
        <v>1</v>
      </c>
      <c r="Q74" s="1041"/>
      <c r="R74" s="18"/>
      <c r="S74" s="18"/>
    </row>
    <row r="75" spans="1:19" ht="29.45" customHeight="1" thickBot="1" x14ac:dyDescent="0.5">
      <c r="A75" s="22">
        <v>20</v>
      </c>
      <c r="B75" s="501" t="s">
        <v>65</v>
      </c>
      <c r="C75" s="456">
        <f>M5</f>
        <v>3.5714285714285716</v>
      </c>
      <c r="D75" s="497" t="s">
        <v>140</v>
      </c>
      <c r="E75" s="505">
        <f>C75</f>
        <v>3.5714285714285716</v>
      </c>
      <c r="F75" s="503" t="s">
        <v>66</v>
      </c>
      <c r="G75" s="500">
        <f>E75/1</f>
        <v>3.5714285714285716</v>
      </c>
      <c r="H75" s="1098">
        <v>1</v>
      </c>
      <c r="I75" s="1099">
        <v>1</v>
      </c>
      <c r="J75" s="1036">
        <f>H75-I75</f>
        <v>0</v>
      </c>
      <c r="K75" s="1037">
        <f>IF(AND(H75=0,I75=1)," 1",(H75-I75))</f>
        <v>0</v>
      </c>
      <c r="L75" s="1100">
        <f>I75+K75</f>
        <v>1</v>
      </c>
      <c r="M75" s="1101">
        <f>(IF(I75=1,1,(J75/K75)))</f>
        <v>1</v>
      </c>
      <c r="N75" s="1083">
        <f>((G75/C75)*M75)</f>
        <v>1</v>
      </c>
      <c r="O75" s="954">
        <f>IF(((G75/C75)*M75)&gt;=1,3.571428,IF(((G75/C75)*M75)&lt;=0,0,((G75/C75)*M75)*3.571428))</f>
        <v>3.571428</v>
      </c>
      <c r="P75" s="845">
        <f t="shared" si="27"/>
        <v>1</v>
      </c>
      <c r="Q75" s="1102" t="s">
        <v>95</v>
      </c>
      <c r="R75" s="81"/>
      <c r="S75" s="97"/>
    </row>
    <row r="76" spans="1:19" ht="20.45" customHeight="1" thickBot="1" x14ac:dyDescent="0.5">
      <c r="B76" s="746" t="s">
        <v>67</v>
      </c>
      <c r="C76" s="747"/>
      <c r="D76" s="747"/>
      <c r="E76" s="747"/>
      <c r="F76" s="748"/>
      <c r="G76" s="506"/>
      <c r="H76" s="1103"/>
      <c r="I76" s="1104"/>
      <c r="J76" s="1105"/>
      <c r="K76" s="1105"/>
      <c r="L76" s="1105"/>
      <c r="M76" s="1106"/>
      <c r="N76" s="843">
        <f t="shared" ref="N76:O77" si="28">N77</f>
        <v>0</v>
      </c>
      <c r="O76" s="844">
        <f t="shared" si="28"/>
        <v>0</v>
      </c>
      <c r="P76" s="845">
        <f t="shared" si="27"/>
        <v>0</v>
      </c>
      <c r="Q76" s="1107"/>
      <c r="R76" s="23"/>
      <c r="S76" s="23"/>
    </row>
    <row r="77" spans="1:19" ht="20.45" customHeight="1" thickBot="1" x14ac:dyDescent="0.5">
      <c r="B77" s="712" t="s">
        <v>68</v>
      </c>
      <c r="C77" s="713"/>
      <c r="D77" s="713"/>
      <c r="E77" s="713"/>
      <c r="F77" s="714"/>
      <c r="G77" s="438"/>
      <c r="H77" s="1003"/>
      <c r="I77" s="1004"/>
      <c r="J77" s="930"/>
      <c r="K77" s="930"/>
      <c r="L77" s="930"/>
      <c r="M77" s="911"/>
      <c r="N77" s="843">
        <f t="shared" si="28"/>
        <v>0</v>
      </c>
      <c r="O77" s="844">
        <f t="shared" si="28"/>
        <v>0</v>
      </c>
      <c r="P77" s="845">
        <f t="shared" si="27"/>
        <v>0</v>
      </c>
      <c r="Q77" s="1041"/>
      <c r="R77" s="18"/>
      <c r="S77" s="18"/>
    </row>
    <row r="78" spans="1:19" ht="35.25" thickBot="1" x14ac:dyDescent="0.5">
      <c r="A78" s="22">
        <v>21</v>
      </c>
      <c r="B78" s="501" t="s">
        <v>69</v>
      </c>
      <c r="C78" s="505">
        <f>M5</f>
        <v>3.5714285714285716</v>
      </c>
      <c r="D78" s="508" t="s">
        <v>141</v>
      </c>
      <c r="E78" s="505">
        <f>C78</f>
        <v>3.5714285714285716</v>
      </c>
      <c r="F78" s="508" t="s">
        <v>70</v>
      </c>
      <c r="G78" s="509">
        <f>E78/1</f>
        <v>3.5714285714285716</v>
      </c>
      <c r="H78" s="961"/>
      <c r="I78" s="962"/>
      <c r="J78" s="1081">
        <f>IF(I78=H78,(H78-60),H78-I78)</f>
        <v>-60</v>
      </c>
      <c r="K78" s="968">
        <f>IF(I78&gt;=60,0,((60-I78)*(6/10)))</f>
        <v>36</v>
      </c>
      <c r="L78" s="1082">
        <f t="shared" ref="L78" si="29">K78+I78</f>
        <v>36</v>
      </c>
      <c r="M78" s="952">
        <f>IF(I78&gt;=60,(1+(H78-60)/60),(H78/L78))</f>
        <v>0</v>
      </c>
      <c r="N78" s="1083">
        <f>((G78/C78)*M78)</f>
        <v>0</v>
      </c>
      <c r="O78" s="954">
        <f>IF(((G78/C78)*M78)&gt;=1,3.571428,IF(((G78/C78)*M78)&lt;=0,0,((G78/C78)*M78)*3.571428))</f>
        <v>0</v>
      </c>
      <c r="P78" s="845">
        <f t="shared" si="27"/>
        <v>0</v>
      </c>
      <c r="Q78" s="1108" t="s">
        <v>95</v>
      </c>
      <c r="R78" s="24"/>
      <c r="S78" s="165" t="s">
        <v>411</v>
      </c>
    </row>
    <row r="79" spans="1:19" ht="21.6" customHeight="1" thickBot="1" x14ac:dyDescent="0.5">
      <c r="B79" s="737" t="s">
        <v>71</v>
      </c>
      <c r="C79" s="738"/>
      <c r="D79" s="738"/>
      <c r="E79" s="738"/>
      <c r="F79" s="739"/>
      <c r="G79" s="506"/>
      <c r="H79" s="1103"/>
      <c r="I79" s="1104"/>
      <c r="J79" s="1109"/>
      <c r="K79" s="1109"/>
      <c r="L79" s="1109"/>
      <c r="M79" s="1106"/>
      <c r="N79" s="843">
        <f>(N80+N86)/2</f>
        <v>0.11679292929292928</v>
      </c>
      <c r="O79" s="844">
        <f>(O80+O86)</f>
        <v>0.92442265151515146</v>
      </c>
      <c r="P79" s="845">
        <f>O79/10.714284</f>
        <v>8.6279461279461275E-2</v>
      </c>
      <c r="Q79" s="1107"/>
      <c r="R79" s="23"/>
      <c r="S79" s="23"/>
    </row>
    <row r="80" spans="1:19" ht="20.45" customHeight="1" thickBot="1" x14ac:dyDescent="0.5">
      <c r="B80" s="712" t="s">
        <v>72</v>
      </c>
      <c r="C80" s="713"/>
      <c r="D80" s="713"/>
      <c r="E80" s="713"/>
      <c r="F80" s="714"/>
      <c r="G80" s="510"/>
      <c r="H80" s="1110"/>
      <c r="I80" s="1111"/>
      <c r="J80" s="910"/>
      <c r="K80" s="910"/>
      <c r="L80" s="910"/>
      <c r="M80" s="1040"/>
      <c r="N80" s="843">
        <f>(N81+N83)/2</f>
        <v>2.5252525252525252E-2</v>
      </c>
      <c r="O80" s="844">
        <f>(O81+O83)</f>
        <v>0.18037515151515152</v>
      </c>
      <c r="P80" s="845">
        <f>O80/7.142856</f>
        <v>2.5252525252525252E-2</v>
      </c>
      <c r="Q80" s="1112"/>
      <c r="R80" s="17"/>
      <c r="S80" s="17"/>
    </row>
    <row r="81" spans="1:19" ht="46.9" thickBot="1" x14ac:dyDescent="0.5">
      <c r="A81" s="22"/>
      <c r="B81" s="744" t="s">
        <v>73</v>
      </c>
      <c r="C81" s="718">
        <f>M5</f>
        <v>3.5714285714285716</v>
      </c>
      <c r="D81" s="440" t="s">
        <v>267</v>
      </c>
      <c r="E81" s="441">
        <f>$C$81/2</f>
        <v>1.7857142857142858</v>
      </c>
      <c r="F81" s="480" t="s">
        <v>278</v>
      </c>
      <c r="G81" s="411">
        <f>E81/1</f>
        <v>1.7857142857142858</v>
      </c>
      <c r="H81" s="1007"/>
      <c r="I81" s="1008"/>
      <c r="J81" s="1009">
        <f>IF(I81=H81,(H81-50),H81-I81)</f>
        <v>-50</v>
      </c>
      <c r="K81" s="886">
        <f>IF(I81&gt;=50,0,((50-I81)*(6/10)))</f>
        <v>30</v>
      </c>
      <c r="L81" s="1113">
        <f>I81+K81</f>
        <v>30</v>
      </c>
      <c r="M81" s="881" t="str">
        <f>IF(K81=0,J81/K81,"0%")</f>
        <v>0%</v>
      </c>
      <c r="N81" s="888">
        <f>(((G81/C81)*M81)+((G82/C81)*M82))</f>
        <v>0</v>
      </c>
      <c r="O81" s="857">
        <f>IF((((G81/C81)*M81)+((G82/C81)*M82))&gt;=1,3.57148,IF((((G81/C81)*M81)+((G82/C81)*M82))&lt;=0,0, (((G81/C81)*M81)+((G82/C81)*M82))*3.571428))</f>
        <v>0</v>
      </c>
      <c r="P81" s="858">
        <f>O81/3.571428</f>
        <v>0</v>
      </c>
      <c r="Q81" s="1114" t="s">
        <v>279</v>
      </c>
      <c r="R81" s="156"/>
      <c r="S81" s="165" t="s">
        <v>397</v>
      </c>
    </row>
    <row r="82" spans="1:19" ht="39.6" customHeight="1" thickBot="1" x14ac:dyDescent="0.5">
      <c r="A82" s="22"/>
      <c r="B82" s="745"/>
      <c r="C82" s="720"/>
      <c r="D82" s="450" t="s">
        <v>268</v>
      </c>
      <c r="E82" s="451">
        <f>$C$81/2</f>
        <v>1.7857142857142858</v>
      </c>
      <c r="F82" s="452" t="s">
        <v>74</v>
      </c>
      <c r="G82" s="419">
        <f>E82/1</f>
        <v>1.7857142857142858</v>
      </c>
      <c r="H82" s="917"/>
      <c r="I82" s="1046">
        <v>14.9</v>
      </c>
      <c r="J82" s="1115">
        <f>IF(I82=H82,(H82-30),H82-I82)</f>
        <v>-14.9</v>
      </c>
      <c r="K82" s="904">
        <f>IF(I82&gt;=30,0,((30-I82)*(6/10)))</f>
        <v>9.0599999999999987</v>
      </c>
      <c r="L82" s="1116">
        <f t="shared" ref="L82" si="30">K82+I82</f>
        <v>23.96</v>
      </c>
      <c r="M82" s="865">
        <f>IF(I82&gt;=30,(1+(H82-30)/30),(H82/L82))</f>
        <v>0</v>
      </c>
      <c r="N82" s="905"/>
      <c r="O82" s="867"/>
      <c r="P82" s="868"/>
      <c r="Q82" s="1117" t="s">
        <v>282</v>
      </c>
      <c r="R82" s="116"/>
      <c r="S82" s="135" t="s">
        <v>414</v>
      </c>
    </row>
    <row r="83" spans="1:19" ht="60" customHeight="1" thickBot="1" x14ac:dyDescent="0.5">
      <c r="A83" s="22"/>
      <c r="B83" s="715" t="s">
        <v>142</v>
      </c>
      <c r="C83" s="752">
        <f>M5</f>
        <v>3.5714285714285716</v>
      </c>
      <c r="D83" s="511" t="s">
        <v>145</v>
      </c>
      <c r="E83" s="441">
        <f>$C$81/3</f>
        <v>1.1904761904761905</v>
      </c>
      <c r="F83" s="440" t="s">
        <v>143</v>
      </c>
      <c r="G83" s="411">
        <f>E83/1</f>
        <v>1.1904761904761905</v>
      </c>
      <c r="H83" s="917"/>
      <c r="I83" s="1118">
        <v>0.14899999999999999</v>
      </c>
      <c r="J83" s="1119">
        <f>I83-H83</f>
        <v>0.14899999999999999</v>
      </c>
      <c r="K83" s="994">
        <f>(0.2*I83)*(6/10)</f>
        <v>1.788E-2</v>
      </c>
      <c r="L83" s="1120">
        <f>I83-K83</f>
        <v>0.13111999999999999</v>
      </c>
      <c r="M83" s="855" t="str">
        <f>IF(K83=0,J83/K83,"0%")</f>
        <v>0%</v>
      </c>
      <c r="N83" s="1121">
        <f>(((G83/C83)*M83)+((G84/C83)*M84)+((G85/C83)*M85))</f>
        <v>5.0505050505050504E-2</v>
      </c>
      <c r="O83" s="889">
        <f>IF((((G83/C83)*M83)+((G84/C83)*M84)+((G85/C83)*M85))&gt;=1,3.571428,IF((((G83/C83)*M83)+((G84/C83)*M84)+((G85/C83)*M85))&lt;=0,0,(((G83/C83)*M83)+((G84/C83)*M84)+((G85/C83)*M85))*3.571428))</f>
        <v>0.18037515151515152</v>
      </c>
      <c r="P83" s="858">
        <f>O83/3.571428</f>
        <v>5.0505050505050504E-2</v>
      </c>
      <c r="Q83" s="1122" t="s">
        <v>184</v>
      </c>
      <c r="R83" s="157"/>
      <c r="S83" s="135" t="s">
        <v>407</v>
      </c>
    </row>
    <row r="84" spans="1:19" ht="45" customHeight="1" thickBot="1" x14ac:dyDescent="0.5">
      <c r="A84" s="22"/>
      <c r="B84" s="716"/>
      <c r="C84" s="753"/>
      <c r="D84" s="512" t="s">
        <v>146</v>
      </c>
      <c r="E84" s="444">
        <f t="shared" ref="E84:E85" si="31">$C$81/3</f>
        <v>1.1904761904761905</v>
      </c>
      <c r="F84" s="483" t="s">
        <v>283</v>
      </c>
      <c r="G84" s="436">
        <f>E84/1</f>
        <v>1.1904761904761905</v>
      </c>
      <c r="H84" s="924"/>
      <c r="I84" s="1123">
        <v>17.5</v>
      </c>
      <c r="J84" s="1124">
        <f>I84-H84</f>
        <v>17.5</v>
      </c>
      <c r="K84" s="994">
        <f>(0.5*I84)*(6/10)</f>
        <v>5.25</v>
      </c>
      <c r="L84" s="1125">
        <f>I84-K84</f>
        <v>12.25</v>
      </c>
      <c r="M84" s="896" t="str">
        <f>IF(K84=0,J84/K84,"0%")</f>
        <v>0%</v>
      </c>
      <c r="N84" s="1126"/>
      <c r="O84" s="898"/>
      <c r="P84" s="899"/>
      <c r="Q84" s="1127" t="s">
        <v>185</v>
      </c>
      <c r="R84" s="117" t="s">
        <v>313</v>
      </c>
      <c r="S84" s="135" t="s">
        <v>407</v>
      </c>
    </row>
    <row r="85" spans="1:19" ht="38.450000000000003" customHeight="1" thickBot="1" x14ac:dyDescent="0.5">
      <c r="A85" s="22"/>
      <c r="B85" s="717"/>
      <c r="C85" s="754"/>
      <c r="D85" s="513" t="s">
        <v>147</v>
      </c>
      <c r="E85" s="451">
        <f t="shared" si="31"/>
        <v>1.1904761904761905</v>
      </c>
      <c r="F85" s="452" t="s">
        <v>144</v>
      </c>
      <c r="G85" s="419">
        <f>E85/1</f>
        <v>1.1904761904761905</v>
      </c>
      <c r="H85" s="1128">
        <v>20</v>
      </c>
      <c r="I85" s="926">
        <v>12</v>
      </c>
      <c r="J85" s="1129">
        <f>H85-I85</f>
        <v>8</v>
      </c>
      <c r="K85" s="1130">
        <f>(100-I85)*(6/10)</f>
        <v>52.8</v>
      </c>
      <c r="L85" s="1131">
        <f>I85+K85</f>
        <v>64.8</v>
      </c>
      <c r="M85" s="881">
        <f>IF(H85&gt;=100,167%, IF(K85&lt;&gt;0,J85/K85,"0%"))</f>
        <v>0.15151515151515152</v>
      </c>
      <c r="N85" s="1132"/>
      <c r="O85" s="906"/>
      <c r="P85" s="868"/>
      <c r="Q85" s="1133" t="s">
        <v>284</v>
      </c>
      <c r="R85" s="171" t="s">
        <v>313</v>
      </c>
      <c r="S85" s="172" t="s">
        <v>314</v>
      </c>
    </row>
    <row r="86" spans="1:19" ht="20.45" customHeight="1" thickBot="1" x14ac:dyDescent="0.5">
      <c r="B86" s="712" t="s">
        <v>75</v>
      </c>
      <c r="C86" s="713"/>
      <c r="D86" s="713"/>
      <c r="E86" s="713"/>
      <c r="F86" s="714"/>
      <c r="G86" s="514"/>
      <c r="H86" s="1134"/>
      <c r="I86" s="1135"/>
      <c r="J86" s="1136"/>
      <c r="K86" s="1136"/>
      <c r="L86" s="1136"/>
      <c r="M86" s="911"/>
      <c r="N86" s="843">
        <f>N87</f>
        <v>0.20833333333333331</v>
      </c>
      <c r="O86" s="844">
        <f>O87</f>
        <v>0.74404749999999997</v>
      </c>
      <c r="P86" s="845">
        <f>O86/3.571428</f>
        <v>0.20833333333333331</v>
      </c>
      <c r="Q86" s="1005"/>
      <c r="R86" s="18"/>
      <c r="S86" s="18"/>
    </row>
    <row r="87" spans="1:19" ht="27.6" customHeight="1" x14ac:dyDescent="0.45">
      <c r="A87" s="703">
        <v>24</v>
      </c>
      <c r="B87" s="749" t="s">
        <v>76</v>
      </c>
      <c r="C87" s="718">
        <f>M5</f>
        <v>3.5714285714285716</v>
      </c>
      <c r="D87" s="462" t="s">
        <v>159</v>
      </c>
      <c r="E87" s="463">
        <f>($C$87/3)</f>
        <v>1.1904761904761905</v>
      </c>
      <c r="F87" s="515" t="s">
        <v>285</v>
      </c>
      <c r="G87" s="516">
        <f>E87/1</f>
        <v>1.1904761904761905</v>
      </c>
      <c r="H87" s="1137"/>
      <c r="I87" s="1138">
        <v>5.7</v>
      </c>
      <c r="J87" s="1119">
        <f>I87-H87</f>
        <v>5.7</v>
      </c>
      <c r="K87" s="1139">
        <f>(0.25*I87)*(6/10)</f>
        <v>0.85499999999999998</v>
      </c>
      <c r="L87" s="1140">
        <f>I87-K87</f>
        <v>4.8450000000000006</v>
      </c>
      <c r="M87" s="855" t="str">
        <f>IF(K87=0,J87/K87,"0%")</f>
        <v>0%</v>
      </c>
      <c r="N87" s="888">
        <f>(((G87/C87)*M87)+((G88/C87)*M88)+((G89/C87)*M89)+((G90/C87)*M90)+((G91/C87)*M91))</f>
        <v>0.20833333333333331</v>
      </c>
      <c r="O87" s="889">
        <f>IF((((G87/C87)*M87)+((G88/C87)*M88)+((G89/C87)*M89)+((G90/C87)*M90)+((G91/C87)*M91))&gt;=1,3.571428,IF((((G87/C87)*M87)+((G88/C87)*M88)+((G89/C87)*M89)+((G90/C87)*M90)+((G91/C87)*M91))&lt;=0,0,((((G87/C87)*M87)+((G88/C87)*M88)+((G89/C87)*M89)+((G90/C87)*M90)+((G91/C87)*M91))*3.571428)))</f>
        <v>0.74404749999999997</v>
      </c>
      <c r="P87" s="858">
        <f>O87/3.571428</f>
        <v>0.20833333333333331</v>
      </c>
      <c r="Q87" s="1141" t="s">
        <v>186</v>
      </c>
      <c r="R87" s="119" t="s">
        <v>300</v>
      </c>
      <c r="S87" s="345" t="s">
        <v>405</v>
      </c>
    </row>
    <row r="88" spans="1:19" ht="25.8" customHeight="1" x14ac:dyDescent="0.45">
      <c r="A88" s="703"/>
      <c r="B88" s="750"/>
      <c r="C88" s="719"/>
      <c r="D88" s="727" t="s">
        <v>160</v>
      </c>
      <c r="E88" s="755">
        <f>C87/3</f>
        <v>1.1904761904761905</v>
      </c>
      <c r="F88" s="445" t="s">
        <v>77</v>
      </c>
      <c r="G88" s="517">
        <f>$E$88/3</f>
        <v>0.3968253968253968</v>
      </c>
      <c r="H88" s="1066"/>
      <c r="I88" s="1067">
        <v>51.5</v>
      </c>
      <c r="J88" s="1124">
        <f>I88-H88</f>
        <v>51.5</v>
      </c>
      <c r="K88" s="1142">
        <f>I88*(6/10)</f>
        <v>30.9</v>
      </c>
      <c r="L88" s="1143">
        <f>I88-K88</f>
        <v>20.6</v>
      </c>
      <c r="M88" s="896" t="str">
        <f>IF(K88=0,J88/K88,"0%")</f>
        <v>0%</v>
      </c>
      <c r="N88" s="897"/>
      <c r="O88" s="898"/>
      <c r="P88" s="899"/>
      <c r="Q88" s="1144" t="s">
        <v>187</v>
      </c>
      <c r="R88" s="120" t="s">
        <v>313</v>
      </c>
      <c r="S88" s="345" t="s">
        <v>405</v>
      </c>
    </row>
    <row r="89" spans="1:19" ht="59.65" customHeight="1" x14ac:dyDescent="0.45">
      <c r="A89" s="703"/>
      <c r="B89" s="750"/>
      <c r="C89" s="719"/>
      <c r="D89" s="728"/>
      <c r="E89" s="756"/>
      <c r="F89" s="445" t="s">
        <v>78</v>
      </c>
      <c r="G89" s="517">
        <f>$E$88/3</f>
        <v>0.3968253968253968</v>
      </c>
      <c r="H89" s="1066"/>
      <c r="I89" s="1067">
        <v>66.900000000000006</v>
      </c>
      <c r="J89" s="1124">
        <f>I89-H89</f>
        <v>66.900000000000006</v>
      </c>
      <c r="K89" s="1142">
        <f>I89*(6/10)</f>
        <v>40.14</v>
      </c>
      <c r="L89" s="1143">
        <f>I89-K89</f>
        <v>26.760000000000005</v>
      </c>
      <c r="M89" s="896" t="str">
        <f>IF(K89=0,J89/K89,"0%")</f>
        <v>0%</v>
      </c>
      <c r="N89" s="897"/>
      <c r="O89" s="898"/>
      <c r="P89" s="899"/>
      <c r="Q89" s="1144" t="s">
        <v>188</v>
      </c>
      <c r="R89" s="120" t="s">
        <v>313</v>
      </c>
      <c r="S89" s="345" t="s">
        <v>405</v>
      </c>
    </row>
    <row r="90" spans="1:19" ht="26.45" customHeight="1" x14ac:dyDescent="0.45">
      <c r="A90" s="703"/>
      <c r="B90" s="750"/>
      <c r="C90" s="719"/>
      <c r="D90" s="729"/>
      <c r="E90" s="757"/>
      <c r="F90" s="445" t="s">
        <v>79</v>
      </c>
      <c r="G90" s="517">
        <f>$E$88/3</f>
        <v>0.3968253968253968</v>
      </c>
      <c r="H90" s="1145"/>
      <c r="I90" s="1146"/>
      <c r="J90" s="1124">
        <f>I90-H90</f>
        <v>0</v>
      </c>
      <c r="K90" s="1147">
        <f>(I90)*(6/10)</f>
        <v>0</v>
      </c>
      <c r="L90" s="1148">
        <f>I90-K90</f>
        <v>0</v>
      </c>
      <c r="M90" s="896" t="str">
        <f>IF(K90=0,"0%",J90/K90)</f>
        <v>0%</v>
      </c>
      <c r="N90" s="897"/>
      <c r="O90" s="898"/>
      <c r="P90" s="899"/>
      <c r="Q90" s="1149" t="s">
        <v>189</v>
      </c>
      <c r="R90" s="120"/>
      <c r="S90" s="165" t="s">
        <v>411</v>
      </c>
    </row>
    <row r="91" spans="1:19" ht="40.799999999999997" customHeight="1" thickBot="1" x14ac:dyDescent="0.5">
      <c r="A91" s="703"/>
      <c r="B91" s="751"/>
      <c r="C91" s="720"/>
      <c r="D91" s="437" t="s">
        <v>161</v>
      </c>
      <c r="E91" s="451">
        <f>$C$87/3</f>
        <v>1.1904761904761905</v>
      </c>
      <c r="F91" s="518" t="s">
        <v>80</v>
      </c>
      <c r="G91" s="519">
        <f>E91/1</f>
        <v>1.1904761904761905</v>
      </c>
      <c r="H91" s="1150">
        <v>50</v>
      </c>
      <c r="I91" s="902">
        <v>50</v>
      </c>
      <c r="J91" s="1129">
        <f>H91-I91</f>
        <v>0</v>
      </c>
      <c r="K91" s="1130">
        <f>(100-I91)*(6/10)</f>
        <v>30</v>
      </c>
      <c r="L91" s="1151">
        <f>I91+K91</f>
        <v>80</v>
      </c>
      <c r="M91" s="881">
        <f>IF(I91&gt;=60,(1+(H91-60)/60),(H91/L91))</f>
        <v>0.625</v>
      </c>
      <c r="N91" s="905"/>
      <c r="O91" s="906"/>
      <c r="P91" s="868"/>
      <c r="Q91" s="1152" t="s">
        <v>95</v>
      </c>
      <c r="R91" s="121"/>
      <c r="S91" s="276" t="s">
        <v>321</v>
      </c>
    </row>
    <row r="92" spans="1:19" ht="14.65" customHeight="1" thickBot="1" x14ac:dyDescent="0.5">
      <c r="B92" s="579" t="s">
        <v>81</v>
      </c>
      <c r="C92" s="580"/>
      <c r="D92" s="580"/>
      <c r="E92" s="580"/>
      <c r="F92" s="581"/>
      <c r="G92" s="11"/>
      <c r="H92" s="1103"/>
      <c r="I92" s="1104"/>
      <c r="J92" s="1105"/>
      <c r="K92" s="1105"/>
      <c r="L92" s="1105"/>
      <c r="M92" s="1153"/>
      <c r="N92" s="843">
        <f>(N93+N97)/2</f>
        <v>0.27777777777777779</v>
      </c>
      <c r="O92" s="844">
        <f>(O93+O97)</f>
        <v>1.9841266666666668</v>
      </c>
      <c r="P92" s="845">
        <f>O92/14.285712</f>
        <v>0.1388888888888889</v>
      </c>
      <c r="Q92" s="1019"/>
      <c r="R92" s="20"/>
      <c r="S92" s="23"/>
    </row>
    <row r="93" spans="1:19" ht="20.45" customHeight="1" thickBot="1" x14ac:dyDescent="0.5">
      <c r="B93" s="712" t="s">
        <v>82</v>
      </c>
      <c r="C93" s="713"/>
      <c r="D93" s="713"/>
      <c r="E93" s="713"/>
      <c r="F93" s="714"/>
      <c r="G93" s="438"/>
      <c r="H93" s="1003"/>
      <c r="I93" s="1004"/>
      <c r="J93" s="930"/>
      <c r="K93" s="930"/>
      <c r="L93" s="930"/>
      <c r="M93" s="1040"/>
      <c r="N93" s="843">
        <f>N94</f>
        <v>0.55555555555555558</v>
      </c>
      <c r="O93" s="844">
        <f>O94</f>
        <v>1.9841266666666668</v>
      </c>
      <c r="P93" s="845">
        <f>O93/3.571428</f>
        <v>0.55555555555555558</v>
      </c>
      <c r="Q93" s="1006"/>
      <c r="R93" s="17"/>
      <c r="S93" s="18"/>
    </row>
    <row r="94" spans="1:19" ht="34.799999999999997" customHeight="1" x14ac:dyDescent="0.45">
      <c r="A94" s="703">
        <v>25</v>
      </c>
      <c r="B94" s="715" t="s">
        <v>83</v>
      </c>
      <c r="C94" s="718">
        <f>M5</f>
        <v>3.5714285714285716</v>
      </c>
      <c r="D94" s="732" t="s">
        <v>214</v>
      </c>
      <c r="E94" s="467">
        <f>$C$94/3</f>
        <v>1.1904761904761905</v>
      </c>
      <c r="F94" s="440" t="s">
        <v>269</v>
      </c>
      <c r="G94" s="520">
        <f>E94/1</f>
        <v>1.1904761904761905</v>
      </c>
      <c r="H94" s="1154">
        <v>100</v>
      </c>
      <c r="I94" s="1155">
        <v>0</v>
      </c>
      <c r="J94" s="1156">
        <f>H94-I94</f>
        <v>100</v>
      </c>
      <c r="K94" s="1157">
        <f>(100-I94)*(6/10)</f>
        <v>60</v>
      </c>
      <c r="L94" s="1158">
        <f>I94+K94</f>
        <v>60</v>
      </c>
      <c r="M94" s="855">
        <f>IF(K94&lt;&gt;0,J94/K94,"100%")</f>
        <v>1.6666666666666667</v>
      </c>
      <c r="N94" s="888">
        <f>(((G94/C94)*M94)+((G95/C94)*M95)+((G96/C94)*M96))</f>
        <v>0.55555555555555558</v>
      </c>
      <c r="O94" s="889">
        <f>IF((((G94/C94)*M94)+((G95/C94)*M95)+((G96/C94)*M96))&gt;=1,3.571428,IF((((G94/C94)*M94)+((G95/C94)*M95)+((G96/C94)*M96))&lt;=0,0,(((G94/C94)*M94)+((G95/C94)*M95)+((G96/C94)*M96))*3.571428))</f>
        <v>1.9841266666666668</v>
      </c>
      <c r="P94" s="858">
        <f>O94/3.571428</f>
        <v>0.55555555555555558</v>
      </c>
      <c r="Q94" s="1159" t="s">
        <v>190</v>
      </c>
      <c r="R94" s="174" t="s">
        <v>315</v>
      </c>
      <c r="S94" s="167" t="s">
        <v>316</v>
      </c>
    </row>
    <row r="95" spans="1:19" ht="39.6" customHeight="1" x14ac:dyDescent="0.45">
      <c r="A95" s="703"/>
      <c r="B95" s="716"/>
      <c r="C95" s="719"/>
      <c r="D95" s="728"/>
      <c r="E95" s="521">
        <f t="shared" ref="E95:E96" si="32">$C$94/3</f>
        <v>1.1904761904761905</v>
      </c>
      <c r="F95" s="483" t="s">
        <v>270</v>
      </c>
      <c r="G95" s="517">
        <f>E95/1</f>
        <v>1.1904761904761905</v>
      </c>
      <c r="H95" s="917"/>
      <c r="I95" s="1046"/>
      <c r="J95" s="1124">
        <f>IF(AND(I95&gt;1,(H95-I95=0)),(H95-1),(H95-I95))</f>
        <v>0</v>
      </c>
      <c r="K95" s="983">
        <f>IF(AND(I95&gt;=1,H95&gt;=1),"0",((1-I95)*(6/10)))</f>
        <v>0.6</v>
      </c>
      <c r="L95" s="1160">
        <f t="shared" ref="L95:L96" si="33">I95+K95</f>
        <v>0.6</v>
      </c>
      <c r="M95" s="896">
        <f>IF(I95&gt;=1,(1+(H95-1)/1),(J95/K95))</f>
        <v>0</v>
      </c>
      <c r="N95" s="897"/>
      <c r="O95" s="898"/>
      <c r="P95" s="899"/>
      <c r="Q95" s="1161" t="s">
        <v>191</v>
      </c>
      <c r="R95" s="62"/>
      <c r="S95" s="165" t="s">
        <v>411</v>
      </c>
    </row>
    <row r="96" spans="1:19" ht="41.45" customHeight="1" thickBot="1" x14ac:dyDescent="0.5">
      <c r="A96" s="703"/>
      <c r="B96" s="717"/>
      <c r="C96" s="720"/>
      <c r="D96" s="733"/>
      <c r="E96" s="468">
        <f t="shared" si="32"/>
        <v>1.1904761904761905</v>
      </c>
      <c r="F96" s="450" t="s">
        <v>84</v>
      </c>
      <c r="G96" s="519">
        <f>E96/1</f>
        <v>1.1904761904761905</v>
      </c>
      <c r="H96" s="938"/>
      <c r="I96" s="939"/>
      <c r="J96" s="1129">
        <f>H96-I96</f>
        <v>0</v>
      </c>
      <c r="K96" s="1130">
        <f>(100-I96)*(6/10)</f>
        <v>60</v>
      </c>
      <c r="L96" s="1151">
        <f t="shared" si="33"/>
        <v>60</v>
      </c>
      <c r="M96" s="881">
        <f>IF(K96&lt;&gt;0,J96/K96,"100%")</f>
        <v>0</v>
      </c>
      <c r="N96" s="905"/>
      <c r="O96" s="906"/>
      <c r="P96" s="868"/>
      <c r="Q96" s="1162" t="s">
        <v>95</v>
      </c>
      <c r="R96" s="57"/>
      <c r="S96" s="165" t="s">
        <v>411</v>
      </c>
    </row>
    <row r="97" spans="1:19" ht="18" customHeight="1" thickBot="1" x14ac:dyDescent="0.5">
      <c r="B97" s="758" t="s">
        <v>85</v>
      </c>
      <c r="C97" s="759"/>
      <c r="D97" s="759"/>
      <c r="E97" s="759"/>
      <c r="F97" s="760"/>
      <c r="G97" s="522"/>
      <c r="H97" s="1163"/>
      <c r="I97" s="1164"/>
      <c r="J97" s="1165"/>
      <c r="K97" s="1165"/>
      <c r="L97" s="1165"/>
      <c r="M97" s="1166"/>
      <c r="N97" s="1167">
        <f>(N98+N99+N100)/3</f>
        <v>0</v>
      </c>
      <c r="O97" s="1168">
        <f>(O98+O99+O100)</f>
        <v>0</v>
      </c>
      <c r="P97" s="845">
        <f>O97/10.714284</f>
        <v>0</v>
      </c>
      <c r="Q97" s="1164"/>
      <c r="R97" s="25"/>
      <c r="S97" s="25"/>
    </row>
    <row r="98" spans="1:19" ht="29.45" customHeight="1" thickBot="1" x14ac:dyDescent="0.5">
      <c r="A98" s="22">
        <v>26</v>
      </c>
      <c r="B98" s="453" t="s">
        <v>86</v>
      </c>
      <c r="C98" s="454">
        <f>$M$5</f>
        <v>3.5714285714285716</v>
      </c>
      <c r="D98" s="453" t="s">
        <v>215</v>
      </c>
      <c r="E98" s="454">
        <f>C98/1</f>
        <v>3.5714285714285716</v>
      </c>
      <c r="F98" s="495" t="s">
        <v>291</v>
      </c>
      <c r="G98" s="454">
        <f>E98/1</f>
        <v>3.5714285714285716</v>
      </c>
      <c r="H98" s="1079"/>
      <c r="I98" s="962"/>
      <c r="J98" s="1081">
        <f>IF(I98=H98,(H98-10),H98-I98)</f>
        <v>-10</v>
      </c>
      <c r="K98" s="968">
        <f>IF(I98&gt;=10,0,((10-I98)*(6/10)))</f>
        <v>6</v>
      </c>
      <c r="L98" s="1082">
        <f>I98+K98</f>
        <v>6</v>
      </c>
      <c r="M98" s="896" t="str">
        <f>IF(K98=0,J98/K98,"0%")</f>
        <v>0%</v>
      </c>
      <c r="N98" s="1083">
        <f>((G98/C98)*M98)</f>
        <v>0</v>
      </c>
      <c r="O98" s="954">
        <f>IF(((G98/C98)*M98)&gt;=1,3.571428,IF(((G98/C98)*M98)&lt;=0,0,((G98/C98)*M98)*3.571428))</f>
        <v>0</v>
      </c>
      <c r="P98" s="845">
        <f>O98/3.571428</f>
        <v>0</v>
      </c>
      <c r="Q98" s="1169" t="s">
        <v>95</v>
      </c>
      <c r="R98" s="122"/>
      <c r="S98" s="165" t="s">
        <v>397</v>
      </c>
    </row>
    <row r="99" spans="1:19" ht="35.25" thickBot="1" x14ac:dyDescent="0.5">
      <c r="A99" s="22">
        <v>27</v>
      </c>
      <c r="B99" s="453" t="s">
        <v>87</v>
      </c>
      <c r="C99" s="454">
        <f>$M$5</f>
        <v>3.5714285714285716</v>
      </c>
      <c r="D99" s="453" t="s">
        <v>216</v>
      </c>
      <c r="E99" s="454">
        <f>C99/1</f>
        <v>3.5714285714285716</v>
      </c>
      <c r="F99" s="495" t="s">
        <v>271</v>
      </c>
      <c r="G99" s="454">
        <f>E99/1</f>
        <v>3.5714285714285716</v>
      </c>
      <c r="H99" s="961"/>
      <c r="I99" s="962"/>
      <c r="J99" s="1081">
        <f>IF(I99=H99,(H99-75),H99-I99)</f>
        <v>-75</v>
      </c>
      <c r="K99" s="968">
        <f>IF(I99&gt;=75,0,((75-I99)*(6/10)))</f>
        <v>45</v>
      </c>
      <c r="L99" s="1100">
        <f>I99+K99</f>
        <v>45</v>
      </c>
      <c r="M99" s="896" t="str">
        <f>IF(K99=0,J99/K99,"0%")</f>
        <v>0%</v>
      </c>
      <c r="N99" s="1083">
        <f>((G99/C99)*M99)</f>
        <v>0</v>
      </c>
      <c r="O99" s="954">
        <f>IF(((G99/C99)*M99)&gt;=1,3.571428,IF(((G99/C99)*M99)&lt;=0,0,((G99/C99)*M99)*3.571428))</f>
        <v>0</v>
      </c>
      <c r="P99" s="845">
        <f>O99/3.571428</f>
        <v>0</v>
      </c>
      <c r="Q99" s="1169" t="s">
        <v>192</v>
      </c>
      <c r="R99" s="159"/>
      <c r="S99" s="165" t="s">
        <v>397</v>
      </c>
    </row>
    <row r="100" spans="1:19" ht="34.9" x14ac:dyDescent="0.45">
      <c r="A100" s="703">
        <v>28</v>
      </c>
      <c r="B100" s="732" t="s">
        <v>88</v>
      </c>
      <c r="C100" s="718">
        <f>M5</f>
        <v>3.5714285714285716</v>
      </c>
      <c r="D100" s="732" t="s">
        <v>217</v>
      </c>
      <c r="E100" s="718">
        <f>C100/1</f>
        <v>3.5714285714285716</v>
      </c>
      <c r="F100" s="480" t="s">
        <v>89</v>
      </c>
      <c r="G100" s="411">
        <f>$E$100/2</f>
        <v>1.7857142857142858</v>
      </c>
      <c r="H100" s="1007"/>
      <c r="I100" s="1008"/>
      <c r="J100" s="1009">
        <f>IF(I100=H100,(25-H100),I100-H100)</f>
        <v>25</v>
      </c>
      <c r="K100" s="1021">
        <f>IF(I100&lt;=25,0,((0.25*I100)*(6/10)))</f>
        <v>0</v>
      </c>
      <c r="L100" s="1170">
        <f>I100-K100</f>
        <v>0</v>
      </c>
      <c r="M100" s="896" t="str">
        <f>IF(K100=0,"0%",J100/K100)</f>
        <v>0%</v>
      </c>
      <c r="N100" s="1171">
        <f>((G100/$C$100)*M100)+((G101/$C$100)*M101)</f>
        <v>0</v>
      </c>
      <c r="O100" s="857">
        <f>IF((((G100/C100)*M100)+((G101/C100)*M101))&gt;=1,3.57148,IF((((G100/C100)*M100)+((G101/C100)*M101))&lt;=0,0, (((G100/C100)*M100)+((G101/C100)*M101))*3.571428))</f>
        <v>0</v>
      </c>
      <c r="P100" s="858">
        <f>O100/3.571428</f>
        <v>0</v>
      </c>
      <c r="Q100" s="1172" t="s">
        <v>193</v>
      </c>
      <c r="R100" s="160"/>
      <c r="S100" s="165" t="s">
        <v>397</v>
      </c>
    </row>
    <row r="101" spans="1:19" ht="38.450000000000003" customHeight="1" thickBot="1" x14ac:dyDescent="0.5">
      <c r="A101" s="703"/>
      <c r="B101" s="733"/>
      <c r="C101" s="720"/>
      <c r="D101" s="733"/>
      <c r="E101" s="720"/>
      <c r="F101" s="450" t="s">
        <v>90</v>
      </c>
      <c r="G101" s="419">
        <f>$E$100/2</f>
        <v>1.7857142857142858</v>
      </c>
      <c r="H101" s="938"/>
      <c r="I101" s="939"/>
      <c r="J101" s="1115">
        <f>IF(I101=H101,(H101-25),H101-I101)</f>
        <v>-25</v>
      </c>
      <c r="K101" s="904">
        <f>IF(I101&gt;=25,0,((25-I101)*(6/10)))</f>
        <v>15</v>
      </c>
      <c r="L101" s="1173">
        <f t="shared" ref="L101" si="34">K101+I101</f>
        <v>15</v>
      </c>
      <c r="M101" s="896" t="str">
        <f>IF(K101=0,J101/K101,"0%")</f>
        <v>0%</v>
      </c>
      <c r="N101" s="1174"/>
      <c r="O101" s="867"/>
      <c r="P101" s="868"/>
      <c r="Q101" s="1175" t="s">
        <v>95</v>
      </c>
      <c r="R101" s="123"/>
      <c r="S101" s="165" t="s">
        <v>397</v>
      </c>
    </row>
    <row r="102" spans="1:19" ht="34.25" customHeight="1" thickBot="1" x14ac:dyDescent="0.5">
      <c r="B102" s="523" t="s">
        <v>194</v>
      </c>
      <c r="C102" s="524">
        <f>C11+C13+C15+C19+C24+C33+C34+C35+C36+C38+C41+C44+C48+C51+C53+C61+C68+C71+C73+C75+C78+C81+C83+C87+C94+C98+C99+C100</f>
        <v>99.999999999999972</v>
      </c>
      <c r="D102" s="525"/>
      <c r="E102" s="524">
        <f>E11+E12+E13+E14+E15+E19+E20+E21+E22+E24+E25+E28+E31+E33+E34+E35+E36+E38+E39+E41+E42+E44+E45+E48+E49++E51+E53+E54+E55+E56+E57+E61+E62+E63+E64+E68+E71+E73+E75+E78+E81++E82+E83+E84+E85+E87+E88+E91+E94+E95+E96+E98+E99+E100</f>
        <v>100.00714285714285</v>
      </c>
      <c r="F102" s="526"/>
      <c r="G102" s="524">
        <f>G11+G12+G13+G14+G15+G16+G17+G19+G20+G21+G22+G24+G25+G26+G27+G28+G29+G30+G31+G33+G34+G35+G36+G38+G39+G41+G42+G44+G45+G48+G49+G51+G53+G54+G55+G56+G57+G58+G61+G62+G63+G64+G65+G66+G68+G71+G73+G75+G78+G81+G82+G83+G84+G85+G87+G88+G89+G90+G91+G94+G95+G96+G98+G99+G100+G101</f>
        <v>100.00714285714285</v>
      </c>
      <c r="H102" s="1176"/>
      <c r="I102" s="1177"/>
      <c r="J102" s="1176"/>
      <c r="K102" s="1178"/>
      <c r="L102" s="1179"/>
      <c r="M102" s="1180"/>
      <c r="N102" s="1181"/>
      <c r="O102" s="1182"/>
      <c r="P102" s="1182"/>
      <c r="Q102" s="1183"/>
      <c r="R102" s="26"/>
      <c r="S102" s="27"/>
    </row>
    <row r="104" spans="1:19" ht="15.75" x14ac:dyDescent="0.5">
      <c r="B104" s="28"/>
    </row>
    <row r="107" spans="1:19" ht="15.75" x14ac:dyDescent="0.5">
      <c r="B107" s="28"/>
    </row>
    <row r="108" spans="1:19" x14ac:dyDescent="0.45">
      <c r="B108" s="29"/>
    </row>
    <row r="109" spans="1:19" x14ac:dyDescent="0.45">
      <c r="B109" s="29"/>
    </row>
    <row r="111" spans="1:19" x14ac:dyDescent="0.45">
      <c r="E111"/>
      <c r="F111" s="527" t="s">
        <v>196</v>
      </c>
    </row>
    <row r="112" spans="1:19" x14ac:dyDescent="0.45">
      <c r="E112" s="528">
        <v>1</v>
      </c>
      <c r="F112" s="528" t="s">
        <v>197</v>
      </c>
    </row>
    <row r="113" spans="5:6" x14ac:dyDescent="0.45">
      <c r="E113" s="528">
        <v>2</v>
      </c>
      <c r="F113" s="528" t="s">
        <v>227</v>
      </c>
    </row>
    <row r="114" spans="5:6" x14ac:dyDescent="0.45">
      <c r="E114" s="528">
        <v>3</v>
      </c>
      <c r="F114" s="528" t="s">
        <v>228</v>
      </c>
    </row>
    <row r="115" spans="5:6" x14ac:dyDescent="0.45">
      <c r="E115" s="528">
        <v>4</v>
      </c>
      <c r="F115" s="528" t="s">
        <v>229</v>
      </c>
    </row>
    <row r="116" spans="5:6" x14ac:dyDescent="0.45">
      <c r="E116" s="528">
        <v>5</v>
      </c>
      <c r="F116" s="528" t="s">
        <v>198</v>
      </c>
    </row>
    <row r="117" spans="5:6" x14ac:dyDescent="0.45">
      <c r="E117" s="528">
        <v>6</v>
      </c>
      <c r="F117" s="528" t="s">
        <v>230</v>
      </c>
    </row>
    <row r="118" spans="5:6" x14ac:dyDescent="0.45">
      <c r="E118" s="528">
        <v>7</v>
      </c>
      <c r="F118" s="528" t="s">
        <v>231</v>
      </c>
    </row>
    <row r="119" spans="5:6" x14ac:dyDescent="0.45">
      <c r="E119" s="528">
        <v>8</v>
      </c>
      <c r="F119" s="528" t="s">
        <v>199</v>
      </c>
    </row>
    <row r="120" spans="5:6" x14ac:dyDescent="0.45">
      <c r="E120" s="528">
        <v>9</v>
      </c>
      <c r="F120" s="528" t="s">
        <v>200</v>
      </c>
    </row>
    <row r="121" spans="5:6" x14ac:dyDescent="0.45">
      <c r="E121" s="528">
        <v>10</v>
      </c>
      <c r="F121" s="528" t="s">
        <v>201</v>
      </c>
    </row>
    <row r="122" spans="5:6" x14ac:dyDescent="0.45">
      <c r="E122" s="528">
        <v>11</v>
      </c>
      <c r="F122" s="528" t="s">
        <v>232</v>
      </c>
    </row>
    <row r="123" spans="5:6" x14ac:dyDescent="0.45">
      <c r="E123" s="528">
        <v>12</v>
      </c>
      <c r="F123" s="528" t="s">
        <v>202</v>
      </c>
    </row>
    <row r="124" spans="5:6" x14ac:dyDescent="0.45">
      <c r="E124" s="528">
        <f t="shared" ref="E124:E145" si="35">E123+1</f>
        <v>13</v>
      </c>
      <c r="F124" s="528" t="s">
        <v>203</v>
      </c>
    </row>
    <row r="125" spans="5:6" x14ac:dyDescent="0.45">
      <c r="E125" s="528">
        <v>14</v>
      </c>
      <c r="F125" s="528" t="s">
        <v>233</v>
      </c>
    </row>
    <row r="126" spans="5:6" x14ac:dyDescent="0.45">
      <c r="E126" s="528">
        <v>15</v>
      </c>
      <c r="F126" s="528" t="s">
        <v>234</v>
      </c>
    </row>
    <row r="127" spans="5:6" x14ac:dyDescent="0.45">
      <c r="E127" s="528">
        <v>16</v>
      </c>
      <c r="F127" s="528" t="s">
        <v>213</v>
      </c>
    </row>
    <row r="128" spans="5:6" x14ac:dyDescent="0.45">
      <c r="E128" s="528">
        <v>17</v>
      </c>
      <c r="F128" s="528" t="s">
        <v>235</v>
      </c>
    </row>
    <row r="129" spans="5:6" x14ac:dyDescent="0.45">
      <c r="E129" s="528">
        <v>18</v>
      </c>
      <c r="F129" s="528" t="s">
        <v>263</v>
      </c>
    </row>
    <row r="130" spans="5:6" x14ac:dyDescent="0.45">
      <c r="E130" s="528">
        <v>19</v>
      </c>
      <c r="F130" s="528" t="s">
        <v>204</v>
      </c>
    </row>
    <row r="131" spans="5:6" x14ac:dyDescent="0.45">
      <c r="E131" s="528">
        <v>20</v>
      </c>
      <c r="F131" s="528" t="s">
        <v>236</v>
      </c>
    </row>
    <row r="132" spans="5:6" x14ac:dyDescent="0.45">
      <c r="E132" s="528">
        <v>21</v>
      </c>
      <c r="F132" s="528" t="s">
        <v>237</v>
      </c>
    </row>
    <row r="133" spans="5:6" x14ac:dyDescent="0.45">
      <c r="E133" s="528">
        <v>22</v>
      </c>
      <c r="F133" s="528" t="s">
        <v>238</v>
      </c>
    </row>
    <row r="134" spans="5:6" x14ac:dyDescent="0.45">
      <c r="E134" s="528">
        <v>23</v>
      </c>
      <c r="F134" s="528" t="s">
        <v>205</v>
      </c>
    </row>
    <row r="135" spans="5:6" x14ac:dyDescent="0.45">
      <c r="E135" s="528">
        <v>24</v>
      </c>
      <c r="F135" s="528" t="s">
        <v>239</v>
      </c>
    </row>
    <row r="136" spans="5:6" x14ac:dyDescent="0.45">
      <c r="E136" s="528">
        <v>25</v>
      </c>
      <c r="F136" s="528" t="s">
        <v>240</v>
      </c>
    </row>
    <row r="137" spans="5:6" x14ac:dyDescent="0.45">
      <c r="E137" s="528">
        <v>26</v>
      </c>
      <c r="F137" s="528" t="s">
        <v>241</v>
      </c>
    </row>
    <row r="138" spans="5:6" x14ac:dyDescent="0.45">
      <c r="E138" s="528">
        <v>27</v>
      </c>
      <c r="F138" s="528" t="s">
        <v>206</v>
      </c>
    </row>
    <row r="139" spans="5:6" x14ac:dyDescent="0.45">
      <c r="E139" s="528">
        <v>28</v>
      </c>
      <c r="F139" s="528" t="s">
        <v>242</v>
      </c>
    </row>
    <row r="140" spans="5:6" x14ac:dyDescent="0.45">
      <c r="E140" s="528">
        <v>29</v>
      </c>
      <c r="F140" s="528" t="s">
        <v>243</v>
      </c>
    </row>
    <row r="141" spans="5:6" x14ac:dyDescent="0.45">
      <c r="E141" s="528">
        <v>30</v>
      </c>
      <c r="F141" s="528" t="s">
        <v>244</v>
      </c>
    </row>
    <row r="142" spans="5:6" x14ac:dyDescent="0.45">
      <c r="E142" s="528">
        <v>31</v>
      </c>
      <c r="F142" s="528" t="s">
        <v>245</v>
      </c>
    </row>
    <row r="143" spans="5:6" x14ac:dyDescent="0.45">
      <c r="E143" s="528">
        <v>32</v>
      </c>
      <c r="F143" s="528" t="s">
        <v>246</v>
      </c>
    </row>
    <row r="144" spans="5:6" x14ac:dyDescent="0.45">
      <c r="E144" s="528">
        <v>33</v>
      </c>
      <c r="F144" s="528" t="s">
        <v>207</v>
      </c>
    </row>
    <row r="145" spans="5:6" x14ac:dyDescent="0.45">
      <c r="E145" s="528">
        <f t="shared" si="35"/>
        <v>34</v>
      </c>
      <c r="F145" s="528" t="s">
        <v>208</v>
      </c>
    </row>
    <row r="146" spans="5:6" x14ac:dyDescent="0.45">
      <c r="E146" s="528">
        <v>35</v>
      </c>
      <c r="F146" s="528" t="s">
        <v>247</v>
      </c>
    </row>
    <row r="147" spans="5:6" x14ac:dyDescent="0.45">
      <c r="E147" s="528">
        <v>36</v>
      </c>
      <c r="F147" s="528" t="s">
        <v>248</v>
      </c>
    </row>
    <row r="148" spans="5:6" x14ac:dyDescent="0.45">
      <c r="E148" s="528">
        <v>36</v>
      </c>
      <c r="F148" s="528" t="s">
        <v>249</v>
      </c>
    </row>
    <row r="149" spans="5:6" x14ac:dyDescent="0.45">
      <c r="E149" s="528">
        <v>38</v>
      </c>
      <c r="F149" s="528" t="s">
        <v>250</v>
      </c>
    </row>
    <row r="150" spans="5:6" x14ac:dyDescent="0.45">
      <c r="E150" s="528">
        <v>39</v>
      </c>
      <c r="F150" s="528" t="s">
        <v>251</v>
      </c>
    </row>
    <row r="151" spans="5:6" x14ac:dyDescent="0.45">
      <c r="E151" s="528">
        <v>40</v>
      </c>
      <c r="F151" s="528" t="s">
        <v>209</v>
      </c>
    </row>
    <row r="152" spans="5:6" x14ac:dyDescent="0.45">
      <c r="E152" s="528">
        <v>41</v>
      </c>
      <c r="F152" s="528" t="s">
        <v>264</v>
      </c>
    </row>
    <row r="153" spans="5:6" x14ac:dyDescent="0.45">
      <c r="E153" s="528">
        <v>42</v>
      </c>
      <c r="F153" s="528" t="s">
        <v>252</v>
      </c>
    </row>
    <row r="154" spans="5:6" x14ac:dyDescent="0.45">
      <c r="E154" s="528">
        <v>43</v>
      </c>
      <c r="F154" s="528" t="s">
        <v>253</v>
      </c>
    </row>
    <row r="155" spans="5:6" x14ac:dyDescent="0.45">
      <c r="E155" s="528">
        <v>44</v>
      </c>
      <c r="F155" s="528" t="s">
        <v>254</v>
      </c>
    </row>
    <row r="156" spans="5:6" x14ac:dyDescent="0.45">
      <c r="E156" s="528">
        <v>45</v>
      </c>
      <c r="F156" s="528" t="s">
        <v>210</v>
      </c>
    </row>
    <row r="157" spans="5:6" x14ac:dyDescent="0.45">
      <c r="E157" s="528">
        <v>46</v>
      </c>
      <c r="F157" s="528" t="s">
        <v>255</v>
      </c>
    </row>
    <row r="158" spans="5:6" x14ac:dyDescent="0.45">
      <c r="E158" s="528">
        <v>47</v>
      </c>
      <c r="F158" s="528" t="s">
        <v>211</v>
      </c>
    </row>
    <row r="159" spans="5:6" x14ac:dyDescent="0.45">
      <c r="E159" s="528">
        <v>48</v>
      </c>
      <c r="F159" s="528" t="s">
        <v>256</v>
      </c>
    </row>
    <row r="160" spans="5:6" x14ac:dyDescent="0.45">
      <c r="E160" s="528">
        <v>49</v>
      </c>
      <c r="F160" s="528" t="s">
        <v>257</v>
      </c>
    </row>
    <row r="161" spans="5:6" x14ac:dyDescent="0.45">
      <c r="E161" s="528">
        <v>50</v>
      </c>
      <c r="F161" s="528" t="s">
        <v>260</v>
      </c>
    </row>
    <row r="162" spans="5:6" x14ac:dyDescent="0.45">
      <c r="E162" s="528">
        <v>51</v>
      </c>
      <c r="F162" s="528" t="s">
        <v>258</v>
      </c>
    </row>
    <row r="163" spans="5:6" x14ac:dyDescent="0.45">
      <c r="E163" s="528">
        <v>52</v>
      </c>
      <c r="F163" s="528" t="s">
        <v>212</v>
      </c>
    </row>
    <row r="164" spans="5:6" x14ac:dyDescent="0.45">
      <c r="E164" s="528">
        <v>53</v>
      </c>
      <c r="F164" s="528" t="s">
        <v>259</v>
      </c>
    </row>
    <row r="165" spans="5:6" x14ac:dyDescent="0.45">
      <c r="E165" s="528">
        <v>54</v>
      </c>
      <c r="F165" s="528" t="s">
        <v>261</v>
      </c>
    </row>
    <row r="166" spans="5:6" x14ac:dyDescent="0.45">
      <c r="E166" s="528">
        <v>55</v>
      </c>
      <c r="F166" s="528" t="s">
        <v>262</v>
      </c>
    </row>
    <row r="167" spans="5:6" x14ac:dyDescent="0.45">
      <c r="E167"/>
      <c r="F167"/>
    </row>
    <row r="168" spans="5:6" x14ac:dyDescent="0.45">
      <c r="E168"/>
      <c r="F168"/>
    </row>
  </sheetData>
  <sheetProtection algorithmName="SHA-512" hashValue="r5+srV0WHcnnkhmYB2cUwgT535Dw1PEvQAbMnyeCcF0DyIUlUEDjsB1bVWVI+7Lsn213MbSoPXLzNiYteIZARA==" saltValue="ESc4+e2IeFUEjO98eb5qyg==" spinCount="100000" sheet="1" objects="1" scenarios="1"/>
  <mergeCells count="140">
    <mergeCell ref="B92:F92"/>
    <mergeCell ref="B93:F93"/>
    <mergeCell ref="A94:A96"/>
    <mergeCell ref="B94:B96"/>
    <mergeCell ref="C94:C96"/>
    <mergeCell ref="D94:D96"/>
    <mergeCell ref="N94:N96"/>
    <mergeCell ref="P100:P101"/>
    <mergeCell ref="O94:O96"/>
    <mergeCell ref="P94:P96"/>
    <mergeCell ref="B97:F97"/>
    <mergeCell ref="A100:A101"/>
    <mergeCell ref="B100:B101"/>
    <mergeCell ref="C100:C101"/>
    <mergeCell ref="D100:D101"/>
    <mergeCell ref="E100:E101"/>
    <mergeCell ref="N100:N101"/>
    <mergeCell ref="O100:O101"/>
    <mergeCell ref="B86:F86"/>
    <mergeCell ref="A87:A91"/>
    <mergeCell ref="B87:B91"/>
    <mergeCell ref="C87:C91"/>
    <mergeCell ref="N87:N91"/>
    <mergeCell ref="O87:O91"/>
    <mergeCell ref="O81:O82"/>
    <mergeCell ref="P81:P82"/>
    <mergeCell ref="B83:B85"/>
    <mergeCell ref="C83:C85"/>
    <mergeCell ref="N83:N85"/>
    <mergeCell ref="O83:O85"/>
    <mergeCell ref="P83:P85"/>
    <mergeCell ref="P87:P91"/>
    <mergeCell ref="D88:D90"/>
    <mergeCell ref="E88:E90"/>
    <mergeCell ref="B77:F77"/>
    <mergeCell ref="B79:F79"/>
    <mergeCell ref="B80:F80"/>
    <mergeCell ref="B81:B82"/>
    <mergeCell ref="C81:C82"/>
    <mergeCell ref="N81:N82"/>
    <mergeCell ref="B67:F67"/>
    <mergeCell ref="B69:F69"/>
    <mergeCell ref="B70:F70"/>
    <mergeCell ref="B72:F72"/>
    <mergeCell ref="B74:F74"/>
    <mergeCell ref="B76:F76"/>
    <mergeCell ref="A61:A66"/>
    <mergeCell ref="B61:B66"/>
    <mergeCell ref="C61:C66"/>
    <mergeCell ref="N61:N66"/>
    <mergeCell ref="O61:O66"/>
    <mergeCell ref="P61:P66"/>
    <mergeCell ref="D64:D66"/>
    <mergeCell ref="E64:E66"/>
    <mergeCell ref="O53:O58"/>
    <mergeCell ref="P53:P58"/>
    <mergeCell ref="D57:D58"/>
    <mergeCell ref="E57:E58"/>
    <mergeCell ref="B59:F59"/>
    <mergeCell ref="B60:F60"/>
    <mergeCell ref="B50:F50"/>
    <mergeCell ref="B52:F52"/>
    <mergeCell ref="A53:A58"/>
    <mergeCell ref="B53:B58"/>
    <mergeCell ref="C53:C58"/>
    <mergeCell ref="N53:N58"/>
    <mergeCell ref="P44:P45"/>
    <mergeCell ref="B46:F46"/>
    <mergeCell ref="B47:F47"/>
    <mergeCell ref="A48:A49"/>
    <mergeCell ref="B48:B49"/>
    <mergeCell ref="C48:C49"/>
    <mergeCell ref="N48:N49"/>
    <mergeCell ref="O48:O49"/>
    <mergeCell ref="P48:P49"/>
    <mergeCell ref="B43:F43"/>
    <mergeCell ref="A44:A45"/>
    <mergeCell ref="B44:B45"/>
    <mergeCell ref="C44:C45"/>
    <mergeCell ref="N44:N45"/>
    <mergeCell ref="O44:O45"/>
    <mergeCell ref="P38:P39"/>
    <mergeCell ref="B40:F40"/>
    <mergeCell ref="A41:A42"/>
    <mergeCell ref="B41:B42"/>
    <mergeCell ref="C41:C42"/>
    <mergeCell ref="N41:N42"/>
    <mergeCell ref="O41:O42"/>
    <mergeCell ref="P41:P42"/>
    <mergeCell ref="B37:F37"/>
    <mergeCell ref="A38:A39"/>
    <mergeCell ref="B38:B39"/>
    <mergeCell ref="C38:C39"/>
    <mergeCell ref="N38:N39"/>
    <mergeCell ref="O38:O39"/>
    <mergeCell ref="P24:P31"/>
    <mergeCell ref="D25:D27"/>
    <mergeCell ref="E25:E27"/>
    <mergeCell ref="D28:D30"/>
    <mergeCell ref="E28:E30"/>
    <mergeCell ref="B32:F32"/>
    <mergeCell ref="B23:F23"/>
    <mergeCell ref="A24:A27"/>
    <mergeCell ref="B24:B31"/>
    <mergeCell ref="C24:C31"/>
    <mergeCell ref="N24:N31"/>
    <mergeCell ref="O24:O31"/>
    <mergeCell ref="O15:O17"/>
    <mergeCell ref="P15:P17"/>
    <mergeCell ref="B18:F18"/>
    <mergeCell ref="A19:A22"/>
    <mergeCell ref="B19:B22"/>
    <mergeCell ref="C19:C22"/>
    <mergeCell ref="N19:N22"/>
    <mergeCell ref="O19:O22"/>
    <mergeCell ref="P19:P22"/>
    <mergeCell ref="A15:A17"/>
    <mergeCell ref="B15:B17"/>
    <mergeCell ref="C15:C17"/>
    <mergeCell ref="D15:D17"/>
    <mergeCell ref="E15:E17"/>
    <mergeCell ref="N15:N17"/>
    <mergeCell ref="N13:N14"/>
    <mergeCell ref="O13:O14"/>
    <mergeCell ref="P13:P14"/>
    <mergeCell ref="A11:A12"/>
    <mergeCell ref="B11:B12"/>
    <mergeCell ref="C11:C12"/>
    <mergeCell ref="N11:N12"/>
    <mergeCell ref="O11:O12"/>
    <mergeCell ref="P11:P12"/>
    <mergeCell ref="K4:M4"/>
    <mergeCell ref="B5:K5"/>
    <mergeCell ref="B6:F6"/>
    <mergeCell ref="B7:F7"/>
    <mergeCell ref="B9:F9"/>
    <mergeCell ref="B10:F10"/>
    <mergeCell ref="A13:A14"/>
    <mergeCell ref="B13:B14"/>
    <mergeCell ref="C13:C14"/>
  </mergeCells>
  <conditionalFormatting sqref="O4">
    <cfRule type="colorScale" priority="136">
      <colorScale>
        <cfvo type="num" val="0"/>
        <cfvo type="num" val="50"/>
        <cfvo type="num" val="100"/>
        <color rgb="FFFF0000"/>
        <color rgb="FFFFFF00"/>
        <color rgb="FF92FB4B"/>
      </colorScale>
    </cfRule>
  </conditionalFormatting>
  <conditionalFormatting sqref="N19:N22 N38:N39 N53 N11:N12">
    <cfRule type="colorScale" priority="1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15:N17">
    <cfRule type="colorScale" priority="1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24:N27">
    <cfRule type="colorScale" priority="1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33:N36">
    <cfRule type="colorScale" priority="1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1:N42">
    <cfRule type="colorScale" priority="1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4:N45">
    <cfRule type="colorScale" priority="1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8:N49">
    <cfRule type="colorScale" priority="1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61">
    <cfRule type="colorScale" priority="12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8">
    <cfRule type="colorScale" priority="1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68">
    <cfRule type="colorScale" priority="1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1">
    <cfRule type="colorScale" priority="1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3">
    <cfRule type="colorScale" priority="1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81">
    <cfRule type="colorScale" priority="1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87">
    <cfRule type="colorScale" priority="1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4">
    <cfRule type="colorScale" priority="1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8:N99">
    <cfRule type="colorScale" priority="1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100:N101">
    <cfRule type="colorScale" priority="1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51">
    <cfRule type="colorScale" priority="1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83">
    <cfRule type="colorScale" priority="1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5">
    <cfRule type="colorScale" priority="1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">
    <cfRule type="colorScale" priority="1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10">
    <cfRule type="colorScale" priority="1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18">
    <cfRule type="colorScale" priority="1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23">
    <cfRule type="colorScale" priority="1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32">
    <cfRule type="colorScale" priority="1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37">
    <cfRule type="colorScale" priority="1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0">
    <cfRule type="colorScale" priority="10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3">
    <cfRule type="colorScale" priority="10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6">
    <cfRule type="colorScale" priority="10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7">
    <cfRule type="colorScale" priority="10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50">
    <cfRule type="colorScale" priority="10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52">
    <cfRule type="colorScale" priority="10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59">
    <cfRule type="colorScale" priority="10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60">
    <cfRule type="colorScale" priority="10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67">
    <cfRule type="colorScale" priority="10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69">
    <cfRule type="colorScale" priority="10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0">
    <cfRule type="colorScale" priority="9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2">
    <cfRule type="colorScale" priority="9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4">
    <cfRule type="colorScale" priority="9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6">
    <cfRule type="colorScale" priority="9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7">
    <cfRule type="colorScale" priority="9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9">
    <cfRule type="colorScale" priority="9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80">
    <cfRule type="colorScale" priority="9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86">
    <cfRule type="colorScale" priority="9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2">
    <cfRule type="colorScale" priority="9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3">
    <cfRule type="colorScale" priority="9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7">
    <cfRule type="colorScale" priority="8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">
    <cfRule type="colorScale" priority="8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">
    <cfRule type="colorScale" priority="8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">
    <cfRule type="colorScale" priority="8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0">
    <cfRule type="colorScale" priority="8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1">
    <cfRule type="colorScale" priority="8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3">
    <cfRule type="colorScale" priority="8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5">
    <cfRule type="colorScale" priority="8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23">
    <cfRule type="colorScale" priority="8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2">
    <cfRule type="colorScale" priority="8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3">
    <cfRule type="colorScale" priority="7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4">
    <cfRule type="colorScale" priority="7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5">
    <cfRule type="colorScale" priority="7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6">
    <cfRule type="colorScale" priority="7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7">
    <cfRule type="colorScale" priority="7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8">
    <cfRule type="colorScale" priority="7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0">
    <cfRule type="colorScale" priority="7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1">
    <cfRule type="colorScale" priority="7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3">
    <cfRule type="colorScale" priority="7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4">
    <cfRule type="colorScale" priority="7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6">
    <cfRule type="colorScale" priority="6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7">
    <cfRule type="colorScale" priority="6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8">
    <cfRule type="colorScale" priority="6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50">
    <cfRule type="colorScale" priority="6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51">
    <cfRule type="colorScale" priority="6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52">
    <cfRule type="colorScale" priority="6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8">
    <cfRule type="colorScale" priority="6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9">
    <cfRule type="colorScale" priority="6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24">
    <cfRule type="colorScale" priority="6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53">
    <cfRule type="colorScale" priority="6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59">
    <cfRule type="colorScale" priority="5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60">
    <cfRule type="colorScale" priority="5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61">
    <cfRule type="colorScale" priority="5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67">
    <cfRule type="colorScale" priority="5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68">
    <cfRule type="colorScale" priority="5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69">
    <cfRule type="colorScale" priority="5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0">
    <cfRule type="colorScale" priority="5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1">
    <cfRule type="colorScale" priority="5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2">
    <cfRule type="colorScale" priority="5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3">
    <cfRule type="colorScale" priority="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4">
    <cfRule type="colorScale" priority="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5">
    <cfRule type="colorScale" priority="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6">
    <cfRule type="colorScale" priority="4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7">
    <cfRule type="colorScale" priority="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8">
    <cfRule type="colorScale" priority="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9">
    <cfRule type="colorScale" priority="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80">
    <cfRule type="colorScale" priority="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81">
    <cfRule type="colorScale" priority="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83">
    <cfRule type="colorScale" priority="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86">
    <cfRule type="colorScale" priority="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87">
    <cfRule type="colorScale" priority="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2">
    <cfRule type="colorScale" priority="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3">
    <cfRule type="colorScale" priority="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4">
    <cfRule type="colorScale" priority="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7">
    <cfRule type="colorScale" priority="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8">
    <cfRule type="colorScale" priority="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9">
    <cfRule type="colorScale" priority="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00">
    <cfRule type="colorScale" priority="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13:N14">
    <cfRule type="colorScale" priority="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O18:O19 O23 O40 O47 O50 O52:O53 O60 O67 O70 O72 O74 O76:O77 O86:O87 O93 O33:O37">
    <cfRule type="colorScale" priority="30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24">
    <cfRule type="colorScale" priority="29">
      <colorScale>
        <cfvo type="num" val="0"/>
        <cfvo type="num" val="1.8"/>
        <cfvo type="num" val="3.6"/>
        <color rgb="FFFF0000"/>
        <color rgb="FFFFFF00"/>
        <color rgb="FF92FB4B"/>
      </colorScale>
    </cfRule>
  </conditionalFormatting>
  <conditionalFormatting sqref="O9">
    <cfRule type="colorScale" priority="28">
      <colorScale>
        <cfvo type="num" val="0"/>
        <cfvo type="num" val="21.4285"/>
        <cfvo type="num" val="42.857135999999997"/>
        <color rgb="FFFF0000"/>
        <color rgb="FFFFFF00"/>
        <color rgb="FF92FB4B"/>
      </colorScale>
    </cfRule>
  </conditionalFormatting>
  <conditionalFormatting sqref="O10 O69 O97">
    <cfRule type="colorScale" priority="27">
      <colorScale>
        <cfvo type="num" val="0"/>
        <cfvo type="num" val="5.3570000000000002"/>
        <cfvo type="num" val="10.714"/>
        <color rgb="FFFF0000"/>
        <color rgb="FFFFFF00"/>
        <color rgb="FF92FB4B"/>
      </colorScale>
    </cfRule>
  </conditionalFormatting>
  <conditionalFormatting sqref="O32">
    <cfRule type="colorScale" priority="26">
      <colorScale>
        <cfvo type="num" val="0"/>
        <cfvo type="num" val="7.1428000000000003"/>
        <cfvo type="num" val="14.2857"/>
        <color rgb="FFFF0000"/>
        <color rgb="FFFFFF00"/>
        <color rgb="FF92FB4B"/>
      </colorScale>
    </cfRule>
  </conditionalFormatting>
  <conditionalFormatting sqref="O46">
    <cfRule type="colorScale" priority="25">
      <colorScale>
        <cfvo type="num" val="0"/>
        <cfvo type="num" val="5.3570000000000002"/>
        <cfvo type="num" val="10.7143"/>
        <color rgb="FFFF0000"/>
        <color rgb="FFFFFF00"/>
        <color rgb="FF92FB4B"/>
      </colorScale>
    </cfRule>
  </conditionalFormatting>
  <conditionalFormatting sqref="O59 O80">
    <cfRule type="colorScale" priority="24">
      <colorScale>
        <cfvo type="num" val="0"/>
        <cfvo type="num" val="3.5714000000000001"/>
        <cfvo type="num" val="7.1428000000000003"/>
        <color rgb="FFFF0000"/>
        <color rgb="FFFFFF00"/>
        <color rgb="FF92FB4B"/>
      </colorScale>
    </cfRule>
  </conditionalFormatting>
  <conditionalFormatting sqref="O79">
    <cfRule type="colorScale" priority="23">
      <colorScale>
        <cfvo type="num" val="0"/>
        <cfvo type="num" val="5.3571419999999996"/>
        <cfvo type="num" val="10.71428"/>
        <color rgb="FFFF0000"/>
        <color rgb="FFFFFF00"/>
        <color rgb="FF92FB4B"/>
      </colorScale>
    </cfRule>
  </conditionalFormatting>
  <conditionalFormatting sqref="O92">
    <cfRule type="colorScale" priority="22">
      <colorScale>
        <cfvo type="num" val="0"/>
        <cfvo type="num" val="7.1428000000000003"/>
        <cfvo type="num" val="14.28"/>
        <color rgb="FFFF0000"/>
        <color rgb="FFFFFF00"/>
        <color rgb="FF92FB4B"/>
      </colorScale>
    </cfRule>
  </conditionalFormatting>
  <conditionalFormatting sqref="O11:O12">
    <cfRule type="colorScale" priority="21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43">
    <cfRule type="colorScale" priority="20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83">
    <cfRule type="colorScale" priority="19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13:O14">
    <cfRule type="colorScale" priority="18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38:O39">
    <cfRule type="colorScale" priority="17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41:O42">
    <cfRule type="colorScale" priority="16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44:O45">
    <cfRule type="colorScale" priority="15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48:O49">
    <cfRule type="colorScale" priority="14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51">
    <cfRule type="colorScale" priority="13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61">
    <cfRule type="colorScale" priority="12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68">
    <cfRule type="colorScale" priority="11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71">
    <cfRule type="colorScale" priority="10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73">
    <cfRule type="colorScale" priority="9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75">
    <cfRule type="colorScale" priority="8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78">
    <cfRule type="colorScale" priority="7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81:O82">
    <cfRule type="colorScale" priority="6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15">
    <cfRule type="colorScale" priority="5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94">
    <cfRule type="colorScale" priority="4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98">
    <cfRule type="colorScale" priority="3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99">
    <cfRule type="colorScale" priority="2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100:O101">
    <cfRule type="colorScale" priority="1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dataValidations count="1">
    <dataValidation type="list" allowBlank="1" showInputMessage="1" showErrorMessage="1" sqref="F4" xr:uid="{93F1D1A6-E282-4CF1-A28A-F1A6CEAC4AEA}">
      <formula1>$F$112:$F$166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A6A44-BB31-4332-A93D-249B1C530028}">
  <dimension ref="A1:AA168"/>
  <sheetViews>
    <sheetView tabSelected="1" topLeftCell="B1" zoomScale="60" zoomScaleNormal="60" workbookViewId="0">
      <selection activeCell="N13" sqref="N13:N14"/>
    </sheetView>
  </sheetViews>
  <sheetFormatPr defaultColWidth="8.86328125" defaultRowHeight="14.25" x14ac:dyDescent="0.45"/>
  <cols>
    <col min="1" max="1" width="0" style="5" hidden="1" customWidth="1"/>
    <col min="2" max="2" width="18.6640625" style="5" customWidth="1"/>
    <col min="3" max="3" width="7.86328125" style="5" customWidth="1"/>
    <col min="4" max="4" width="47.46484375" style="5" customWidth="1"/>
    <col min="5" max="5" width="9.53125" style="5" customWidth="1"/>
    <col min="6" max="6" width="36.19921875" style="5" customWidth="1"/>
    <col min="7" max="7" width="10" style="5" customWidth="1"/>
    <col min="8" max="8" width="11.796875" style="5" customWidth="1"/>
    <col min="9" max="9" width="10.33203125" style="5" customWidth="1"/>
    <col min="10" max="10" width="12.19921875" style="5" customWidth="1"/>
    <col min="11" max="11" width="12.6640625" style="5" customWidth="1"/>
    <col min="12" max="12" width="16.06640625" style="5" customWidth="1"/>
    <col min="13" max="13" width="12.19921875" style="5" customWidth="1"/>
    <col min="14" max="16" width="15.33203125" style="5" customWidth="1"/>
    <col min="17" max="17" width="42.796875" customWidth="1"/>
    <col min="18" max="19" width="36.19921875" style="5" customWidth="1"/>
    <col min="20" max="20" width="8.86328125" style="5"/>
    <col min="22" max="26" width="0" hidden="1" customWidth="1"/>
    <col min="28" max="30" width="28.46484375" style="5" customWidth="1"/>
    <col min="31" max="16384" width="8.86328125" style="5"/>
  </cols>
  <sheetData>
    <row r="1" spans="1:27" s="1" customFormat="1" ht="6.6" customHeight="1" x14ac:dyDescent="0.4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62"/>
      <c r="R1" s="3"/>
      <c r="S1" s="4"/>
      <c r="U1" s="363"/>
      <c r="V1" s="363"/>
      <c r="W1" s="363"/>
      <c r="X1" s="363"/>
      <c r="Y1" s="363"/>
      <c r="Z1" s="363"/>
      <c r="AA1" s="363"/>
    </row>
    <row r="2" spans="1:27" ht="30" x14ac:dyDescent="1.1000000000000001">
      <c r="B2" s="364"/>
      <c r="C2" s="365"/>
      <c r="D2" s="366" t="s">
        <v>286</v>
      </c>
      <c r="E2" s="365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5"/>
      <c r="R2" s="367"/>
      <c r="S2" s="6"/>
    </row>
    <row r="3" spans="1:27" ht="14.65" thickBot="1" x14ac:dyDescent="0.5">
      <c r="B3" s="368"/>
      <c r="C3" s="369"/>
      <c r="D3" s="369"/>
      <c r="E3" s="369"/>
      <c r="F3" s="370"/>
      <c r="G3" s="370"/>
      <c r="H3" s="370"/>
      <c r="I3" s="370"/>
      <c r="J3" s="370"/>
      <c r="K3" s="370"/>
      <c r="L3" s="370"/>
      <c r="M3" s="370"/>
      <c r="N3" s="370"/>
      <c r="O3" s="370"/>
      <c r="P3" s="370"/>
      <c r="Q3" s="369"/>
      <c r="R3" s="370"/>
      <c r="S3" s="7"/>
    </row>
    <row r="4" spans="1:27" ht="26.45" customHeight="1" thickBot="1" x14ac:dyDescent="0.5">
      <c r="B4" s="368"/>
      <c r="C4" s="369"/>
      <c r="D4" s="371" t="s">
        <v>195</v>
      </c>
      <c r="E4" s="369"/>
      <c r="F4" s="8" t="s">
        <v>200</v>
      </c>
      <c r="G4" s="370"/>
      <c r="H4" s="370"/>
      <c r="I4" s="370"/>
      <c r="J4" s="370"/>
      <c r="K4" s="686" t="s">
        <v>394</v>
      </c>
      <c r="L4" s="761"/>
      <c r="M4" s="762"/>
      <c r="N4" s="837">
        <f>(N9+N46+N59+N69+N76+N79+N92)/7</f>
        <v>0.30310697304681111</v>
      </c>
      <c r="O4" s="838">
        <f>(O9+O46+O59+O69+O76+O79+O92)</f>
        <v>25.756801373652884</v>
      </c>
      <c r="P4" s="837">
        <f>O4/100</f>
        <v>0.25756801373652882</v>
      </c>
      <c r="Q4" s="369"/>
      <c r="R4" s="370"/>
      <c r="S4" s="7"/>
    </row>
    <row r="5" spans="1:27" ht="18.399999999999999" thickBot="1" x14ac:dyDescent="0.6">
      <c r="B5" s="689"/>
      <c r="C5" s="690"/>
      <c r="D5" s="690"/>
      <c r="E5" s="690"/>
      <c r="F5" s="690"/>
      <c r="G5" s="690"/>
      <c r="H5" s="690"/>
      <c r="I5" s="690"/>
      <c r="J5" s="690"/>
      <c r="K5" s="690"/>
      <c r="L5" s="68"/>
      <c r="M5" s="372">
        <f>100/28</f>
        <v>3.5714285714285716</v>
      </c>
      <c r="N5" s="9"/>
      <c r="O5" s="340"/>
      <c r="P5" s="340"/>
      <c r="Q5" s="373"/>
      <c r="R5" s="9"/>
      <c r="S5" s="10"/>
    </row>
    <row r="6" spans="1:27" ht="33.6" customHeight="1" thickBot="1" x14ac:dyDescent="0.5">
      <c r="B6" s="691"/>
      <c r="C6" s="692"/>
      <c r="D6" s="692"/>
      <c r="E6" s="692"/>
      <c r="F6" s="693"/>
      <c r="G6" s="374"/>
      <c r="H6" s="374"/>
      <c r="I6" s="374"/>
      <c r="J6" s="374"/>
      <c r="K6" s="374"/>
      <c r="L6" s="374"/>
      <c r="M6" s="374"/>
      <c r="N6" s="375"/>
      <c r="O6" s="376"/>
      <c r="P6" s="376"/>
      <c r="Q6" s="375"/>
      <c r="R6" s="12"/>
      <c r="S6" s="13"/>
    </row>
    <row r="7" spans="1:27" ht="55.8" customHeight="1" thickBot="1" x14ac:dyDescent="0.5">
      <c r="B7" s="763"/>
      <c r="C7" s="764"/>
      <c r="D7" s="764"/>
      <c r="E7" s="764"/>
      <c r="F7" s="765"/>
      <c r="G7" s="377"/>
      <c r="H7" s="378" t="s">
        <v>218</v>
      </c>
      <c r="I7" s="379" t="s">
        <v>219</v>
      </c>
      <c r="J7" s="380" t="s">
        <v>91</v>
      </c>
      <c r="K7" s="381" t="s">
        <v>107</v>
      </c>
      <c r="L7" s="381" t="s">
        <v>104</v>
      </c>
      <c r="M7" s="381" t="s">
        <v>105</v>
      </c>
      <c r="N7" s="379" t="s">
        <v>106</v>
      </c>
      <c r="O7" s="379" t="s">
        <v>395</v>
      </c>
      <c r="P7" s="382" t="s">
        <v>396</v>
      </c>
      <c r="Q7" s="383" t="s">
        <v>93</v>
      </c>
      <c r="R7" s="384" t="s">
        <v>110</v>
      </c>
      <c r="S7" s="385" t="s">
        <v>103</v>
      </c>
    </row>
    <row r="8" spans="1:27" ht="25.25" customHeight="1" thickBot="1" x14ac:dyDescent="0.5">
      <c r="B8" s="386" t="s">
        <v>2</v>
      </c>
      <c r="C8" s="386" t="s">
        <v>92</v>
      </c>
      <c r="D8" s="386" t="s">
        <v>3</v>
      </c>
      <c r="E8" s="386" t="s">
        <v>94</v>
      </c>
      <c r="F8" s="386" t="s">
        <v>102</v>
      </c>
      <c r="G8" s="386" t="s">
        <v>96</v>
      </c>
      <c r="H8" s="387"/>
      <c r="I8" s="388"/>
      <c r="J8" s="387"/>
      <c r="K8" s="389"/>
      <c r="L8" s="389"/>
      <c r="M8" s="386"/>
      <c r="N8" s="390"/>
      <c r="O8" s="391"/>
      <c r="P8" s="392"/>
      <c r="Q8" s="388"/>
      <c r="R8" s="390"/>
      <c r="S8" s="390"/>
      <c r="V8" s="393" t="s">
        <v>151</v>
      </c>
      <c r="W8" s="394"/>
      <c r="X8" s="394"/>
      <c r="Y8" s="394"/>
      <c r="Z8" s="395"/>
    </row>
    <row r="9" spans="1:27" s="148" customFormat="1" ht="25.25" customHeight="1" thickBot="1" x14ac:dyDescent="0.5">
      <c r="B9" s="697" t="s">
        <v>0</v>
      </c>
      <c r="C9" s="698"/>
      <c r="D9" s="698"/>
      <c r="E9" s="698"/>
      <c r="F9" s="699"/>
      <c r="G9" s="396"/>
      <c r="H9" s="839"/>
      <c r="I9" s="840"/>
      <c r="J9" s="841"/>
      <c r="K9" s="841"/>
      <c r="L9" s="841"/>
      <c r="M9" s="842"/>
      <c r="N9" s="843">
        <f>(N10+N18+N23+N32+N37+N40+N43)/7</f>
        <v>-5.9819474768479694E-2</v>
      </c>
      <c r="O9" s="844">
        <f>(O10+O18+O23+O32+O37+O40+O43)</f>
        <v>7.8273945783068148</v>
      </c>
      <c r="P9" s="845">
        <f>O9/42.857136</f>
        <v>0.1826392360494368</v>
      </c>
      <c r="Q9" s="841"/>
      <c r="R9" s="397"/>
      <c r="S9" s="397"/>
      <c r="U9" s="398"/>
      <c r="V9" s="399"/>
      <c r="W9" s="400"/>
      <c r="X9" s="400"/>
      <c r="Y9" s="400"/>
      <c r="Z9" s="401"/>
      <c r="AA9" s="398"/>
    </row>
    <row r="10" spans="1:27" s="96" customFormat="1" ht="25.25" customHeight="1" thickBot="1" x14ac:dyDescent="0.5">
      <c r="B10" s="766" t="s">
        <v>1</v>
      </c>
      <c r="C10" s="767"/>
      <c r="D10" s="767"/>
      <c r="E10" s="767"/>
      <c r="F10" s="768"/>
      <c r="G10" s="402"/>
      <c r="H10" s="846"/>
      <c r="I10" s="847"/>
      <c r="J10" s="848"/>
      <c r="K10" s="848"/>
      <c r="L10" s="848"/>
      <c r="M10" s="849"/>
      <c r="N10" s="843">
        <f>(N11+N13+N15)/3</f>
        <v>-0.70352169908714224</v>
      </c>
      <c r="O10" s="844">
        <f>(O11+O13+O15)</f>
        <v>3.571428</v>
      </c>
      <c r="P10" s="845">
        <f>O10/10.714284</f>
        <v>0.33333333333333337</v>
      </c>
      <c r="Q10" s="848"/>
      <c r="R10" s="403"/>
      <c r="S10" s="403"/>
      <c r="U10" s="404"/>
      <c r="V10" s="405"/>
      <c r="W10" s="406"/>
      <c r="X10" s="406"/>
      <c r="Y10" s="406"/>
      <c r="Z10" s="407"/>
      <c r="AA10" s="404"/>
    </row>
    <row r="11" spans="1:27" ht="27.6" customHeight="1" x14ac:dyDescent="0.45">
      <c r="A11" s="769">
        <v>1</v>
      </c>
      <c r="B11" s="774" t="s">
        <v>4</v>
      </c>
      <c r="C11" s="776">
        <f>M5</f>
        <v>3.5714285714285716</v>
      </c>
      <c r="D11" s="408" t="s">
        <v>111</v>
      </c>
      <c r="E11" s="409">
        <f>$C$11/2</f>
        <v>1.7857142857142858</v>
      </c>
      <c r="F11" s="410" t="s">
        <v>5</v>
      </c>
      <c r="G11" s="441">
        <f>E11/1</f>
        <v>1.7857142857142858</v>
      </c>
      <c r="H11" s="1184">
        <v>2.4</v>
      </c>
      <c r="I11" s="1185">
        <v>-14.6</v>
      </c>
      <c r="J11" s="852">
        <f>(H11-I11)</f>
        <v>17</v>
      </c>
      <c r="K11" s="853">
        <f>(0.3*I11)*6/10</f>
        <v>-2.6280000000000001</v>
      </c>
      <c r="L11" s="854">
        <f>I11+K11</f>
        <v>-17.228000000000002</v>
      </c>
      <c r="M11" s="855">
        <f>IF(K11&lt;&gt;0,J11/K11,"0%")</f>
        <v>-6.468797564687975</v>
      </c>
      <c r="N11" s="1186">
        <f>(((G11/C11)*M11)+((G12/C11)*M12))</f>
        <v>-3.383652513687271</v>
      </c>
      <c r="O11" s="857">
        <f>IF((((G11/C11)*M11)+((G12/C11)*M12))&gt;=1,3.57148,IF((((G11/C11)*M11)+((G12/C11)*M12))&lt;=0,0, (((G11/C11)*M11)+((G12/C11)*M12))*3.571428))</f>
        <v>0</v>
      </c>
      <c r="P11" s="858">
        <f>O11/3.571428</f>
        <v>0</v>
      </c>
      <c r="Q11" s="859" t="s">
        <v>97</v>
      </c>
      <c r="R11" s="174" t="s">
        <v>373</v>
      </c>
      <c r="S11" s="100"/>
      <c r="V11" s="412" t="s">
        <v>109</v>
      </c>
      <c r="W11" s="413" t="e">
        <f>#REF!</f>
        <v>#REF!</v>
      </c>
      <c r="X11" s="414"/>
      <c r="Y11" s="414"/>
      <c r="Z11" s="415"/>
    </row>
    <row r="12" spans="1:27" ht="27" customHeight="1" thickBot="1" x14ac:dyDescent="0.5">
      <c r="A12" s="769"/>
      <c r="B12" s="775"/>
      <c r="C12" s="777"/>
      <c r="D12" s="416" t="s">
        <v>112</v>
      </c>
      <c r="E12" s="417">
        <f>$C$11/2</f>
        <v>1.7857142857142858</v>
      </c>
      <c r="F12" s="418" t="s">
        <v>281</v>
      </c>
      <c r="G12" s="451">
        <f>E12/1</f>
        <v>1.7857142857142858</v>
      </c>
      <c r="H12" s="1187">
        <v>7</v>
      </c>
      <c r="I12" s="1188">
        <v>6.7</v>
      </c>
      <c r="J12" s="862">
        <f>I12-H12</f>
        <v>-0.29999999999999982</v>
      </c>
      <c r="K12" s="863">
        <f>(0.25*I12)*(6/10)</f>
        <v>1.0049999999999999</v>
      </c>
      <c r="L12" s="864">
        <f>I12-K12</f>
        <v>5.6950000000000003</v>
      </c>
      <c r="M12" s="881">
        <f>IF(K12&lt;&gt;0,J12/K12,"0%")</f>
        <v>-0.29850746268656703</v>
      </c>
      <c r="N12" s="1189"/>
      <c r="O12" s="867"/>
      <c r="P12" s="1190"/>
      <c r="Q12" s="869" t="s">
        <v>98</v>
      </c>
      <c r="R12" s="95" t="s">
        <v>374</v>
      </c>
      <c r="S12" s="180"/>
      <c r="V12" s="420">
        <v>0.02</v>
      </c>
      <c r="W12" s="421" t="e">
        <f>(W11-(W11*V12))</f>
        <v>#REF!</v>
      </c>
      <c r="X12" s="421" t="e">
        <f>W11-(V12*W11)</f>
        <v>#REF!</v>
      </c>
      <c r="Y12" s="414"/>
      <c r="Z12" s="415"/>
    </row>
    <row r="13" spans="1:27" ht="32.450000000000003" customHeight="1" x14ac:dyDescent="0.45">
      <c r="A13" s="769">
        <v>2</v>
      </c>
      <c r="B13" s="770" t="s">
        <v>6</v>
      </c>
      <c r="C13" s="772">
        <f>M5</f>
        <v>3.5714285714285716</v>
      </c>
      <c r="D13" s="422" t="s">
        <v>273</v>
      </c>
      <c r="E13" s="423">
        <f>$C$13/2</f>
        <v>1.7857142857142858</v>
      </c>
      <c r="F13" s="424" t="s">
        <v>7</v>
      </c>
      <c r="G13" s="529">
        <f>E13/1</f>
        <v>1.7857142857142858</v>
      </c>
      <c r="H13" s="1191">
        <v>19.600000000000001</v>
      </c>
      <c r="I13" s="1192">
        <v>20.8</v>
      </c>
      <c r="J13" s="872">
        <f>IF(I13=H13,(5-H13),I13-H13)</f>
        <v>1.1999999999999993</v>
      </c>
      <c r="K13" s="873">
        <f>IF(I13&lt;=5,0,((I13-5)*(6/10)))</f>
        <v>9.48</v>
      </c>
      <c r="L13" s="874">
        <f>I13-K13</f>
        <v>11.32</v>
      </c>
      <c r="M13" s="887">
        <f>IF(I13&lt;=5,(1+(5-H13)/5),(J13/K13))</f>
        <v>0.12658227848101258</v>
      </c>
      <c r="N13" s="1186">
        <f>(((G13/C13)*M13)+((G14/C13)*M14))</f>
        <v>-0.39728295394452606</v>
      </c>
      <c r="O13" s="857">
        <f>IF((((G13/C13)*M13)+((G14/C13)*M14))&gt;=1,3.57148,IF((((G13/C13)*M13)+((G14/C13)*M14))&lt;=0,0, (((G13/C13)*M13)+((G14/C13)*M14))*3.571428))</f>
        <v>0</v>
      </c>
      <c r="P13" s="858">
        <f>O13/3.571428</f>
        <v>0</v>
      </c>
      <c r="Q13" s="875" t="s">
        <v>99</v>
      </c>
      <c r="R13" s="161" t="s">
        <v>375</v>
      </c>
      <c r="S13" s="183"/>
      <c r="V13" s="420">
        <v>0.02</v>
      </c>
      <c r="W13" s="421" t="e">
        <f>(#REF!-(#REF!*V13))</f>
        <v>#REF!</v>
      </c>
      <c r="X13" s="421" t="e">
        <f>(W11-(V12*W11))-((W11-(V12*W11))*0.02)-(((W11-(V12*W11))-((W11-(V12*W11))*0.02))*0.02)-(((W11-(V12*W11))-((W11-(V12*W11))*0.02)-(((W11-(V12*W11))-((W11-(V12*W11))*0.02))*0.02))*0.02)</f>
        <v>#REF!</v>
      </c>
      <c r="Y13" s="426" t="e">
        <f>(W11-W14)/W11</f>
        <v>#REF!</v>
      </c>
      <c r="Z13" s="415"/>
    </row>
    <row r="14" spans="1:27" ht="33" customHeight="1" thickBot="1" x14ac:dyDescent="0.5">
      <c r="A14" s="769"/>
      <c r="B14" s="771"/>
      <c r="C14" s="773"/>
      <c r="D14" s="416" t="s">
        <v>274</v>
      </c>
      <c r="E14" s="427">
        <f>$C$13/2</f>
        <v>1.7857142857142858</v>
      </c>
      <c r="F14" s="428" t="s">
        <v>8</v>
      </c>
      <c r="G14" s="530">
        <f>E14/1</f>
        <v>1.7857142857142858</v>
      </c>
      <c r="H14" s="876">
        <v>30</v>
      </c>
      <c r="I14" s="877">
        <v>54.1</v>
      </c>
      <c r="J14" s="878">
        <f>H14-I14</f>
        <v>-24.1</v>
      </c>
      <c r="K14" s="879">
        <f>(0.95*(100-I14))*6/10</f>
        <v>26.163</v>
      </c>
      <c r="L14" s="880">
        <f>K14+I14</f>
        <v>80.263000000000005</v>
      </c>
      <c r="M14" s="865">
        <f>IF(K14&lt;&gt;0,J14/K14,"1%")</f>
        <v>-0.92114818637006468</v>
      </c>
      <c r="N14" s="1189"/>
      <c r="O14" s="867"/>
      <c r="P14" s="1190"/>
      <c r="Q14" s="882" t="s">
        <v>100</v>
      </c>
      <c r="R14" s="101" t="s">
        <v>376</v>
      </c>
      <c r="S14" s="57" t="s">
        <v>377</v>
      </c>
      <c r="V14" s="430">
        <v>0.02</v>
      </c>
      <c r="W14" s="431" t="e">
        <f>(#REF!-(#REF!*V14))</f>
        <v>#REF!</v>
      </c>
      <c r="X14" s="431" t="e">
        <f>(W11-(V12*W11))-((W11-(V12*W11))*0.02)-(((W11-(V12*W11))-((W11-(V12*W11))*0.02))*0.02)-(((W11-(V12*W11))-((W11-(V12*W11))*0.02)-(((W11-(V12*W11))-((W11-(V12*W11))*0.02))*0.02))*0.02)-(((W11-(V12*W11))-((W11-(V12*W11))*0.02)-(((W11-(V12*W11))-((W11-(V12*W11))*0.02))*0.02)-(((W11-(V12*W11))-((W11-(V12*W11))*0.02)-(((W11-(V12*W11))-((W11-(V12*W12))*0.02))*0.02))*0.02))*0.02)-(((W11-(V12*W11))-((W11-(V12*W11))*0.02)-(((W11-(V12*W11))-((W11-(V12*W11))*0.02))*0.02)-(((W11-(V12*W11))-((W11-(V12*W11))*0.02)-(((W11-(V12*W11))-((W11-(V12*W11))*0.02))*0.02))*0.02)-(((W11-(V12*W11))-((W11-(V12*W11))*0.02)-(((W11-(V12*W11))-((W11-(V12*W11))*0.02))*0.02)-(((W11-(V12*W11))-((W11-(V12*W11))*0.02)-(((W11-(V12*W11))-((W11-(V12*W11))*0.02))*0.02))*0.02))*0.02))*0.02)</f>
        <v>#REF!</v>
      </c>
      <c r="Y14" s="432" t="e">
        <f>W11-X14</f>
        <v>#REF!</v>
      </c>
      <c r="Z14" s="433"/>
    </row>
    <row r="15" spans="1:27" ht="22.25" customHeight="1" thickBot="1" x14ac:dyDescent="0.5">
      <c r="A15" s="703">
        <v>3</v>
      </c>
      <c r="B15" s="721" t="s">
        <v>9</v>
      </c>
      <c r="C15" s="722">
        <f>M5</f>
        <v>3.5714285714285716</v>
      </c>
      <c r="D15" s="721" t="s">
        <v>113</v>
      </c>
      <c r="E15" s="722">
        <f>$C$15/1</f>
        <v>3.5714285714285716</v>
      </c>
      <c r="F15" s="434" t="s">
        <v>221</v>
      </c>
      <c r="G15" s="411">
        <f>$E$15/3</f>
        <v>1.1904761904761905</v>
      </c>
      <c r="H15" s="1154">
        <v>3.8</v>
      </c>
      <c r="I15" s="1155">
        <v>2.4</v>
      </c>
      <c r="J15" s="885">
        <f>H15-I15</f>
        <v>1.4</v>
      </c>
      <c r="K15" s="886">
        <f>(0.5*I15)*6/10</f>
        <v>0.72</v>
      </c>
      <c r="L15" s="854">
        <f>I15+K15</f>
        <v>3.12</v>
      </c>
      <c r="M15" s="855">
        <f>IF(K15&lt;&gt;0,J15/K15,"0%")</f>
        <v>1.9444444444444444</v>
      </c>
      <c r="N15" s="1193">
        <f>(((G15/C15)*M15)+((G16/C15)*M16)+((G17/C15)*M17))</f>
        <v>1.6703703703703703</v>
      </c>
      <c r="O15" s="889">
        <f>IF((((G15/C15)*M15)+((G16/C15)*M16)+((G17/C15)*M17))&gt;=1,3.571428,IF((((G15/C15)*M15)+((G16/C15)*M16)+((G17/C15)*M17))&lt;=0,0,(((G15/C15)*M15)+((G16/C15)*M16)+((G17/C15)*M17))*3.571428))</f>
        <v>3.571428</v>
      </c>
      <c r="P15" s="858">
        <f>O15/3.571428</f>
        <v>1</v>
      </c>
      <c r="Q15" s="890" t="s">
        <v>101</v>
      </c>
      <c r="R15" s="101" t="s">
        <v>378</v>
      </c>
      <c r="S15" s="57" t="s">
        <v>377</v>
      </c>
    </row>
    <row r="16" spans="1:27" ht="23.65" thickBot="1" x14ac:dyDescent="0.5">
      <c r="A16" s="703"/>
      <c r="B16" s="721"/>
      <c r="C16" s="722"/>
      <c r="D16" s="721"/>
      <c r="E16" s="722"/>
      <c r="F16" s="435" t="s">
        <v>220</v>
      </c>
      <c r="G16" s="436">
        <f t="shared" ref="G16:G17" si="0">$E$15/3</f>
        <v>1.1904761904761905</v>
      </c>
      <c r="H16" s="891"/>
      <c r="I16" s="892"/>
      <c r="J16" s="893">
        <f>H16-I16</f>
        <v>0</v>
      </c>
      <c r="K16" s="894">
        <f>(0.5*I16)*6/10</f>
        <v>0</v>
      </c>
      <c r="L16" s="895">
        <f t="shared" ref="L16:L17" si="1">I16+K16</f>
        <v>0</v>
      </c>
      <c r="M16" s="896" t="str">
        <f>IF(K16&lt;&gt;0,J16/K16,"0%")</f>
        <v>0%</v>
      </c>
      <c r="N16" s="1194"/>
      <c r="O16" s="898"/>
      <c r="P16" s="1195"/>
      <c r="Q16" s="900" t="s">
        <v>95</v>
      </c>
      <c r="R16" s="348"/>
      <c r="S16" s="341" t="s">
        <v>393</v>
      </c>
    </row>
    <row r="17" spans="1:19" ht="25.25" customHeight="1" thickBot="1" x14ac:dyDescent="0.5">
      <c r="A17" s="703"/>
      <c r="B17" s="705"/>
      <c r="C17" s="707"/>
      <c r="D17" s="705"/>
      <c r="E17" s="707"/>
      <c r="F17" s="437" t="s">
        <v>10</v>
      </c>
      <c r="G17" s="419">
        <f t="shared" si="0"/>
        <v>1.1904761904761905</v>
      </c>
      <c r="H17" s="1150">
        <v>4.8</v>
      </c>
      <c r="I17" s="902">
        <v>2.5</v>
      </c>
      <c r="J17" s="903">
        <f>H17-I17</f>
        <v>2.2999999999999998</v>
      </c>
      <c r="K17" s="904">
        <f>(0.5*I17)*6/10</f>
        <v>0.75</v>
      </c>
      <c r="L17" s="864">
        <f t="shared" si="1"/>
        <v>3.25</v>
      </c>
      <c r="M17" s="881">
        <f>IF(K17&lt;&gt;0,J17/K17,"0%")</f>
        <v>3.0666666666666664</v>
      </c>
      <c r="N17" s="1196"/>
      <c r="O17" s="906"/>
      <c r="P17" s="1195"/>
      <c r="Q17" s="907" t="s">
        <v>162</v>
      </c>
      <c r="R17" s="349" t="s">
        <v>380</v>
      </c>
      <c r="S17" s="110"/>
    </row>
    <row r="18" spans="1:19" ht="21.4" thickBot="1" x14ac:dyDescent="0.7">
      <c r="A18" s="14"/>
      <c r="B18" s="712" t="s">
        <v>11</v>
      </c>
      <c r="C18" s="713"/>
      <c r="D18" s="713"/>
      <c r="E18" s="713"/>
      <c r="F18" s="714"/>
      <c r="G18" s="449"/>
      <c r="H18" s="1197"/>
      <c r="I18" s="1197"/>
      <c r="J18" s="910"/>
      <c r="K18" s="910"/>
      <c r="L18" s="910"/>
      <c r="M18" s="911"/>
      <c r="N18" s="843">
        <f>N19</f>
        <v>8.8001995764092539E-2</v>
      </c>
      <c r="O18" s="844">
        <f>O19</f>
        <v>0.31429279172776148</v>
      </c>
      <c r="P18" s="845">
        <f>O18/3.571428</f>
        <v>8.8001995764092539E-2</v>
      </c>
      <c r="Q18" s="910"/>
      <c r="R18" s="187"/>
      <c r="S18" s="188"/>
    </row>
    <row r="19" spans="1:19" ht="34.25" customHeight="1" thickBot="1" x14ac:dyDescent="0.5">
      <c r="A19" s="769">
        <v>4</v>
      </c>
      <c r="B19" s="781" t="s">
        <v>12</v>
      </c>
      <c r="C19" s="785">
        <f>M5</f>
        <v>3.5714285714285716</v>
      </c>
      <c r="D19" s="440" t="s">
        <v>114</v>
      </c>
      <c r="E19" s="441">
        <f>$C$19/4</f>
        <v>0.8928571428571429</v>
      </c>
      <c r="F19" s="442" t="s">
        <v>222</v>
      </c>
      <c r="G19" s="411">
        <f>E19/1</f>
        <v>0.8928571428571429</v>
      </c>
      <c r="H19" s="912">
        <v>7</v>
      </c>
      <c r="I19" s="913">
        <v>3</v>
      </c>
      <c r="J19" s="914">
        <f>H19-I19</f>
        <v>4</v>
      </c>
      <c r="K19" s="886">
        <f>(2*I19)*6/10</f>
        <v>3.6</v>
      </c>
      <c r="L19" s="915">
        <f t="shared" ref="L19:L22" si="2">K19+I19</f>
        <v>6.6</v>
      </c>
      <c r="M19" s="855">
        <f>IF(K19&lt;&gt;0,J19/K19,"0%")</f>
        <v>1.1111111111111112</v>
      </c>
      <c r="N19" s="1198">
        <f>(((G19/C19)*M19)+((G20/C19)*M20)+((G21/C19)*M21)+((G22/C19)*M22))</f>
        <v>8.8001995764092539E-2</v>
      </c>
      <c r="O19" s="857">
        <f>IF((((G19/C19)*M19)+((G20/C19)*M20)+((G21/C19)*M21)+((G22/C19)*M22))&gt;=1,3.571428,IF((((G19/C19)*M19)+((G20/C19)*M20)+((G21/C19)*M21)+((G22/C19)*M22))&lt;=0,0,((((G19/C19)*M19)+((G20/C19)*M20)+((G21/C19)*M21)+((G22/C19)*M22))*3.571428)))</f>
        <v>0.31429279172776148</v>
      </c>
      <c r="P19" s="858">
        <f>O19/3.571428</f>
        <v>8.8001995764092539E-2</v>
      </c>
      <c r="Q19" s="916" t="s">
        <v>163</v>
      </c>
      <c r="R19" s="350" t="s">
        <v>418</v>
      </c>
      <c r="S19" s="185"/>
    </row>
    <row r="20" spans="1:19" ht="39" customHeight="1" x14ac:dyDescent="0.45">
      <c r="A20" s="769"/>
      <c r="B20" s="782"/>
      <c r="C20" s="786"/>
      <c r="D20" s="443" t="s">
        <v>152</v>
      </c>
      <c r="E20" s="444">
        <f>($C$19/4)</f>
        <v>0.8928571428571429</v>
      </c>
      <c r="F20" s="445" t="s">
        <v>265</v>
      </c>
      <c r="G20" s="436">
        <f>E20/1</f>
        <v>0.8928571428571429</v>
      </c>
      <c r="H20" s="1199">
        <v>54</v>
      </c>
      <c r="I20" s="936">
        <v>69</v>
      </c>
      <c r="J20" s="919">
        <f t="shared" ref="J20:J24" si="3">H20-I20</f>
        <v>-15</v>
      </c>
      <c r="K20" s="894">
        <f>(100-I20)*(6/10)</f>
        <v>18.599999999999998</v>
      </c>
      <c r="L20" s="920">
        <f t="shared" si="2"/>
        <v>87.6</v>
      </c>
      <c r="M20" s="855">
        <f>IF(K20&lt;&gt;0,J20/K20,"0%")</f>
        <v>-0.80645161290322587</v>
      </c>
      <c r="N20" s="1200"/>
      <c r="O20" s="922"/>
      <c r="P20" s="1195"/>
      <c r="Q20" s="923" t="s">
        <v>164</v>
      </c>
      <c r="R20" s="101" t="s">
        <v>380</v>
      </c>
      <c r="S20" s="189"/>
    </row>
    <row r="21" spans="1:19" ht="56.45" customHeight="1" thickBot="1" x14ac:dyDescent="0.5">
      <c r="A21" s="769"/>
      <c r="B21" s="782"/>
      <c r="C21" s="786"/>
      <c r="D21" s="443" t="s">
        <v>153</v>
      </c>
      <c r="E21" s="444">
        <f t="shared" ref="E21:E22" si="4">($C$19/4)</f>
        <v>0.8928571428571429</v>
      </c>
      <c r="F21" s="445" t="s">
        <v>155</v>
      </c>
      <c r="G21" s="436">
        <f>E21/1</f>
        <v>0.8928571428571429</v>
      </c>
      <c r="H21" s="1199">
        <v>45</v>
      </c>
      <c r="I21" s="1201"/>
      <c r="J21" s="919">
        <f t="shared" si="3"/>
        <v>45</v>
      </c>
      <c r="K21" s="894">
        <f>(0.3*I21)*6/10</f>
        <v>0</v>
      </c>
      <c r="L21" s="920">
        <f t="shared" si="2"/>
        <v>0</v>
      </c>
      <c r="M21" s="896" t="str">
        <f>IF(K21&lt;&gt;0,J21/K21,"0%")</f>
        <v>0%</v>
      </c>
      <c r="N21" s="1200"/>
      <c r="O21" s="922"/>
      <c r="P21" s="1195"/>
      <c r="Q21" s="923" t="s">
        <v>165</v>
      </c>
      <c r="R21" s="351" t="s">
        <v>419</v>
      </c>
      <c r="S21" s="180" t="s">
        <v>417</v>
      </c>
    </row>
    <row r="22" spans="1:19" ht="36.6" customHeight="1" thickBot="1" x14ac:dyDescent="0.5">
      <c r="A22" s="769"/>
      <c r="B22" s="789"/>
      <c r="C22" s="790"/>
      <c r="D22" s="428" t="s">
        <v>154</v>
      </c>
      <c r="E22" s="446">
        <f t="shared" si="4"/>
        <v>0.8928571428571429</v>
      </c>
      <c r="F22" s="447" t="s">
        <v>156</v>
      </c>
      <c r="G22" s="448">
        <f>E22/1</f>
        <v>0.8928571428571429</v>
      </c>
      <c r="H22" s="925">
        <v>14.5</v>
      </c>
      <c r="I22" s="926">
        <v>12</v>
      </c>
      <c r="J22" s="927">
        <f t="shared" si="3"/>
        <v>2.5</v>
      </c>
      <c r="K22" s="904">
        <f>(100-I22)*(6/10)</f>
        <v>52.8</v>
      </c>
      <c r="L22" s="928">
        <f t="shared" si="2"/>
        <v>64.8</v>
      </c>
      <c r="M22" s="881">
        <f>IF(K22&lt;&gt;0,J22/K22,"100%")</f>
        <v>4.7348484848484848E-2</v>
      </c>
      <c r="N22" s="1202"/>
      <c r="O22" s="867"/>
      <c r="P22" s="1190"/>
      <c r="Q22" s="929" t="s">
        <v>95</v>
      </c>
      <c r="R22" s="351" t="s">
        <v>420</v>
      </c>
      <c r="S22" s="189"/>
    </row>
    <row r="23" spans="1:19" ht="20.45" customHeight="1" thickBot="1" x14ac:dyDescent="0.5">
      <c r="B23" s="778" t="s">
        <v>13</v>
      </c>
      <c r="C23" s="779"/>
      <c r="D23" s="779"/>
      <c r="E23" s="779"/>
      <c r="F23" s="780"/>
      <c r="G23" s="449"/>
      <c r="H23" s="1197"/>
      <c r="I23" s="1197"/>
      <c r="J23" s="1203"/>
      <c r="K23" s="930"/>
      <c r="L23" s="930"/>
      <c r="M23" s="1040"/>
      <c r="N23" s="843">
        <f>N24</f>
        <v>0.33893267209298406</v>
      </c>
      <c r="O23" s="844">
        <f>O24</f>
        <v>1.2104736352277019</v>
      </c>
      <c r="P23" s="845">
        <f>O23/3.571428</f>
        <v>0.33893267209298406</v>
      </c>
      <c r="Q23" s="910"/>
      <c r="R23" s="190"/>
      <c r="S23" s="190"/>
    </row>
    <row r="24" spans="1:19" ht="36" customHeight="1" thickBot="1" x14ac:dyDescent="0.5">
      <c r="A24" s="769">
        <v>5</v>
      </c>
      <c r="B24" s="781" t="s">
        <v>14</v>
      </c>
      <c r="C24" s="785">
        <f>M5</f>
        <v>3.5714285714285716</v>
      </c>
      <c r="D24" s="440" t="s">
        <v>115</v>
      </c>
      <c r="E24" s="441">
        <f>$C$24/4</f>
        <v>0.8928571428571429</v>
      </c>
      <c r="F24" s="440" t="s">
        <v>280</v>
      </c>
      <c r="G24" s="441">
        <f>E24/1</f>
        <v>0.8928571428571429</v>
      </c>
      <c r="H24" s="1154">
        <v>54</v>
      </c>
      <c r="I24" s="913">
        <v>52</v>
      </c>
      <c r="J24" s="1204">
        <f t="shared" si="3"/>
        <v>2</v>
      </c>
      <c r="K24" s="886">
        <f>(0.3*I24)*6/10</f>
        <v>9.36</v>
      </c>
      <c r="L24" s="915">
        <f>K24+I24</f>
        <v>61.36</v>
      </c>
      <c r="M24" s="855">
        <f t="shared" ref="M24:M31" si="5">IF(K24&lt;&gt;0,J24/K24,"0%")</f>
        <v>0.21367521367521369</v>
      </c>
      <c r="N24" s="1198">
        <f>(((G24/C24)*M24)+((G25/C24)*M25)+ ((G26/C24)*M26)+((G27/C24)*M27)+((G28/C24)*M28)+((G29/C24)*M29)+((G30/C24)*M30)+((G31/C24)*M31))</f>
        <v>0.33893267209298406</v>
      </c>
      <c r="O24" s="857">
        <f>IF((((G24/C24)*M24)+((G25/C24)*M25)+ ((G26/C24)*M26)+((G27/C24)*M27)+((G28/C24)*M28)+((G29/C24)*M29)+((G30/C24)*M30)+((G31/C24)*M31))&gt;=1,3.571428,IF((((G24/C24)*M24)+((G25/C24)*M25)+ ((G26/C24)*M26)+((G27/C24)*M27)+((G28/C24)*M28)+((G29/C24)*M29)+((G30/C24)*M30)+((G31/C24)*M31))&lt;=0,0,((((G24/C24)*M24)+((G25/C24)*M25)+ ((G26/C24)*M26)+((G27/C24)*M27)+((G28/C24)*M28)+((G29/C24)*M29)+((G30/C24)*M30)+((G31/C24)*M31))*3.571428)))</f>
        <v>1.2104736352277019</v>
      </c>
      <c r="P24" s="858">
        <f>O24/3.571428</f>
        <v>0.33893267209298406</v>
      </c>
      <c r="Q24" s="935" t="s">
        <v>166</v>
      </c>
      <c r="R24" s="166" t="s">
        <v>421</v>
      </c>
      <c r="S24" s="341"/>
    </row>
    <row r="25" spans="1:19" ht="19.8" customHeight="1" thickBot="1" x14ac:dyDescent="0.5">
      <c r="A25" s="769"/>
      <c r="B25" s="782"/>
      <c r="C25" s="786"/>
      <c r="D25" s="794" t="s">
        <v>158</v>
      </c>
      <c r="E25" s="796">
        <v>0.9</v>
      </c>
      <c r="F25" s="443" t="s">
        <v>15</v>
      </c>
      <c r="G25" s="444">
        <f>$E$25/3</f>
        <v>0.3</v>
      </c>
      <c r="H25" s="1199">
        <v>880</v>
      </c>
      <c r="I25" s="936">
        <v>880</v>
      </c>
      <c r="J25" s="1205">
        <f t="shared" ref="J25:J30" si="6">I25-H25</f>
        <v>0</v>
      </c>
      <c r="K25" s="894">
        <f>(0.5*I25)*6/10</f>
        <v>264</v>
      </c>
      <c r="L25" s="920">
        <f t="shared" ref="L25:L30" si="7">I25-K25</f>
        <v>616</v>
      </c>
      <c r="M25" s="896">
        <f t="shared" si="5"/>
        <v>0</v>
      </c>
      <c r="N25" s="1200"/>
      <c r="O25" s="922"/>
      <c r="P25" s="1195"/>
      <c r="Q25" s="937" t="s">
        <v>167</v>
      </c>
      <c r="R25" s="150" t="s">
        <v>422</v>
      </c>
      <c r="S25" s="180"/>
    </row>
    <row r="26" spans="1:19" ht="19.8" customHeight="1" thickBot="1" x14ac:dyDescent="0.5">
      <c r="A26" s="769"/>
      <c r="B26" s="782"/>
      <c r="C26" s="786"/>
      <c r="D26" s="795"/>
      <c r="E26" s="787"/>
      <c r="F26" s="443" t="s">
        <v>16</v>
      </c>
      <c r="G26" s="444">
        <f t="shared" ref="G26:G27" si="8">$E$25/3</f>
        <v>0.3</v>
      </c>
      <c r="H26" s="1199">
        <v>43</v>
      </c>
      <c r="I26" s="936">
        <v>40.07</v>
      </c>
      <c r="J26" s="1205">
        <f t="shared" si="6"/>
        <v>-2.9299999999999997</v>
      </c>
      <c r="K26" s="894">
        <f>(0.8*I26)*6/10</f>
        <v>19.233600000000003</v>
      </c>
      <c r="L26" s="920">
        <f t="shared" si="7"/>
        <v>20.836399999999998</v>
      </c>
      <c r="M26" s="896">
        <f t="shared" si="5"/>
        <v>-0.15233757590882618</v>
      </c>
      <c r="N26" s="1200"/>
      <c r="O26" s="922"/>
      <c r="P26" s="1195"/>
      <c r="Q26" s="937" t="s">
        <v>168</v>
      </c>
      <c r="R26" s="168"/>
      <c r="S26" s="352"/>
    </row>
    <row r="27" spans="1:19" ht="19.8" customHeight="1" thickBot="1" x14ac:dyDescent="0.5">
      <c r="A27" s="769"/>
      <c r="B27" s="782"/>
      <c r="C27" s="786"/>
      <c r="D27" s="795"/>
      <c r="E27" s="787"/>
      <c r="F27" s="443" t="s">
        <v>17</v>
      </c>
      <c r="G27" s="444">
        <f t="shared" si="8"/>
        <v>0.3</v>
      </c>
      <c r="H27" s="1199">
        <v>139</v>
      </c>
      <c r="I27" s="936">
        <v>179</v>
      </c>
      <c r="J27" s="1205">
        <f t="shared" si="6"/>
        <v>40</v>
      </c>
      <c r="K27" s="894">
        <f>(0.5*I27)*(6/10)</f>
        <v>53.699999999999996</v>
      </c>
      <c r="L27" s="920">
        <f t="shared" si="7"/>
        <v>125.30000000000001</v>
      </c>
      <c r="M27" s="896">
        <f t="shared" si="5"/>
        <v>0.74487895716946007</v>
      </c>
      <c r="N27" s="1200"/>
      <c r="O27" s="922"/>
      <c r="P27" s="1195"/>
      <c r="Q27" s="937" t="s">
        <v>169</v>
      </c>
      <c r="R27" s="168" t="s">
        <v>423</v>
      </c>
      <c r="S27" s="180"/>
    </row>
    <row r="28" spans="1:19" ht="30.6" customHeight="1" thickBot="1" x14ac:dyDescent="0.5">
      <c r="A28" s="22"/>
      <c r="B28" s="782"/>
      <c r="C28" s="786"/>
      <c r="D28" s="794" t="s">
        <v>116</v>
      </c>
      <c r="E28" s="796">
        <f t="shared" ref="E28:E31" si="9">$C$24/4</f>
        <v>0.8928571428571429</v>
      </c>
      <c r="F28" s="443" t="s">
        <v>148</v>
      </c>
      <c r="G28" s="444">
        <f>$E$28/3</f>
        <v>0.29761904761904762</v>
      </c>
      <c r="H28" s="1199">
        <v>1.2</v>
      </c>
      <c r="I28" s="936">
        <v>1.8</v>
      </c>
      <c r="J28" s="1205">
        <f t="shared" si="6"/>
        <v>0.60000000000000009</v>
      </c>
      <c r="K28" s="894">
        <f>(0.5*I28)*(6/10)</f>
        <v>0.54</v>
      </c>
      <c r="L28" s="920">
        <f t="shared" si="7"/>
        <v>1.26</v>
      </c>
      <c r="M28" s="896">
        <f t="shared" si="5"/>
        <v>1.1111111111111112</v>
      </c>
      <c r="N28" s="1206"/>
      <c r="O28" s="922"/>
      <c r="P28" s="1195"/>
      <c r="Q28" s="937" t="s">
        <v>170</v>
      </c>
      <c r="R28" s="169" t="s">
        <v>424</v>
      </c>
      <c r="S28" s="189"/>
    </row>
    <row r="29" spans="1:19" ht="20.45" customHeight="1" thickBot="1" x14ac:dyDescent="0.5">
      <c r="A29" s="22"/>
      <c r="B29" s="782"/>
      <c r="C29" s="786"/>
      <c r="D29" s="795"/>
      <c r="E29" s="787"/>
      <c r="F29" s="443" t="s">
        <v>149</v>
      </c>
      <c r="G29" s="444">
        <f t="shared" ref="G29:G30" si="10">$E$28/3</f>
        <v>0.29761904761904762</v>
      </c>
      <c r="H29" s="1199">
        <v>4.2</v>
      </c>
      <c r="I29" s="936">
        <v>3.8</v>
      </c>
      <c r="J29" s="1205">
        <f t="shared" si="6"/>
        <v>-0.40000000000000036</v>
      </c>
      <c r="K29" s="894">
        <f>(0.5*I29)*(6/10)</f>
        <v>1.1399999999999999</v>
      </c>
      <c r="L29" s="920">
        <f t="shared" si="7"/>
        <v>2.66</v>
      </c>
      <c r="M29" s="896">
        <f t="shared" si="5"/>
        <v>-0.35087719298245651</v>
      </c>
      <c r="N29" s="1206"/>
      <c r="O29" s="922"/>
      <c r="P29" s="1195"/>
      <c r="Q29" s="937" t="s">
        <v>171</v>
      </c>
      <c r="R29" s="169" t="s">
        <v>424</v>
      </c>
      <c r="S29" s="189"/>
    </row>
    <row r="30" spans="1:19" ht="20.45" customHeight="1" thickBot="1" x14ac:dyDescent="0.5">
      <c r="A30" s="22"/>
      <c r="B30" s="783"/>
      <c r="C30" s="787"/>
      <c r="D30" s="795"/>
      <c r="E30" s="787"/>
      <c r="F30" s="443" t="s">
        <v>150</v>
      </c>
      <c r="G30" s="444">
        <f t="shared" si="10"/>
        <v>0.29761904761904762</v>
      </c>
      <c r="H30" s="1199">
        <v>213</v>
      </c>
      <c r="I30" s="936">
        <v>350</v>
      </c>
      <c r="J30" s="1205">
        <f t="shared" si="6"/>
        <v>137</v>
      </c>
      <c r="K30" s="894">
        <f>(0.5*I30)*(6/10)</f>
        <v>105</v>
      </c>
      <c r="L30" s="920">
        <f t="shared" si="7"/>
        <v>245</v>
      </c>
      <c r="M30" s="896">
        <f t="shared" si="5"/>
        <v>1.3047619047619048</v>
      </c>
      <c r="N30" s="1206"/>
      <c r="O30" s="922"/>
      <c r="P30" s="1195"/>
      <c r="Q30" s="937" t="s">
        <v>172</v>
      </c>
      <c r="R30" s="169" t="s">
        <v>424</v>
      </c>
      <c r="S30" s="189"/>
    </row>
    <row r="31" spans="1:19" ht="34.9" customHeight="1" thickBot="1" x14ac:dyDescent="0.5">
      <c r="A31" s="22"/>
      <c r="B31" s="784"/>
      <c r="C31" s="788"/>
      <c r="D31" s="450" t="s">
        <v>117</v>
      </c>
      <c r="E31" s="451">
        <f t="shared" si="9"/>
        <v>0.8928571428571429</v>
      </c>
      <c r="F31" s="452" t="s">
        <v>223</v>
      </c>
      <c r="G31" s="451">
        <f>E31/1</f>
        <v>0.8928571428571429</v>
      </c>
      <c r="H31" s="1128">
        <v>39</v>
      </c>
      <c r="I31" s="926">
        <v>28</v>
      </c>
      <c r="J31" s="1207">
        <f t="shared" ref="J31" si="11">H31-I31</f>
        <v>11</v>
      </c>
      <c r="K31" s="904">
        <f>(100-I31)*(6/10)</f>
        <v>43.199999999999996</v>
      </c>
      <c r="L31" s="928">
        <f>K31+I31</f>
        <v>71.199999999999989</v>
      </c>
      <c r="M31" s="865">
        <f t="shared" si="5"/>
        <v>0.25462962962962965</v>
      </c>
      <c r="N31" s="1208"/>
      <c r="O31" s="867"/>
      <c r="P31" s="1190"/>
      <c r="Q31" s="940" t="s">
        <v>95</v>
      </c>
      <c r="R31" s="169" t="s">
        <v>424</v>
      </c>
      <c r="S31" s="531"/>
    </row>
    <row r="32" spans="1:19" ht="20.45" customHeight="1" thickBot="1" x14ac:dyDescent="0.5">
      <c r="B32" s="797" t="s">
        <v>18</v>
      </c>
      <c r="C32" s="798"/>
      <c r="D32" s="798"/>
      <c r="E32" s="798"/>
      <c r="F32" s="799"/>
      <c r="G32" s="449"/>
      <c r="H32" s="1209"/>
      <c r="I32" s="1210"/>
      <c r="J32" s="1211"/>
      <c r="K32" s="944"/>
      <c r="L32" s="945"/>
      <c r="M32" s="946"/>
      <c r="N32" s="843">
        <f>(N33+N34+N35+N36)/4</f>
        <v>-0.14214929214929214</v>
      </c>
      <c r="O32" s="844">
        <f>(O33+O34+O35+O36)</f>
        <v>2.7312001513513513</v>
      </c>
      <c r="P32" s="845">
        <f>O32/14.285712</f>
        <v>0.19118404118404117</v>
      </c>
      <c r="Q32" s="910"/>
      <c r="R32" s="188"/>
      <c r="S32" s="188"/>
    </row>
    <row r="33" spans="1:19" ht="33.6" customHeight="1" thickBot="1" x14ac:dyDescent="0.5">
      <c r="A33" s="22">
        <v>6</v>
      </c>
      <c r="B33" s="453" t="s">
        <v>19</v>
      </c>
      <c r="C33" s="454">
        <f>$M$5</f>
        <v>3.5714285714285716</v>
      </c>
      <c r="D33" s="455" t="s">
        <v>287</v>
      </c>
      <c r="E33" s="456">
        <f>C33/1</f>
        <v>3.5714285714285716</v>
      </c>
      <c r="F33" s="453" t="s">
        <v>288</v>
      </c>
      <c r="G33" s="454">
        <f>E33/1</f>
        <v>3.5714285714285716</v>
      </c>
      <c r="H33" s="947">
        <v>4.8</v>
      </c>
      <c r="I33" s="1212">
        <v>-36.700000000000003</v>
      </c>
      <c r="J33" s="1213">
        <f>IF(H33&lt;7,(H33-7),(H33-I33))*-1</f>
        <v>2.2000000000000002</v>
      </c>
      <c r="K33" s="950">
        <f>IF((7-H33&gt;=0),(7-H33),0)</f>
        <v>2.2000000000000002</v>
      </c>
      <c r="L33" s="951">
        <f>IF((I33&lt;7),7,I33)</f>
        <v>7</v>
      </c>
      <c r="M33" s="952">
        <f>IF(K33&lt;&gt;0,J33/7,(1+((H33-I33)/I33)))</f>
        <v>0.31428571428571433</v>
      </c>
      <c r="N33" s="953">
        <f>((G33/C33)*M33)</f>
        <v>0.31428571428571433</v>
      </c>
      <c r="O33" s="954">
        <f>IF(((G33/C33)*M33)&gt;=1,3.571428,IF(((G33/C33)*M33)&lt;=0,0,((G33/C33)*M33)*3.571428))</f>
        <v>1.1224488000000001</v>
      </c>
      <c r="P33" s="845">
        <f>O33/3.571428</f>
        <v>0.31428571428571433</v>
      </c>
      <c r="Q33" s="955" t="s">
        <v>97</v>
      </c>
      <c r="R33" s="177" t="s">
        <v>373</v>
      </c>
      <c r="S33" s="320"/>
    </row>
    <row r="34" spans="1:19" ht="51" customHeight="1" thickBot="1" x14ac:dyDescent="0.5">
      <c r="A34" s="22">
        <v>7</v>
      </c>
      <c r="B34" s="453" t="s">
        <v>20</v>
      </c>
      <c r="C34" s="454">
        <f t="shared" ref="C34:C36" si="12">$M$5</f>
        <v>3.5714285714285716</v>
      </c>
      <c r="D34" s="453" t="s">
        <v>118</v>
      </c>
      <c r="E34" s="456">
        <f t="shared" ref="E34:E36" si="13">C34/1</f>
        <v>3.5714285714285716</v>
      </c>
      <c r="F34" s="453" t="s">
        <v>21</v>
      </c>
      <c r="G34" s="454">
        <f>E34/1</f>
        <v>3.5714285714285716</v>
      </c>
      <c r="H34" s="956">
        <v>3</v>
      </c>
      <c r="I34" s="1214">
        <v>5</v>
      </c>
      <c r="J34" s="1215">
        <f>H34-I34</f>
        <v>-2</v>
      </c>
      <c r="K34" s="959">
        <f>(0.5*I34)*(6/10)</f>
        <v>1.5</v>
      </c>
      <c r="L34" s="960">
        <f>K34+I34</f>
        <v>6.5</v>
      </c>
      <c r="M34" s="952">
        <f>IF(K34&lt;&gt;0,J34/K34,"0%")</f>
        <v>-1.3333333333333333</v>
      </c>
      <c r="N34" s="953">
        <f>((G34/C34)*M34)</f>
        <v>-1.3333333333333333</v>
      </c>
      <c r="O34" s="954">
        <f>IF(((G34/C34)*M34)&gt;=1,3.571428,IF(((G34/C34)*M34)&lt;=0,0,((G34/C34)*M34)*3.571428))</f>
        <v>0</v>
      </c>
      <c r="P34" s="845">
        <f t="shared" ref="P34:P36" si="14">O34/3.571428</f>
        <v>0</v>
      </c>
      <c r="Q34" s="955" t="s">
        <v>173</v>
      </c>
      <c r="R34" s="170" t="s">
        <v>425</v>
      </c>
      <c r="S34" s="97"/>
    </row>
    <row r="35" spans="1:19" ht="40.799999999999997" customHeight="1" thickBot="1" x14ac:dyDescent="0.5">
      <c r="A35" s="22">
        <v>8</v>
      </c>
      <c r="B35" s="453" t="s">
        <v>22</v>
      </c>
      <c r="C35" s="454">
        <f t="shared" si="12"/>
        <v>3.5714285714285716</v>
      </c>
      <c r="D35" s="453" t="s">
        <v>119</v>
      </c>
      <c r="E35" s="456">
        <f t="shared" si="13"/>
        <v>3.5714285714285716</v>
      </c>
      <c r="F35" s="453" t="s">
        <v>23</v>
      </c>
      <c r="G35" s="454">
        <f>E35/1</f>
        <v>3.5714285714285716</v>
      </c>
      <c r="H35" s="965"/>
      <c r="I35" s="1216"/>
      <c r="J35" s="1217">
        <f>H35-I35</f>
        <v>0</v>
      </c>
      <c r="K35" s="964">
        <f>IF((I35&gt;=1),0,((1-I35)*0.6))</f>
        <v>0.6</v>
      </c>
      <c r="L35" s="951">
        <f>I35+K35</f>
        <v>0.6</v>
      </c>
      <c r="M35" s="952">
        <f>IF(K35&lt;&gt;0,J35/K35,"0%")</f>
        <v>0</v>
      </c>
      <c r="N35" s="953">
        <f>((G35/C35)*M35)</f>
        <v>0</v>
      </c>
      <c r="O35" s="954">
        <f>IF(((G35/C35)*M35)&gt;=1,3.571428,IF(((G35/C35)*M35)&lt;=0,0,((G35/C35)*M35)*3.571428))</f>
        <v>0</v>
      </c>
      <c r="P35" s="845">
        <f t="shared" si="14"/>
        <v>0</v>
      </c>
      <c r="Q35" s="955" t="s">
        <v>174</v>
      </c>
      <c r="R35" s="170"/>
      <c r="S35" s="341" t="s">
        <v>393</v>
      </c>
    </row>
    <row r="36" spans="1:19" ht="32.450000000000003" customHeight="1" thickBot="1" x14ac:dyDescent="0.5">
      <c r="A36" s="22">
        <v>9</v>
      </c>
      <c r="B36" s="453" t="s">
        <v>24</v>
      </c>
      <c r="C36" s="454">
        <f t="shared" si="12"/>
        <v>3.5714285714285716</v>
      </c>
      <c r="D36" s="453" t="s">
        <v>275</v>
      </c>
      <c r="E36" s="456">
        <f t="shared" si="13"/>
        <v>3.5714285714285716</v>
      </c>
      <c r="F36" s="458" t="s">
        <v>25</v>
      </c>
      <c r="G36" s="454">
        <f>E36/1</f>
        <v>3.5714285714285716</v>
      </c>
      <c r="H36" s="965">
        <v>4.7</v>
      </c>
      <c r="I36" s="1216">
        <v>3.7</v>
      </c>
      <c r="J36" s="1218">
        <f>H36-I36</f>
        <v>1</v>
      </c>
      <c r="K36" s="968">
        <f>(1*I36)*(6/10)</f>
        <v>2.2200000000000002</v>
      </c>
      <c r="L36" s="969">
        <f>I36+K36</f>
        <v>5.92</v>
      </c>
      <c r="M36" s="952">
        <f>IF(K36&lt;&gt;0,J36/K36,"0%")</f>
        <v>0.4504504504504504</v>
      </c>
      <c r="N36" s="953">
        <f>((G36/C36)*M36)</f>
        <v>0.4504504504504504</v>
      </c>
      <c r="O36" s="954">
        <f>IF(((G36/C36)*M36)&gt;=1,3.571428,IF(((G36/C36)*M36)&lt;=0,0,((G36/C36)*M36)*3.571428))</f>
        <v>1.6087513513513512</v>
      </c>
      <c r="P36" s="845">
        <f t="shared" si="14"/>
        <v>0.4504504504504504</v>
      </c>
      <c r="Q36" s="970" t="s">
        <v>175</v>
      </c>
      <c r="R36" s="182" t="s">
        <v>425</v>
      </c>
      <c r="S36" s="97" t="s">
        <v>426</v>
      </c>
    </row>
    <row r="37" spans="1:19" ht="30.6" customHeight="1" thickBot="1" x14ac:dyDescent="0.5">
      <c r="B37" s="791" t="s">
        <v>26</v>
      </c>
      <c r="C37" s="792"/>
      <c r="D37" s="792"/>
      <c r="E37" s="792"/>
      <c r="F37" s="793"/>
      <c r="G37" s="532"/>
      <c r="H37" s="1219"/>
      <c r="I37" s="1219"/>
      <c r="J37" s="1220"/>
      <c r="K37" s="973"/>
      <c r="L37" s="973"/>
      <c r="M37" s="974"/>
      <c r="N37" s="843">
        <f>N38</f>
        <v>0</v>
      </c>
      <c r="O37" s="844">
        <f>O38</f>
        <v>0</v>
      </c>
      <c r="P37" s="845">
        <f>O37/3.571428</f>
        <v>0</v>
      </c>
      <c r="Q37" s="975"/>
      <c r="R37" s="187"/>
      <c r="S37" s="188"/>
    </row>
    <row r="38" spans="1:19" ht="25.8" customHeight="1" thickBot="1" x14ac:dyDescent="0.5">
      <c r="A38" s="769">
        <v>10</v>
      </c>
      <c r="B38" s="781" t="s">
        <v>27</v>
      </c>
      <c r="C38" s="785">
        <f>M5</f>
        <v>3.5714285714285716</v>
      </c>
      <c r="D38" s="434" t="s">
        <v>120</v>
      </c>
      <c r="E38" s="441">
        <f>$C$38/2</f>
        <v>1.7857142857142858</v>
      </c>
      <c r="F38" s="460" t="s">
        <v>224</v>
      </c>
      <c r="G38" s="441">
        <f>E38/1</f>
        <v>1.7857142857142858</v>
      </c>
      <c r="H38" s="1221"/>
      <c r="I38" s="1222"/>
      <c r="J38" s="1223">
        <f>H38-I38</f>
        <v>0</v>
      </c>
      <c r="K38" s="979">
        <f>(1*I38)*(6/10)</f>
        <v>0</v>
      </c>
      <c r="L38" s="980">
        <f>I38+K38</f>
        <v>0</v>
      </c>
      <c r="M38" s="855" t="str">
        <f>IF(K38&lt;&gt;0,J38/K38,"0%")</f>
        <v>0%</v>
      </c>
      <c r="N38" s="1193">
        <f>(((G38/C38)*M38)+((G39/C38)*M39))</f>
        <v>0</v>
      </c>
      <c r="O38" s="857">
        <f>IF((((G38/C38)*M38)+((G39/C38)*M39))&gt;=1,3.57148,IF((((G38/C38)*M38)+((G39/C38)*M39))&lt;=0,0, (((G38/C38)*M38)+((G39/C38)*M39))*3.571428))</f>
        <v>0</v>
      </c>
      <c r="P38" s="858">
        <f>O38/3.571428</f>
        <v>0</v>
      </c>
      <c r="Q38" s="981" t="s">
        <v>176</v>
      </c>
      <c r="R38" s="193"/>
      <c r="S38" s="341" t="s">
        <v>393</v>
      </c>
    </row>
    <row r="39" spans="1:19" ht="35.25" thickBot="1" x14ac:dyDescent="0.5">
      <c r="A39" s="769"/>
      <c r="B39" s="782"/>
      <c r="C39" s="786"/>
      <c r="D39" s="435" t="s">
        <v>157</v>
      </c>
      <c r="E39" s="451">
        <f>$C$38/2</f>
        <v>1.7857142857142858</v>
      </c>
      <c r="F39" s="461" t="s">
        <v>225</v>
      </c>
      <c r="G39" s="444">
        <f>E39/1</f>
        <v>1.7857142857142858</v>
      </c>
      <c r="H39" s="1224"/>
      <c r="I39" s="1225"/>
      <c r="J39" s="1226">
        <f>H39-I39</f>
        <v>0</v>
      </c>
      <c r="K39" s="983">
        <f>IF(AND(I39&gt;=10,H39&gt;=I39),0,((10-H39)*(6/10)))</f>
        <v>6</v>
      </c>
      <c r="L39" s="984">
        <f>I39+K39</f>
        <v>6</v>
      </c>
      <c r="M39" s="881">
        <f>IF(K39&lt;&gt;0,J39/K39,"0%")</f>
        <v>0</v>
      </c>
      <c r="N39" s="1194"/>
      <c r="O39" s="867"/>
      <c r="P39" s="1190"/>
      <c r="Q39" s="985" t="s">
        <v>95</v>
      </c>
      <c r="R39" s="192"/>
      <c r="S39" s="341" t="s">
        <v>393</v>
      </c>
    </row>
    <row r="40" spans="1:19" ht="20.45" customHeight="1" thickBot="1" x14ac:dyDescent="0.5">
      <c r="B40" s="734" t="s">
        <v>28</v>
      </c>
      <c r="C40" s="735"/>
      <c r="D40" s="735"/>
      <c r="E40" s="803"/>
      <c r="F40" s="736"/>
      <c r="G40" s="532"/>
      <c r="H40" s="1227"/>
      <c r="I40" s="1227"/>
      <c r="J40" s="1228"/>
      <c r="K40" s="988"/>
      <c r="L40" s="988"/>
      <c r="M40" s="989"/>
      <c r="N40" s="843">
        <f>N41</f>
        <v>0</v>
      </c>
      <c r="O40" s="844">
        <f>O41</f>
        <v>0</v>
      </c>
      <c r="P40" s="845">
        <f>O40/3.571428</f>
        <v>0</v>
      </c>
      <c r="Q40" s="990"/>
      <c r="R40" s="194"/>
      <c r="S40" s="190"/>
    </row>
    <row r="41" spans="1:19" ht="35.25" thickBot="1" x14ac:dyDescent="0.5">
      <c r="A41" s="769">
        <v>11</v>
      </c>
      <c r="B41" s="729" t="s">
        <v>29</v>
      </c>
      <c r="C41" s="804">
        <f>M5</f>
        <v>3.5714285714285716</v>
      </c>
      <c r="D41" s="462" t="s">
        <v>121</v>
      </c>
      <c r="E41" s="463">
        <f>$C$41/2</f>
        <v>1.7857142857142858</v>
      </c>
      <c r="F41" s="424" t="s">
        <v>30</v>
      </c>
      <c r="G41" s="464">
        <f>E41/1</f>
        <v>1.7857142857142858</v>
      </c>
      <c r="H41" s="1229"/>
      <c r="I41" s="1230"/>
      <c r="J41" s="1231">
        <f>H41-I41</f>
        <v>0</v>
      </c>
      <c r="K41" s="994">
        <f>(0.5*I41)*(6/10)</f>
        <v>0</v>
      </c>
      <c r="L41" s="995">
        <f>I41+K41</f>
        <v>0</v>
      </c>
      <c r="M41" s="855" t="str">
        <f>IF(K41&lt;&gt;0,J41/K41,"0%")</f>
        <v>0%</v>
      </c>
      <c r="N41" s="1232">
        <f>(((G41/C41)*M41)+(G42/C41)*M42)</f>
        <v>0</v>
      </c>
      <c r="O41" s="857">
        <f>IF((((G41/C41)*M41)+((G42/C41)*M42))&gt;=1,3.57148,IF((((G41/C41)*M41)+((G42/C41)*M42))&lt;=0,0, (((G41/C41)*M41)+((G42/C41)*M42))*3.571428))</f>
        <v>0</v>
      </c>
      <c r="P41" s="858">
        <f>O41/3.571428</f>
        <v>0</v>
      </c>
      <c r="Q41" s="997" t="s">
        <v>177</v>
      </c>
      <c r="R41" s="191"/>
      <c r="S41" s="341" t="s">
        <v>393</v>
      </c>
    </row>
    <row r="42" spans="1:19" ht="23.65" thickBot="1" x14ac:dyDescent="0.5">
      <c r="A42" s="769"/>
      <c r="B42" s="727"/>
      <c r="C42" s="805"/>
      <c r="D42" s="465" t="s">
        <v>122</v>
      </c>
      <c r="E42" s="446">
        <f>$C$41/2</f>
        <v>1.7857142857142858</v>
      </c>
      <c r="F42" s="428" t="s">
        <v>31</v>
      </c>
      <c r="G42" s="466">
        <f>E42/1</f>
        <v>1.7857142857142858</v>
      </c>
      <c r="H42" s="1233"/>
      <c r="I42" s="1234"/>
      <c r="J42" s="1235">
        <f>H42-I42</f>
        <v>0</v>
      </c>
      <c r="K42" s="879">
        <f>(0.5*I42)*(6/10)</f>
        <v>0</v>
      </c>
      <c r="L42" s="1001">
        <f>I42+K42</f>
        <v>0</v>
      </c>
      <c r="M42" s="881" t="str">
        <f>IF(K42&lt;&gt;0,J42/K42,"0%")</f>
        <v>0%</v>
      </c>
      <c r="N42" s="1232"/>
      <c r="O42" s="867"/>
      <c r="P42" s="1190"/>
      <c r="Q42" s="997" t="s">
        <v>95</v>
      </c>
      <c r="R42" s="195"/>
      <c r="S42" s="341" t="s">
        <v>393</v>
      </c>
    </row>
    <row r="43" spans="1:19" ht="30.6" customHeight="1" thickBot="1" x14ac:dyDescent="0.5">
      <c r="B43" s="712" t="s">
        <v>32</v>
      </c>
      <c r="C43" s="713"/>
      <c r="D43" s="713"/>
      <c r="E43" s="713"/>
      <c r="F43" s="714"/>
      <c r="G43" s="449"/>
      <c r="H43" s="1236"/>
      <c r="I43" s="1236"/>
      <c r="J43" s="1237"/>
      <c r="K43" s="1005"/>
      <c r="L43" s="1005"/>
      <c r="M43" s="931"/>
      <c r="N43" s="843">
        <f>N44</f>
        <v>0</v>
      </c>
      <c r="O43" s="844">
        <f>O44</f>
        <v>0</v>
      </c>
      <c r="P43" s="845">
        <f>O43/3.571428</f>
        <v>0</v>
      </c>
      <c r="Q43" s="1006"/>
      <c r="R43" s="190"/>
      <c r="S43" s="190"/>
    </row>
    <row r="44" spans="1:19" ht="37.799999999999997" customHeight="1" x14ac:dyDescent="0.45">
      <c r="A44" s="769">
        <v>12</v>
      </c>
      <c r="B44" s="800" t="s">
        <v>33</v>
      </c>
      <c r="C44" s="785">
        <f>M5</f>
        <v>3.5714285714285716</v>
      </c>
      <c r="D44" s="440" t="s">
        <v>123</v>
      </c>
      <c r="E44" s="467">
        <f>C44/2</f>
        <v>1.7857142857142858</v>
      </c>
      <c r="F44" s="440" t="s">
        <v>34</v>
      </c>
      <c r="G44" s="441">
        <f>$E$44/1</f>
        <v>1.7857142857142858</v>
      </c>
      <c r="H44" s="1042"/>
      <c r="I44" s="1043"/>
      <c r="J44" s="1009">
        <f>IF(I44=H44,(H44-30),H44-I44)</f>
        <v>-30</v>
      </c>
      <c r="K44" s="886">
        <f>IF(I44&gt;=30,0,((30-I44)*(6/10)))</f>
        <v>18</v>
      </c>
      <c r="L44" s="1010">
        <f>I44+K44</f>
        <v>18</v>
      </c>
      <c r="M44" s="896" t="str">
        <f>IF(H44=0,"0%",J44/K44)</f>
        <v>0%</v>
      </c>
      <c r="N44" s="1193">
        <f>(((G44/C44)*M44)+((G45/C44)*M45))</f>
        <v>0</v>
      </c>
      <c r="O44" s="857">
        <f>IF((((G44/C44)*M44)+((G45/C44)*M45))&gt;=1,3.57148,IF((((G44/C44)*M44)+((G45/C44)*M45))&lt;=0,0, (((G44/C44)*M44)+((G45/C44)*M45))*3.571428))</f>
        <v>0</v>
      </c>
      <c r="P44" s="858">
        <f>O44/3.571428</f>
        <v>0</v>
      </c>
      <c r="Q44" s="890" t="s">
        <v>178</v>
      </c>
      <c r="R44" s="196"/>
      <c r="S44" s="275" t="s">
        <v>415</v>
      </c>
    </row>
    <row r="45" spans="1:19" ht="35.25" thickBot="1" x14ac:dyDescent="0.5">
      <c r="A45" s="769"/>
      <c r="B45" s="801"/>
      <c r="C45" s="802"/>
      <c r="D45" s="450" t="s">
        <v>124</v>
      </c>
      <c r="E45" s="468">
        <f>(C44/2)</f>
        <v>1.7857142857142858</v>
      </c>
      <c r="F45" s="450" t="s">
        <v>35</v>
      </c>
      <c r="G45" s="451">
        <f>$E$45/1</f>
        <v>1.7857142857142858</v>
      </c>
      <c r="H45" s="1238"/>
      <c r="I45" s="1011"/>
      <c r="J45" s="1012">
        <f>IF(I45=H45,(H45-17),H45-I45)</f>
        <v>-17</v>
      </c>
      <c r="K45" s="1013">
        <f>IF(I45&gt;=17,0,((17-I45)*(6/10)))</f>
        <v>10.199999999999999</v>
      </c>
      <c r="L45" s="1014">
        <f>I45+K45</f>
        <v>10.199999999999999</v>
      </c>
      <c r="M45" s="934" t="str">
        <f>IF(K45&lt;&gt;0,"0%",J45/K45)</f>
        <v>0%</v>
      </c>
      <c r="N45" s="1196"/>
      <c r="O45" s="867"/>
      <c r="P45" s="1190"/>
      <c r="Q45" s="907" t="s">
        <v>179</v>
      </c>
      <c r="R45" s="197"/>
      <c r="S45" s="275" t="s">
        <v>415</v>
      </c>
    </row>
    <row r="46" spans="1:19" ht="30.6" customHeight="1" thickBot="1" x14ac:dyDescent="0.5">
      <c r="B46" s="807" t="s">
        <v>36</v>
      </c>
      <c r="C46" s="808"/>
      <c r="D46" s="808"/>
      <c r="E46" s="808"/>
      <c r="F46" s="809"/>
      <c r="G46" s="533"/>
      <c r="H46" s="1015"/>
      <c r="I46" s="1016"/>
      <c r="J46" s="1239"/>
      <c r="K46" s="1017"/>
      <c r="L46" s="1017"/>
      <c r="M46" s="1018"/>
      <c r="N46" s="843">
        <f>(N47+N50+N52)/3</f>
        <v>0.29395425392665298</v>
      </c>
      <c r="O46" s="844">
        <f>(O47+O50+O52)</f>
        <v>3.1495093595782757</v>
      </c>
      <c r="P46" s="845">
        <f>O46/10.714284</f>
        <v>0.29395425392665303</v>
      </c>
      <c r="Q46" s="1019"/>
      <c r="R46" s="198"/>
      <c r="S46" s="198"/>
    </row>
    <row r="47" spans="1:19" ht="20.45" customHeight="1" thickBot="1" x14ac:dyDescent="0.5">
      <c r="B47" s="778" t="s">
        <v>37</v>
      </c>
      <c r="C47" s="779"/>
      <c r="D47" s="779"/>
      <c r="E47" s="779"/>
      <c r="F47" s="780"/>
      <c r="G47" s="534"/>
      <c r="H47" s="1227"/>
      <c r="I47" s="1227"/>
      <c r="J47" s="1240"/>
      <c r="K47" s="1020"/>
      <c r="L47" s="1020"/>
      <c r="M47" s="931"/>
      <c r="N47" s="843">
        <f>N48</f>
        <v>0</v>
      </c>
      <c r="O47" s="844">
        <f>O48</f>
        <v>0</v>
      </c>
      <c r="P47" s="845">
        <f>O47/3.571428</f>
        <v>0</v>
      </c>
      <c r="Q47" s="1006"/>
      <c r="R47" s="190"/>
      <c r="S47" s="190"/>
    </row>
    <row r="48" spans="1:19" ht="37.799999999999997" customHeight="1" x14ac:dyDescent="0.45">
      <c r="A48" s="769">
        <v>13</v>
      </c>
      <c r="B48" s="800" t="s">
        <v>38</v>
      </c>
      <c r="C48" s="785">
        <f>M5</f>
        <v>3.5714285714285716</v>
      </c>
      <c r="D48" s="440" t="s">
        <v>125</v>
      </c>
      <c r="E48" s="441">
        <f>$C$48/2</f>
        <v>1.7857142857142858</v>
      </c>
      <c r="F48" s="471" t="s">
        <v>289</v>
      </c>
      <c r="G48" s="441">
        <f>E48/1</f>
        <v>1.7857142857142858</v>
      </c>
      <c r="H48" s="1042"/>
      <c r="I48" s="1241"/>
      <c r="J48" s="1242">
        <f>H48-I48</f>
        <v>0</v>
      </c>
      <c r="K48" s="1021">
        <f>(0.5*I48)* (6/10)</f>
        <v>0</v>
      </c>
      <c r="L48" s="1022">
        <f>I48-K48</f>
        <v>0</v>
      </c>
      <c r="M48" s="887" t="str">
        <f>IF(K48&lt;&gt;0,J48/K48,"0%")</f>
        <v>0%</v>
      </c>
      <c r="N48" s="1243">
        <f>(((G48/C48)*M48)+((G49/C48)*M49))</f>
        <v>0</v>
      </c>
      <c r="O48" s="857">
        <f>IF((((G48/C48)*M48)+((G49/C48)*M49))&gt;=1,3.57148,IF((((G48/C48)*M48)+((G49/C48)*M49))&lt;=0,0, (((G48/C48)*M48)+((G49/C48)*M49))*3.571428))</f>
        <v>0</v>
      </c>
      <c r="P48" s="858">
        <f>O48/3.571428</f>
        <v>0</v>
      </c>
      <c r="Q48" s="935" t="s">
        <v>95</v>
      </c>
      <c r="R48" s="193"/>
      <c r="S48" s="179" t="s">
        <v>427</v>
      </c>
    </row>
    <row r="49" spans="1:19" ht="30.6" customHeight="1" thickBot="1" x14ac:dyDescent="0.5">
      <c r="A49" s="769"/>
      <c r="B49" s="801"/>
      <c r="C49" s="802"/>
      <c r="D49" s="450" t="s">
        <v>126</v>
      </c>
      <c r="E49" s="451">
        <f>$C$48/2</f>
        <v>1.7857142857142858</v>
      </c>
      <c r="F49" s="450" t="s">
        <v>290</v>
      </c>
      <c r="G49" s="451">
        <f>E49/1</f>
        <v>1.7857142857142858</v>
      </c>
      <c r="H49" s="1244"/>
      <c r="I49" s="1245"/>
      <c r="J49" s="1207">
        <f>H49-I49</f>
        <v>0</v>
      </c>
      <c r="K49" s="1026">
        <f>(2*I49)*(6/10)</f>
        <v>0</v>
      </c>
      <c r="L49" s="1027">
        <f>I49+K49</f>
        <v>0</v>
      </c>
      <c r="M49" s="881" t="str">
        <f>IF(K49&lt;&gt;0,J49/K49,"0%")</f>
        <v>0%</v>
      </c>
      <c r="N49" s="1246"/>
      <c r="O49" s="867"/>
      <c r="P49" s="1190"/>
      <c r="Q49" s="940" t="s">
        <v>95</v>
      </c>
      <c r="R49" s="195" t="s">
        <v>317</v>
      </c>
      <c r="S49" s="180" t="s">
        <v>428</v>
      </c>
    </row>
    <row r="50" spans="1:19" ht="15" customHeight="1" thickBot="1" x14ac:dyDescent="0.5">
      <c r="B50" s="712" t="s">
        <v>39</v>
      </c>
      <c r="C50" s="713"/>
      <c r="D50" s="713"/>
      <c r="E50" s="713"/>
      <c r="F50" s="714"/>
      <c r="G50" s="535"/>
      <c r="H50" s="1247"/>
      <c r="I50" s="1247"/>
      <c r="J50" s="1031"/>
      <c r="K50" s="1031"/>
      <c r="L50" s="1031"/>
      <c r="M50" s="1032"/>
      <c r="N50" s="843">
        <f>N51</f>
        <v>0.83333333333333337</v>
      </c>
      <c r="O50" s="844">
        <f>O51</f>
        <v>2.9761900000000003</v>
      </c>
      <c r="P50" s="845">
        <f>O50/3.571428</f>
        <v>0.83333333333333337</v>
      </c>
      <c r="Q50" s="1033"/>
      <c r="R50" s="199"/>
      <c r="S50" s="199"/>
    </row>
    <row r="51" spans="1:19" ht="30.6" customHeight="1" thickBot="1" x14ac:dyDescent="0.5">
      <c r="A51" s="21">
        <v>14</v>
      </c>
      <c r="B51" s="473" t="s">
        <v>226</v>
      </c>
      <c r="C51" s="474">
        <f>M5</f>
        <v>3.5714285714285716</v>
      </c>
      <c r="D51" s="475" t="s">
        <v>272</v>
      </c>
      <c r="E51" s="476">
        <f>C51</f>
        <v>3.5714285714285716</v>
      </c>
      <c r="F51" s="477" t="s">
        <v>266</v>
      </c>
      <c r="G51" s="478">
        <f>E51/1</f>
        <v>3.5714285714285716</v>
      </c>
      <c r="H51" s="1248">
        <v>50</v>
      </c>
      <c r="I51" s="1249">
        <v>0</v>
      </c>
      <c r="J51" s="1250">
        <f>H51-I51</f>
        <v>50</v>
      </c>
      <c r="K51" s="1037">
        <f>(100-I51)*(6/10)</f>
        <v>60</v>
      </c>
      <c r="L51" s="1038">
        <f>I51+K51</f>
        <v>60</v>
      </c>
      <c r="M51" s="865">
        <f>IF(K51&lt;&gt;0,J51/K51,"100%")</f>
        <v>0.83333333333333337</v>
      </c>
      <c r="N51" s="953">
        <f>((G51/C51)*M51)</f>
        <v>0.83333333333333337</v>
      </c>
      <c r="O51" s="954">
        <f>IF(((G51/C51)*M51)&gt;=1,3.571428,IF(((G51/C51)*M51)&lt;=0,0,((G51/C51)*M51)*3.571428))</f>
        <v>2.9761900000000003</v>
      </c>
      <c r="P51" s="845">
        <f>O51/3.571428</f>
        <v>0.83333333333333337</v>
      </c>
      <c r="Q51" s="1039" t="s">
        <v>95</v>
      </c>
      <c r="R51" s="200"/>
      <c r="S51" s="269" t="s">
        <v>429</v>
      </c>
    </row>
    <row r="52" spans="1:19" ht="20.45" customHeight="1" thickBot="1" x14ac:dyDescent="0.5">
      <c r="B52" s="712" t="s">
        <v>40</v>
      </c>
      <c r="C52" s="713"/>
      <c r="D52" s="713"/>
      <c r="E52" s="713"/>
      <c r="F52" s="714"/>
      <c r="G52" s="534"/>
      <c r="H52" s="1227"/>
      <c r="I52" s="1227"/>
      <c r="J52" s="1240"/>
      <c r="K52" s="1020"/>
      <c r="L52" s="1020"/>
      <c r="M52" s="1040"/>
      <c r="N52" s="843">
        <f>N53</f>
        <v>4.8529428446625604E-2</v>
      </c>
      <c r="O52" s="844">
        <f>O53</f>
        <v>0.17331935957827518</v>
      </c>
      <c r="P52" s="845">
        <f>O52/3.571428</f>
        <v>4.8529428446625604E-2</v>
      </c>
      <c r="Q52" s="1041"/>
      <c r="R52" s="199"/>
      <c r="S52" s="199"/>
    </row>
    <row r="53" spans="1:19" ht="43.8" customHeight="1" thickBot="1" x14ac:dyDescent="0.5">
      <c r="A53" s="769">
        <v>15</v>
      </c>
      <c r="B53" s="781" t="s">
        <v>108</v>
      </c>
      <c r="C53" s="785">
        <f>M5</f>
        <v>3.5714285714285716</v>
      </c>
      <c r="D53" s="480" t="s">
        <v>127</v>
      </c>
      <c r="E53" s="481">
        <f>$C$53/5</f>
        <v>0.7142857142857143</v>
      </c>
      <c r="F53" s="482" t="s">
        <v>41</v>
      </c>
      <c r="G53" s="411">
        <f>E53/1</f>
        <v>0.7142857142857143</v>
      </c>
      <c r="H53" s="1251"/>
      <c r="I53" s="1252"/>
      <c r="J53" s="914">
        <f>H53-I53</f>
        <v>0</v>
      </c>
      <c r="K53" s="1021">
        <f>(100-I53)*(6/10)</f>
        <v>60</v>
      </c>
      <c r="L53" s="980">
        <f t="shared" ref="L53:L58" si="15">I53+K53</f>
        <v>60</v>
      </c>
      <c r="M53" s="855">
        <f t="shared" ref="M53:M55" si="16">IF(K53&lt;&gt;0,J53/K53,"0%")</f>
        <v>0</v>
      </c>
      <c r="N53" s="1253">
        <f>(((G53/C53)*M53)+((G54/C53)*M54)+((G55/C53)*M55)+((G56/C53)*M56)+((G57/C53)*M57)+((G58/C53)*M58))</f>
        <v>4.8529428446625604E-2</v>
      </c>
      <c r="O53" s="1044">
        <f>IF((((G53/C53)*M53)+((G54/C53)*M54)+((G55/C53)*M55)+((G56/C53)*M56)+((G57/C53)*M57)+((G58/C53)*M58))&gt;=1,3.571428,IF((((G53/C53)*M53)+((G54/C53)*M54)+((G55/C53)*M55)+((G56/C53)*M56)+((G57/C53)*M57)+((G58/C53)*M58))&lt;=0,0,((((G53/C53)*M53)+((G54/C53)*M54)+((G55/C53)*M55)+((G56/C53)*M56)+((G57/C53)*M57)+((G58/C53)*M58))*3.571428)))</f>
        <v>0.17331935957827518</v>
      </c>
      <c r="P53" s="858">
        <f>O53/3.571428</f>
        <v>4.8529428446625604E-2</v>
      </c>
      <c r="Q53" s="1045" t="s">
        <v>95</v>
      </c>
      <c r="R53" s="201"/>
      <c r="S53" s="206" t="s">
        <v>393</v>
      </c>
    </row>
    <row r="54" spans="1:19" ht="35.450000000000003" customHeight="1" thickBot="1" x14ac:dyDescent="0.5">
      <c r="A54" s="769"/>
      <c r="B54" s="782"/>
      <c r="C54" s="786"/>
      <c r="D54" s="483" t="s">
        <v>128</v>
      </c>
      <c r="E54" s="484">
        <f t="shared" ref="E54:E57" si="17">$C$53/5</f>
        <v>0.7142857142857143</v>
      </c>
      <c r="F54" s="485" t="s">
        <v>42</v>
      </c>
      <c r="G54" s="436">
        <f>E54/1</f>
        <v>0.7142857142857143</v>
      </c>
      <c r="H54" s="1254"/>
      <c r="I54" s="1255"/>
      <c r="J54" s="919">
        <f>H54-I54</f>
        <v>0</v>
      </c>
      <c r="K54" s="983">
        <f>(100-I54)*(6/6)</f>
        <v>100</v>
      </c>
      <c r="L54" s="984">
        <f>I54+K54</f>
        <v>100</v>
      </c>
      <c r="M54" s="896">
        <f t="shared" si="16"/>
        <v>0</v>
      </c>
      <c r="N54" s="1256"/>
      <c r="O54" s="1048"/>
      <c r="P54" s="1195"/>
      <c r="Q54" s="1049" t="s">
        <v>95</v>
      </c>
      <c r="R54" s="186"/>
      <c r="S54" s="206" t="s">
        <v>393</v>
      </c>
    </row>
    <row r="55" spans="1:19" ht="34.25" customHeight="1" x14ac:dyDescent="0.45">
      <c r="A55" s="769"/>
      <c r="B55" s="782"/>
      <c r="C55" s="786"/>
      <c r="D55" s="483" t="s">
        <v>129</v>
      </c>
      <c r="E55" s="484">
        <f t="shared" si="17"/>
        <v>0.7142857142857143</v>
      </c>
      <c r="F55" s="485" t="s">
        <v>43</v>
      </c>
      <c r="G55" s="436">
        <f>E55/1</f>
        <v>0.7142857142857143</v>
      </c>
      <c r="H55" s="1257">
        <v>5</v>
      </c>
      <c r="I55" s="1258">
        <v>6</v>
      </c>
      <c r="J55" s="919">
        <f>H55-I55</f>
        <v>-1</v>
      </c>
      <c r="K55" s="983">
        <f>(100-I55)*(6/10)</f>
        <v>56.4</v>
      </c>
      <c r="L55" s="984">
        <f t="shared" si="15"/>
        <v>62.4</v>
      </c>
      <c r="M55" s="896">
        <f t="shared" si="16"/>
        <v>-1.7730496453900711E-2</v>
      </c>
      <c r="N55" s="1256"/>
      <c r="O55" s="1048"/>
      <c r="P55" s="1195"/>
      <c r="Q55" s="1049" t="s">
        <v>95</v>
      </c>
      <c r="R55" s="271" t="s">
        <v>381</v>
      </c>
      <c r="S55" s="206" t="s">
        <v>430</v>
      </c>
    </row>
    <row r="56" spans="1:19" ht="37.25" customHeight="1" x14ac:dyDescent="0.45">
      <c r="A56" s="769"/>
      <c r="B56" s="782"/>
      <c r="C56" s="786"/>
      <c r="D56" s="483" t="s">
        <v>130</v>
      </c>
      <c r="E56" s="484">
        <f t="shared" si="17"/>
        <v>0.7142857142857143</v>
      </c>
      <c r="F56" s="485" t="s">
        <v>44</v>
      </c>
      <c r="G56" s="436">
        <f>E56/1</f>
        <v>0.7142857142857143</v>
      </c>
      <c r="H56" s="1259">
        <v>142420</v>
      </c>
      <c r="I56" s="1260">
        <v>136921</v>
      </c>
      <c r="J56" s="919">
        <f>H56-I56</f>
        <v>5499</v>
      </c>
      <c r="K56" s="1051">
        <f>(0.5*I56)*(6/7)</f>
        <v>58680.428571428565</v>
      </c>
      <c r="L56" s="984">
        <f t="shared" si="15"/>
        <v>195601.42857142858</v>
      </c>
      <c r="M56" s="896">
        <f>IF(K56&lt;&gt;0,J56/K56,"0%")</f>
        <v>9.3710972020362118E-2</v>
      </c>
      <c r="N56" s="1256"/>
      <c r="O56" s="1048"/>
      <c r="P56" s="1195"/>
      <c r="Q56" s="1049" t="s">
        <v>101</v>
      </c>
      <c r="R56" s="271" t="s">
        <v>382</v>
      </c>
      <c r="S56" s="186"/>
    </row>
    <row r="57" spans="1:19" ht="22.8" customHeight="1" x14ac:dyDescent="0.45">
      <c r="A57" s="769"/>
      <c r="B57" s="782"/>
      <c r="C57" s="786"/>
      <c r="D57" s="740" t="s">
        <v>131</v>
      </c>
      <c r="E57" s="811">
        <f t="shared" si="17"/>
        <v>0.7142857142857143</v>
      </c>
      <c r="F57" s="485" t="s">
        <v>45</v>
      </c>
      <c r="G57" s="436">
        <f>$E$57/2</f>
        <v>0.35714285714285715</v>
      </c>
      <c r="H57" s="1259">
        <v>24</v>
      </c>
      <c r="I57" s="1260">
        <v>20</v>
      </c>
      <c r="J57" s="919">
        <f t="shared" ref="J57:J58" si="18">H57-I57</f>
        <v>4</v>
      </c>
      <c r="K57" s="1053">
        <f>(1*I57)*(6/10)</f>
        <v>12</v>
      </c>
      <c r="L57" s="984">
        <f t="shared" si="15"/>
        <v>32</v>
      </c>
      <c r="M57" s="896">
        <f>IF(K57&lt;&gt;0,J57/K57,"0%")</f>
        <v>0.33333333333333331</v>
      </c>
      <c r="N57" s="1256"/>
      <c r="O57" s="1048"/>
      <c r="P57" s="1195"/>
      <c r="Q57" s="1049" t="s">
        <v>180</v>
      </c>
      <c r="R57" s="271" t="s">
        <v>383</v>
      </c>
      <c r="S57" s="186"/>
    </row>
    <row r="58" spans="1:19" ht="15" customHeight="1" thickBot="1" x14ac:dyDescent="0.5">
      <c r="A58" s="769"/>
      <c r="B58" s="806"/>
      <c r="C58" s="802"/>
      <c r="D58" s="741"/>
      <c r="E58" s="812"/>
      <c r="F58" s="418" t="s">
        <v>46</v>
      </c>
      <c r="G58" s="419">
        <f>$E$57/2</f>
        <v>0.35714285714285715</v>
      </c>
      <c r="H58" s="1261"/>
      <c r="I58" s="1262"/>
      <c r="J58" s="927">
        <f t="shared" si="18"/>
        <v>0</v>
      </c>
      <c r="K58" s="1026">
        <f>(1*I58)*(6/10)</f>
        <v>0</v>
      </c>
      <c r="L58" s="1055">
        <f t="shared" si="15"/>
        <v>0</v>
      </c>
      <c r="M58" s="881" t="str">
        <f>IF(K58&lt;&gt;0,J58/K58,"0%")</f>
        <v>0%</v>
      </c>
      <c r="N58" s="1263"/>
      <c r="O58" s="1056"/>
      <c r="P58" s="1190"/>
      <c r="Q58" s="1057" t="s">
        <v>95</v>
      </c>
      <c r="R58" s="272"/>
      <c r="S58" s="180" t="s">
        <v>393</v>
      </c>
    </row>
    <row r="59" spans="1:19" ht="23.45" customHeight="1" thickBot="1" x14ac:dyDescent="0.5">
      <c r="B59" s="807" t="s">
        <v>47</v>
      </c>
      <c r="C59" s="808"/>
      <c r="D59" s="808"/>
      <c r="E59" s="808"/>
      <c r="F59" s="809"/>
      <c r="G59" s="536"/>
      <c r="H59" s="1264"/>
      <c r="I59" s="1264"/>
      <c r="J59" s="1060"/>
      <c r="K59" s="1060"/>
      <c r="L59" s="1060"/>
      <c r="M59" s="1018"/>
      <c r="N59" s="843">
        <f>(N60+N67)/2</f>
        <v>0.17971790776235591</v>
      </c>
      <c r="O59" s="844">
        <f>(O60+O67)</f>
        <v>1.2836991357677903</v>
      </c>
      <c r="P59" s="845">
        <f>O59/7.142856</f>
        <v>0.17971790776235588</v>
      </c>
      <c r="Q59" s="1061"/>
      <c r="R59" s="202"/>
      <c r="S59" s="203"/>
    </row>
    <row r="60" spans="1:19" ht="22.25" customHeight="1" thickBot="1" x14ac:dyDescent="0.5">
      <c r="B60" s="712" t="s">
        <v>48</v>
      </c>
      <c r="C60" s="713"/>
      <c r="D60" s="713"/>
      <c r="E60" s="713"/>
      <c r="F60" s="714"/>
      <c r="G60" s="449"/>
      <c r="H60" s="1265"/>
      <c r="I60" s="1265"/>
      <c r="J60" s="1203"/>
      <c r="K60" s="930"/>
      <c r="L60" s="930"/>
      <c r="M60" s="931"/>
      <c r="N60" s="843">
        <f>N61</f>
        <v>0.2283496732026144</v>
      </c>
      <c r="O60" s="844">
        <f>O61</f>
        <v>0.81553441666666671</v>
      </c>
      <c r="P60" s="845">
        <f>O60/3.571428</f>
        <v>0.2283496732026144</v>
      </c>
      <c r="Q60" s="910"/>
      <c r="R60" s="190"/>
      <c r="S60" s="190"/>
    </row>
    <row r="61" spans="1:19" ht="39" customHeight="1" x14ac:dyDescent="0.45">
      <c r="A61" s="769">
        <v>16</v>
      </c>
      <c r="B61" s="781" t="s">
        <v>49</v>
      </c>
      <c r="C61" s="785">
        <f>M5</f>
        <v>3.5714285714285716</v>
      </c>
      <c r="D61" s="440" t="s">
        <v>133</v>
      </c>
      <c r="E61" s="441">
        <f>$C$61/4</f>
        <v>0.8928571428571429</v>
      </c>
      <c r="F61" s="440" t="s">
        <v>50</v>
      </c>
      <c r="G61" s="411">
        <f>E61/1</f>
        <v>0.8928571428571429</v>
      </c>
      <c r="H61" s="1266"/>
      <c r="I61" s="1267"/>
      <c r="J61" s="1009">
        <f>IF(I61=H61,(H61-70),H61-I61)</f>
        <v>-70</v>
      </c>
      <c r="K61" s="886">
        <f>IF(I61&gt;=70,0,((70-I61)*(6/10)))</f>
        <v>42</v>
      </c>
      <c r="L61" s="1063">
        <f t="shared" ref="L61:L66" si="19">I61+K61</f>
        <v>42</v>
      </c>
      <c r="M61" s="896" t="str">
        <f>IF(H61=0,"0%",J61/K61)</f>
        <v>0%</v>
      </c>
      <c r="N61" s="1268">
        <f>(((G61/C61)*M61)+((G62/C61)*M62)+((G63/C61)*M63)+((G64/C61)*M64)+((G65/C61)*M65)+((G66/C61)*M66))</f>
        <v>0.2283496732026144</v>
      </c>
      <c r="O61" s="1044">
        <f>IF((((G61/C61)*M61)+((G62/C61)*M62)+((G63/C61)*M63)+((G64/C61)*M64)+((G65/C61)*M65)+((G66/C61)*M66))&gt;=1,3.571428,IF((((G61/C61)*M61)+((G62/C61)*M62)+((G63/C61)*M63)+((G64/C61)*M64)+((G65/C61)*M65)+((G66/C61)*M66))&lt;=0,0,((((G61/C61)*M61)+((G62/C61)*M62)+((G63/C61)*M63)+((G64/C61)*M64)+((G65/C61)*M65)+((G66/C61)*M66))*3.571428)))</f>
        <v>0.81553441666666671</v>
      </c>
      <c r="P61" s="858">
        <f>O61/3.571428</f>
        <v>0.2283496732026144</v>
      </c>
      <c r="Q61" s="981" t="s">
        <v>181</v>
      </c>
      <c r="R61" s="177" t="s">
        <v>431</v>
      </c>
      <c r="S61" s="275" t="s">
        <v>415</v>
      </c>
    </row>
    <row r="62" spans="1:19" ht="58.25" customHeight="1" x14ac:dyDescent="0.45">
      <c r="A62" s="769"/>
      <c r="B62" s="782"/>
      <c r="C62" s="786"/>
      <c r="D62" s="443" t="s">
        <v>134</v>
      </c>
      <c r="E62" s="444">
        <f t="shared" ref="E62:E63" si="20">$C$61/4</f>
        <v>0.8928571428571429</v>
      </c>
      <c r="F62" s="483" t="s">
        <v>276</v>
      </c>
      <c r="G62" s="436">
        <f>$E$62/1</f>
        <v>0.8928571428571429</v>
      </c>
      <c r="H62" s="1224">
        <v>3</v>
      </c>
      <c r="I62" s="1201">
        <v>2</v>
      </c>
      <c r="J62" s="1064">
        <f>IF(I62=H62,(H62-70),H62-I62)</f>
        <v>1</v>
      </c>
      <c r="K62" s="894">
        <f t="shared" ref="K62:K63" si="21">IF(I62&gt;=70,0,((70-I62)*(6/10)))</f>
        <v>40.799999999999997</v>
      </c>
      <c r="L62" s="1065">
        <f t="shared" si="19"/>
        <v>42.8</v>
      </c>
      <c r="M62" s="887">
        <f t="shared" ref="M62" si="22">IF(I62&gt;=70,(1+(H62-70)/70),(J62/K62))</f>
        <v>2.4509803921568631E-2</v>
      </c>
      <c r="N62" s="1269"/>
      <c r="O62" s="1048"/>
      <c r="P62" s="1195"/>
      <c r="Q62" s="985" t="s">
        <v>182</v>
      </c>
      <c r="R62" s="177" t="s">
        <v>431</v>
      </c>
      <c r="S62" s="275" t="s">
        <v>415</v>
      </c>
    </row>
    <row r="63" spans="1:19" ht="26.45" customHeight="1" x14ac:dyDescent="0.45">
      <c r="A63" s="769"/>
      <c r="B63" s="782"/>
      <c r="C63" s="786"/>
      <c r="D63" s="443" t="s">
        <v>135</v>
      </c>
      <c r="E63" s="444">
        <f t="shared" si="20"/>
        <v>0.8928571428571429</v>
      </c>
      <c r="F63" s="443" t="s">
        <v>51</v>
      </c>
      <c r="G63" s="436">
        <f>E63/1</f>
        <v>0.8928571428571429</v>
      </c>
      <c r="H63" s="891"/>
      <c r="I63" s="892"/>
      <c r="J63" s="1064">
        <f>IF(I63=H63,(H63-70),H63-I63)</f>
        <v>-70</v>
      </c>
      <c r="K63" s="894">
        <f t="shared" si="21"/>
        <v>42</v>
      </c>
      <c r="L63" s="1065">
        <f t="shared" si="19"/>
        <v>42</v>
      </c>
      <c r="M63" s="896" t="str">
        <f>IF(H63=0,"0%",J63/K63)</f>
        <v>0%</v>
      </c>
      <c r="N63" s="1269"/>
      <c r="O63" s="1048"/>
      <c r="P63" s="1195"/>
      <c r="Q63" s="985" t="s">
        <v>95</v>
      </c>
      <c r="R63" s="177" t="s">
        <v>431</v>
      </c>
      <c r="S63" s="275" t="s">
        <v>415</v>
      </c>
    </row>
    <row r="64" spans="1:19" ht="15" customHeight="1" thickBot="1" x14ac:dyDescent="0.5">
      <c r="A64" s="769"/>
      <c r="B64" s="782"/>
      <c r="C64" s="786"/>
      <c r="D64" s="794" t="s">
        <v>136</v>
      </c>
      <c r="E64" s="796">
        <f>$C$61/4</f>
        <v>0.8928571428571429</v>
      </c>
      <c r="F64" s="487" t="s">
        <v>52</v>
      </c>
      <c r="G64" s="488">
        <f>$E$64/3</f>
        <v>0.29761904761904762</v>
      </c>
      <c r="H64" s="891">
        <v>100</v>
      </c>
      <c r="I64" s="892">
        <v>100</v>
      </c>
      <c r="J64" s="1070">
        <f t="shared" ref="J64:J66" si="23">H64-I64</f>
        <v>0</v>
      </c>
      <c r="K64" s="1071">
        <f>(100-I64)*(6/10)</f>
        <v>0</v>
      </c>
      <c r="L64" s="1065">
        <f t="shared" si="19"/>
        <v>100</v>
      </c>
      <c r="M64" s="896" t="str">
        <f t="shared" ref="M64:M66" si="24">IF(K64&lt;&gt;0,J64/K64,"100%")</f>
        <v>100%</v>
      </c>
      <c r="N64" s="1269"/>
      <c r="O64" s="1048"/>
      <c r="P64" s="1195"/>
      <c r="Q64" s="985" t="s">
        <v>95</v>
      </c>
      <c r="R64" s="150"/>
      <c r="S64" s="342" t="s">
        <v>321</v>
      </c>
    </row>
    <row r="65" spans="1:19" ht="23.65" thickBot="1" x14ac:dyDescent="0.5">
      <c r="A65" s="769"/>
      <c r="B65" s="782"/>
      <c r="C65" s="786"/>
      <c r="D65" s="794"/>
      <c r="E65" s="796"/>
      <c r="F65" s="487" t="s">
        <v>53</v>
      </c>
      <c r="G65" s="488">
        <f t="shared" ref="G65:G66" si="25">$E$64/3</f>
        <v>0.29761904761904762</v>
      </c>
      <c r="H65" s="891">
        <v>100</v>
      </c>
      <c r="I65" s="892">
        <v>0</v>
      </c>
      <c r="J65" s="1070">
        <f t="shared" si="23"/>
        <v>100</v>
      </c>
      <c r="K65" s="1071">
        <f>(100-I65)*(6/10)</f>
        <v>60</v>
      </c>
      <c r="L65" s="1065">
        <f t="shared" si="19"/>
        <v>60</v>
      </c>
      <c r="M65" s="896">
        <f t="shared" si="24"/>
        <v>1.6666666666666667</v>
      </c>
      <c r="N65" s="1269"/>
      <c r="O65" s="1048"/>
      <c r="P65" s="1195"/>
      <c r="Q65" s="985" t="s">
        <v>95</v>
      </c>
      <c r="R65" s="168"/>
      <c r="S65" s="342" t="s">
        <v>321</v>
      </c>
    </row>
    <row r="66" spans="1:19" ht="27.6" customHeight="1" thickBot="1" x14ac:dyDescent="0.5">
      <c r="A66" s="769"/>
      <c r="B66" s="806"/>
      <c r="C66" s="802"/>
      <c r="D66" s="801"/>
      <c r="E66" s="810"/>
      <c r="F66" s="489" t="s">
        <v>54</v>
      </c>
      <c r="G66" s="490">
        <f t="shared" si="25"/>
        <v>0.29761904761904762</v>
      </c>
      <c r="H66" s="1150"/>
      <c r="I66" s="902"/>
      <c r="J66" s="1074">
        <f t="shared" si="23"/>
        <v>0</v>
      </c>
      <c r="K66" s="1075">
        <f>(100-I66)*(6/10)</f>
        <v>60</v>
      </c>
      <c r="L66" s="1076">
        <f t="shared" si="19"/>
        <v>60</v>
      </c>
      <c r="M66" s="881">
        <f t="shared" si="24"/>
        <v>0</v>
      </c>
      <c r="N66" s="1270"/>
      <c r="O66" s="1056"/>
      <c r="P66" s="1190"/>
      <c r="Q66" s="1077" t="s">
        <v>95</v>
      </c>
      <c r="R66" s="346"/>
      <c r="S66" s="180" t="s">
        <v>416</v>
      </c>
    </row>
    <row r="67" spans="1:19" ht="27" customHeight="1" thickBot="1" x14ac:dyDescent="0.5">
      <c r="B67" s="778" t="s">
        <v>55</v>
      </c>
      <c r="C67" s="779"/>
      <c r="D67" s="779"/>
      <c r="E67" s="779"/>
      <c r="F67" s="780"/>
      <c r="G67" s="438"/>
      <c r="H67" s="1271"/>
      <c r="I67" s="1271"/>
      <c r="J67" s="1237"/>
      <c r="K67" s="1005"/>
      <c r="L67" s="1005"/>
      <c r="M67" s="931"/>
      <c r="N67" s="843">
        <f>N68</f>
        <v>0.13108614232209739</v>
      </c>
      <c r="O67" s="844">
        <f>O68</f>
        <v>0.46816471910112367</v>
      </c>
      <c r="P67" s="845">
        <f>O67/3.571428</f>
        <v>0.13108614232209739</v>
      </c>
      <c r="Q67" s="1078"/>
      <c r="R67" s="353"/>
      <c r="S67" s="354"/>
    </row>
    <row r="68" spans="1:19" ht="58.5" thickBot="1" x14ac:dyDescent="0.5">
      <c r="A68" s="22">
        <v>17</v>
      </c>
      <c r="B68" s="491" t="s">
        <v>56</v>
      </c>
      <c r="C68" s="492">
        <f>M5</f>
        <v>3.5714285714285716</v>
      </c>
      <c r="D68" s="491" t="s">
        <v>137</v>
      </c>
      <c r="E68" s="492">
        <f>C68</f>
        <v>3.5714285714285716</v>
      </c>
      <c r="F68" s="491" t="s">
        <v>57</v>
      </c>
      <c r="G68" s="537">
        <f>E68/1</f>
        <v>3.5714285714285716</v>
      </c>
      <c r="H68" s="1272">
        <v>22</v>
      </c>
      <c r="I68" s="1273">
        <v>25.5</v>
      </c>
      <c r="J68" s="1274">
        <f>IF(I68=H68,(H68-70),I68-H68)</f>
        <v>3.5</v>
      </c>
      <c r="K68" s="968">
        <f t="shared" ref="K68" si="26">IF(I68&gt;=70,0,((70-I68)*(6/10)))</f>
        <v>26.7</v>
      </c>
      <c r="L68" s="1082">
        <f>I68-K68</f>
        <v>-1.1999999999999993</v>
      </c>
      <c r="M68" s="952">
        <f t="shared" ref="M68" si="27">IF(I68&gt;=70,(1+(H68-70)/70),(J68/K68))</f>
        <v>0.13108614232209739</v>
      </c>
      <c r="N68" s="1083">
        <f>((G68/C68)*M68)</f>
        <v>0.13108614232209739</v>
      </c>
      <c r="O68" s="954">
        <f>IF(((G68/C68)*M68)&gt;=1,3.571428,IF(((G68/C68)*M68)&lt;=0,0,((G68/C68)*M68)*3.571428))</f>
        <v>0.46816471910112367</v>
      </c>
      <c r="P68" s="845">
        <f>O68/3.571428</f>
        <v>0.13108614232209739</v>
      </c>
      <c r="Q68" s="1084" t="s">
        <v>132</v>
      </c>
      <c r="R68" s="175"/>
      <c r="S68" s="275"/>
    </row>
    <row r="69" spans="1:19" ht="22.25" customHeight="1" thickBot="1" x14ac:dyDescent="0.5">
      <c r="B69" s="619" t="s">
        <v>58</v>
      </c>
      <c r="C69" s="620"/>
      <c r="D69" s="620"/>
      <c r="E69" s="620"/>
      <c r="F69" s="621"/>
      <c r="G69" s="155"/>
      <c r="H69" s="1085"/>
      <c r="I69" s="1275"/>
      <c r="J69" s="1276"/>
      <c r="K69" s="1087"/>
      <c r="L69" s="1087"/>
      <c r="M69" s="1088"/>
      <c r="N69" s="843">
        <f>(N70+N72+N74)/3</f>
        <v>0.7142857142857143</v>
      </c>
      <c r="O69" s="844">
        <f>(O70+O72+O74)</f>
        <v>3.571428</v>
      </c>
      <c r="P69" s="845">
        <f>O69/10.714284</f>
        <v>0.33333333333333337</v>
      </c>
      <c r="Q69" s="1089"/>
      <c r="R69" s="355"/>
      <c r="S69" s="356"/>
    </row>
    <row r="70" spans="1:19" ht="20.45" customHeight="1" thickBot="1" x14ac:dyDescent="0.5">
      <c r="B70" s="712" t="s">
        <v>59</v>
      </c>
      <c r="C70" s="713"/>
      <c r="D70" s="713"/>
      <c r="E70" s="713"/>
      <c r="F70" s="714"/>
      <c r="G70" s="449"/>
      <c r="H70" s="1003"/>
      <c r="I70" s="1004"/>
      <c r="J70" s="910"/>
      <c r="K70" s="910"/>
      <c r="L70" s="910"/>
      <c r="M70" s="1090"/>
      <c r="N70" s="843">
        <f>N71</f>
        <v>2.1428571428571428</v>
      </c>
      <c r="O70" s="844">
        <f>O71</f>
        <v>3.571428</v>
      </c>
      <c r="P70" s="845">
        <f t="shared" ref="P70:P78" si="28">O70/3.571428</f>
        <v>1</v>
      </c>
      <c r="Q70" s="1041"/>
      <c r="R70" s="354"/>
      <c r="S70" s="354"/>
    </row>
    <row r="71" spans="1:19" ht="52.25" customHeight="1" thickBot="1" x14ac:dyDescent="0.5">
      <c r="A71" s="22">
        <v>18</v>
      </c>
      <c r="B71" s="495" t="s">
        <v>60</v>
      </c>
      <c r="C71" s="496">
        <f>M5</f>
        <v>3.5714285714285716</v>
      </c>
      <c r="D71" s="497" t="s">
        <v>138</v>
      </c>
      <c r="E71" s="498">
        <f>C71</f>
        <v>3.5714285714285716</v>
      </c>
      <c r="F71" s="499" t="s">
        <v>61</v>
      </c>
      <c r="G71" s="538">
        <f>E71/1</f>
        <v>3.5714285714285716</v>
      </c>
      <c r="H71" s="1277">
        <v>30</v>
      </c>
      <c r="I71" s="1278">
        <v>84</v>
      </c>
      <c r="J71" s="1279">
        <f>I71-H71</f>
        <v>54</v>
      </c>
      <c r="K71" s="964">
        <f>(0.5*I71)*0.6</f>
        <v>25.2</v>
      </c>
      <c r="L71" s="1082">
        <f>I71-K71</f>
        <v>58.8</v>
      </c>
      <c r="M71" s="896">
        <f t="shared" ref="M71" si="29">IF(K71&lt;&gt;0,J71/K71,"100%")</f>
        <v>2.1428571428571428</v>
      </c>
      <c r="N71" s="1083">
        <f>((G71/C71)*M71)</f>
        <v>2.1428571428571428</v>
      </c>
      <c r="O71" s="954">
        <f>IF(((G71/C71)*M71)&gt;=1,3.571428,IF(((G71/C71)*M71)&lt;=0,0,((G71/C71)*M71)*3.571428))</f>
        <v>3.571428</v>
      </c>
      <c r="P71" s="845">
        <f t="shared" si="28"/>
        <v>1</v>
      </c>
      <c r="Q71" s="1092" t="s">
        <v>183</v>
      </c>
      <c r="R71" s="97" t="s">
        <v>432</v>
      </c>
      <c r="S71" s="97"/>
    </row>
    <row r="72" spans="1:19" ht="20.45" customHeight="1" thickBot="1" x14ac:dyDescent="0.5">
      <c r="B72" s="734" t="s">
        <v>277</v>
      </c>
      <c r="C72" s="735"/>
      <c r="D72" s="735"/>
      <c r="E72" s="735"/>
      <c r="F72" s="736"/>
      <c r="G72" s="532"/>
      <c r="H72" s="986"/>
      <c r="I72" s="1227"/>
      <c r="J72" s="1220"/>
      <c r="K72" s="973"/>
      <c r="L72" s="973"/>
      <c r="M72" s="974"/>
      <c r="N72" s="843">
        <f>N73</f>
        <v>0</v>
      </c>
      <c r="O72" s="844">
        <f>O73</f>
        <v>0</v>
      </c>
      <c r="P72" s="845">
        <f t="shared" si="28"/>
        <v>0</v>
      </c>
      <c r="Q72" s="1093"/>
      <c r="R72" s="199"/>
      <c r="S72" s="199"/>
    </row>
    <row r="73" spans="1:19" ht="45" customHeight="1" thickBot="1" x14ac:dyDescent="0.5">
      <c r="A73" s="22">
        <v>19</v>
      </c>
      <c r="B73" s="501" t="s">
        <v>62</v>
      </c>
      <c r="C73" s="502">
        <f>M5</f>
        <v>3.5714285714285716</v>
      </c>
      <c r="D73" s="503" t="s">
        <v>139</v>
      </c>
      <c r="E73" s="502">
        <f>C73</f>
        <v>3.5714285714285716</v>
      </c>
      <c r="F73" s="504" t="s">
        <v>63</v>
      </c>
      <c r="G73" s="500">
        <f>E73/1</f>
        <v>3.5714285714285716</v>
      </c>
      <c r="H73" s="1280">
        <v>2</v>
      </c>
      <c r="I73" s="1280">
        <v>2</v>
      </c>
      <c r="J73" s="1281">
        <f>I73-H73</f>
        <v>0</v>
      </c>
      <c r="K73" s="1095">
        <f>IF(H73&gt;0,(H73),I73)</f>
        <v>2</v>
      </c>
      <c r="L73" s="1096">
        <f>I73-K73</f>
        <v>0</v>
      </c>
      <c r="M73" s="896">
        <f t="shared" ref="M73" si="30">IF(K73&lt;&gt;0,J73/K73,"100%")</f>
        <v>0</v>
      </c>
      <c r="N73" s="1083">
        <f>((G73/C73)*M73)</f>
        <v>0</v>
      </c>
      <c r="O73" s="954">
        <f>IF(((G73/C73)*M73)&gt;=1,3.571428,IF(((G73/C73)*M73)&lt;=0,0,((G73/C73)*M73)*3.571428))</f>
        <v>0</v>
      </c>
      <c r="P73" s="845">
        <f t="shared" si="28"/>
        <v>0</v>
      </c>
      <c r="Q73" s="1097" t="s">
        <v>95</v>
      </c>
      <c r="R73" s="204"/>
      <c r="S73" s="204"/>
    </row>
    <row r="74" spans="1:19" ht="30.6" customHeight="1" thickBot="1" x14ac:dyDescent="0.5">
      <c r="B74" s="712" t="s">
        <v>64</v>
      </c>
      <c r="C74" s="713"/>
      <c r="D74" s="713"/>
      <c r="E74" s="713"/>
      <c r="F74" s="714"/>
      <c r="G74" s="439"/>
      <c r="H74" s="1003"/>
      <c r="I74" s="1004"/>
      <c r="J74" s="910"/>
      <c r="K74" s="910"/>
      <c r="L74" s="910"/>
      <c r="M74" s="931"/>
      <c r="N74" s="843">
        <f>N75</f>
        <v>0</v>
      </c>
      <c r="O74" s="844">
        <f>O75</f>
        <v>0</v>
      </c>
      <c r="P74" s="845">
        <f t="shared" si="28"/>
        <v>0</v>
      </c>
      <c r="Q74" s="1041"/>
      <c r="R74" s="199"/>
      <c r="S74" s="199"/>
    </row>
    <row r="75" spans="1:19" ht="29.45" customHeight="1" thickBot="1" x14ac:dyDescent="0.5">
      <c r="A75" s="22">
        <v>20</v>
      </c>
      <c r="B75" s="501" t="s">
        <v>65</v>
      </c>
      <c r="C75" s="456">
        <f>M5</f>
        <v>3.5714285714285716</v>
      </c>
      <c r="D75" s="497" t="s">
        <v>140</v>
      </c>
      <c r="E75" s="505">
        <f>C75</f>
        <v>3.5714285714285716</v>
      </c>
      <c r="F75" s="503" t="s">
        <v>66</v>
      </c>
      <c r="G75" s="538">
        <f>E75/1</f>
        <v>3.5714285714285716</v>
      </c>
      <c r="H75" s="1282">
        <v>0</v>
      </c>
      <c r="I75" s="1216">
        <v>0</v>
      </c>
      <c r="J75" s="1250">
        <f>H75-I75</f>
        <v>0</v>
      </c>
      <c r="K75" s="1037">
        <f>IF(AND(H75=0,I75=1)," 1",(H75-I75))</f>
        <v>0</v>
      </c>
      <c r="L75" s="1100">
        <f>I75+K75</f>
        <v>0</v>
      </c>
      <c r="M75" s="896" t="str">
        <f>IF(H75=0,"0%",J75/K75)</f>
        <v>0%</v>
      </c>
      <c r="N75" s="1083">
        <f>((G75/C75)*M75)</f>
        <v>0</v>
      </c>
      <c r="O75" s="954">
        <f>IF(((G75/C75)*M75)&gt;=1,3.571428,IF(((G75/C75)*M75)&lt;=0,0,((G75/C75)*M75)*3.571428))</f>
        <v>0</v>
      </c>
      <c r="P75" s="845">
        <f t="shared" si="28"/>
        <v>0</v>
      </c>
      <c r="Q75" s="1102" t="s">
        <v>95</v>
      </c>
      <c r="R75" s="357" t="s">
        <v>433</v>
      </c>
      <c r="S75" s="97"/>
    </row>
    <row r="76" spans="1:19" ht="20.45" customHeight="1" thickBot="1" x14ac:dyDescent="0.5">
      <c r="B76" s="746" t="s">
        <v>67</v>
      </c>
      <c r="C76" s="747"/>
      <c r="D76" s="747"/>
      <c r="E76" s="747"/>
      <c r="F76" s="748"/>
      <c r="G76" s="507"/>
      <c r="H76" s="1103"/>
      <c r="I76" s="1104"/>
      <c r="J76" s="1283"/>
      <c r="K76" s="1105"/>
      <c r="L76" s="1105"/>
      <c r="M76" s="1106"/>
      <c r="N76" s="843">
        <f t="shared" ref="N76:O77" si="31">N77</f>
        <v>0.84558823529411764</v>
      </c>
      <c r="O76" s="844">
        <f t="shared" si="31"/>
        <v>3.0199574999999999</v>
      </c>
      <c r="P76" s="845">
        <f t="shared" si="28"/>
        <v>0.84558823529411764</v>
      </c>
      <c r="Q76" s="1107"/>
      <c r="R76" s="205"/>
      <c r="S76" s="205"/>
    </row>
    <row r="77" spans="1:19" ht="20.45" customHeight="1" thickBot="1" x14ac:dyDescent="0.5">
      <c r="B77" s="712" t="s">
        <v>68</v>
      </c>
      <c r="C77" s="713"/>
      <c r="D77" s="713"/>
      <c r="E77" s="713"/>
      <c r="F77" s="714"/>
      <c r="G77" s="449"/>
      <c r="H77" s="1003"/>
      <c r="I77" s="1004"/>
      <c r="J77" s="1203"/>
      <c r="K77" s="930"/>
      <c r="L77" s="930"/>
      <c r="M77" s="911"/>
      <c r="N77" s="843">
        <f t="shared" si="31"/>
        <v>0.84558823529411764</v>
      </c>
      <c r="O77" s="844">
        <f t="shared" si="31"/>
        <v>3.0199574999999999</v>
      </c>
      <c r="P77" s="845">
        <f t="shared" si="28"/>
        <v>0.84558823529411764</v>
      </c>
      <c r="Q77" s="1041"/>
      <c r="R77" s="199"/>
      <c r="S77" s="199"/>
    </row>
    <row r="78" spans="1:19" ht="47.65" thickBot="1" x14ac:dyDescent="0.5">
      <c r="A78" s="22">
        <v>21</v>
      </c>
      <c r="B78" s="501" t="s">
        <v>69</v>
      </c>
      <c r="C78" s="505">
        <f>M5</f>
        <v>3.5714285714285716</v>
      </c>
      <c r="D78" s="508" t="s">
        <v>141</v>
      </c>
      <c r="E78" s="505">
        <f>C78</f>
        <v>3.5714285714285716</v>
      </c>
      <c r="F78" s="508" t="s">
        <v>70</v>
      </c>
      <c r="G78" s="492">
        <f>E78/1</f>
        <v>3.5714285714285716</v>
      </c>
      <c r="H78" s="965">
        <v>46</v>
      </c>
      <c r="I78" s="1216">
        <v>46</v>
      </c>
      <c r="J78" s="1274">
        <f>IF(I78=H78,(H78-60),H78-I78)</f>
        <v>-14</v>
      </c>
      <c r="K78" s="968">
        <f>IF(I78&gt;=60,0,((60-I78)*(6/10)))</f>
        <v>8.4</v>
      </c>
      <c r="L78" s="1082">
        <f t="shared" ref="L78" si="32">K78+I78</f>
        <v>54.4</v>
      </c>
      <c r="M78" s="952">
        <f>IF(I78&gt;=60,(1+(H78-60)/60),(H78/L78))</f>
        <v>0.84558823529411764</v>
      </c>
      <c r="N78" s="1083">
        <f>((G78/C78)*M78)</f>
        <v>0.84558823529411764</v>
      </c>
      <c r="O78" s="954">
        <f>IF(((G78/C78)*M78)&gt;=1,3.571428,IF(((G78/C78)*M78)&lt;=0,0,((G78/C78)*M78)*3.571428))</f>
        <v>3.0199574999999999</v>
      </c>
      <c r="P78" s="845">
        <f t="shared" si="28"/>
        <v>0.84558823529411764</v>
      </c>
      <c r="Q78" s="1108" t="s">
        <v>95</v>
      </c>
      <c r="R78" s="211" t="s">
        <v>384</v>
      </c>
      <c r="S78" s="358" t="s">
        <v>434</v>
      </c>
    </row>
    <row r="79" spans="1:19" ht="21.6" customHeight="1" thickBot="1" x14ac:dyDescent="0.5">
      <c r="B79" s="737" t="s">
        <v>71</v>
      </c>
      <c r="C79" s="738"/>
      <c r="D79" s="738"/>
      <c r="E79" s="738"/>
      <c r="F79" s="739"/>
      <c r="G79" s="507"/>
      <c r="H79" s="1103"/>
      <c r="I79" s="1104"/>
      <c r="J79" s="1284"/>
      <c r="K79" s="1109"/>
      <c r="L79" s="1109"/>
      <c r="M79" s="1106"/>
      <c r="N79" s="843">
        <f>(N80+N86)/2</f>
        <v>7.4045255689107164E-2</v>
      </c>
      <c r="O79" s="844">
        <f>(O80+O86)</f>
        <v>3.5714800000000002</v>
      </c>
      <c r="P79" s="845">
        <f>O79/10.714284</f>
        <v>0.33333818666744325</v>
      </c>
      <c r="Q79" s="1107"/>
      <c r="R79" s="205"/>
      <c r="S79" s="339"/>
    </row>
    <row r="80" spans="1:19" ht="20.45" customHeight="1" thickBot="1" x14ac:dyDescent="0.5">
      <c r="B80" s="778" t="s">
        <v>72</v>
      </c>
      <c r="C80" s="779"/>
      <c r="D80" s="779"/>
      <c r="E80" s="779"/>
      <c r="F80" s="780"/>
      <c r="G80" s="479"/>
      <c r="H80" s="1110"/>
      <c r="I80" s="1111"/>
      <c r="J80" s="910"/>
      <c r="K80" s="910"/>
      <c r="L80" s="910"/>
      <c r="M80" s="1040"/>
      <c r="N80" s="843">
        <f>(N81+N83)/2</f>
        <v>0.46896793642230611</v>
      </c>
      <c r="O80" s="844">
        <f>(O81+O83)</f>
        <v>3.5714800000000002</v>
      </c>
      <c r="P80" s="845">
        <f>O80/7.142856</f>
        <v>0.50000728000116479</v>
      </c>
      <c r="Q80" s="1112"/>
      <c r="R80" s="190"/>
      <c r="S80" s="190"/>
    </row>
    <row r="81" spans="1:19" ht="46.5" x14ac:dyDescent="0.45">
      <c r="A81" s="22"/>
      <c r="B81" s="813" t="s">
        <v>73</v>
      </c>
      <c r="C81" s="785">
        <f>M5</f>
        <v>3.5714285714285716</v>
      </c>
      <c r="D81" s="440" t="s">
        <v>267</v>
      </c>
      <c r="E81" s="441">
        <f>$C$81/2</f>
        <v>1.7857142857142858</v>
      </c>
      <c r="F81" s="480" t="s">
        <v>278</v>
      </c>
      <c r="G81" s="411">
        <f>E81/1</f>
        <v>1.7857142857142858</v>
      </c>
      <c r="H81" s="912">
        <v>81</v>
      </c>
      <c r="I81" s="913">
        <v>50.3</v>
      </c>
      <c r="J81" s="1009">
        <f>IF(I81=H81,(H81-50),H81-I81)</f>
        <v>30.700000000000003</v>
      </c>
      <c r="K81" s="886">
        <f>IF(I81&gt;=50,0,((50-I81)*(6/10)))</f>
        <v>0</v>
      </c>
      <c r="L81" s="1113">
        <f>I81+K81</f>
        <v>50.3</v>
      </c>
      <c r="M81" s="855">
        <f>IF(I81&gt;=50,(1+(H81-50)/50),(J81/K81))</f>
        <v>1.62</v>
      </c>
      <c r="N81" s="1268">
        <f>(((G81/C81)*M81)+((G82/C81)*M82))</f>
        <v>1.0105597014925374</v>
      </c>
      <c r="O81" s="857">
        <f>IF((((G81/C81)*M81)+((G82/C81)*M82))&gt;=1,3.57148,IF((((G81/C81)*M81)+((G82/C81)*M82))&lt;=0,0, (((G81/C81)*M81)+((G82/C81)*M82))*3.571428))</f>
        <v>3.5714800000000002</v>
      </c>
      <c r="P81" s="858">
        <f>O81/3.571428</f>
        <v>1.0000145600023296</v>
      </c>
      <c r="Q81" s="1114" t="s">
        <v>279</v>
      </c>
      <c r="R81" s="317" t="s">
        <v>385</v>
      </c>
      <c r="S81" s="60"/>
    </row>
    <row r="82" spans="1:19" ht="39.6" customHeight="1" thickBot="1" x14ac:dyDescent="0.5">
      <c r="A82" s="22"/>
      <c r="B82" s="814"/>
      <c r="C82" s="815"/>
      <c r="D82" s="450" t="s">
        <v>268</v>
      </c>
      <c r="E82" s="451">
        <f>$C$81/2</f>
        <v>1.7857142857142858</v>
      </c>
      <c r="F82" s="452" t="s">
        <v>74</v>
      </c>
      <c r="G82" s="419">
        <f>E82/1</f>
        <v>1.7857142857142858</v>
      </c>
      <c r="H82" s="1285">
        <v>8.6</v>
      </c>
      <c r="I82" s="1286">
        <v>8.6</v>
      </c>
      <c r="J82" s="1115">
        <f>IF(I82=H82,(H82-30),H82-I82)</f>
        <v>-21.4</v>
      </c>
      <c r="K82" s="904">
        <f>IF(I82&gt;=30,0,((30-I82)*(6/10)))</f>
        <v>12.839999999999998</v>
      </c>
      <c r="L82" s="1116">
        <f t="shared" ref="L82" si="33">K82+I82</f>
        <v>21.439999999999998</v>
      </c>
      <c r="M82" s="881">
        <f>IF(I82&gt;=30,(1+(H82-30)/30),(H82/L82))</f>
        <v>0.40111940298507465</v>
      </c>
      <c r="N82" s="1270"/>
      <c r="O82" s="867"/>
      <c r="P82" s="1190"/>
      <c r="Q82" s="1117" t="s">
        <v>282</v>
      </c>
      <c r="R82" s="169" t="s">
        <v>386</v>
      </c>
      <c r="S82" s="57" t="s">
        <v>387</v>
      </c>
    </row>
    <row r="83" spans="1:19" ht="60" customHeight="1" x14ac:dyDescent="0.45">
      <c r="A83" s="22"/>
      <c r="B83" s="716" t="s">
        <v>142</v>
      </c>
      <c r="C83" s="752">
        <f>M5</f>
        <v>3.5714285714285716</v>
      </c>
      <c r="D83" s="511" t="s">
        <v>145</v>
      </c>
      <c r="E83" s="441">
        <f>$C$81/3</f>
        <v>1.1904761904761905</v>
      </c>
      <c r="F83" s="440" t="s">
        <v>143</v>
      </c>
      <c r="G83" s="441">
        <f>E83/1</f>
        <v>1.1904761904761905</v>
      </c>
      <c r="H83" s="1287">
        <v>0.86</v>
      </c>
      <c r="I83" s="933">
        <v>0.83</v>
      </c>
      <c r="J83" s="1119">
        <f>I83-H83</f>
        <v>-3.0000000000000027E-2</v>
      </c>
      <c r="K83" s="994">
        <f>(0.2*I83)*(6/10)</f>
        <v>9.9600000000000008E-2</v>
      </c>
      <c r="L83" s="1120">
        <f>I83-K83</f>
        <v>0.73039999999999994</v>
      </c>
      <c r="M83" s="855">
        <f>IF(K83&lt;&gt;0,J83/K83,"0%")</f>
        <v>-0.30120481927710868</v>
      </c>
      <c r="N83" s="1288">
        <f>(((G83/C83)*M83)+((G84/C83)*M84)+((G85/C83)*M85))</f>
        <v>-7.2623828647925118E-2</v>
      </c>
      <c r="O83" s="889">
        <f>IF((((G83/C83)*M83)+((G84/C83)*M84)+((G85/C83)*M85))&gt;=1,3.571428,IF((((G83/C83)*M83)+((G84/C83)*M84)+((G85/C83)*M85))&lt;=0,0,(((G83/C83)*M83)+((G84/C83)*M84)+((G85/C83)*M85))*3.571428))</f>
        <v>0</v>
      </c>
      <c r="P83" s="858">
        <f>O83/3.571428</f>
        <v>0</v>
      </c>
      <c r="Q83" s="1122" t="s">
        <v>184</v>
      </c>
      <c r="R83" s="157" t="s">
        <v>388</v>
      </c>
      <c r="S83" s="184" t="s">
        <v>389</v>
      </c>
    </row>
    <row r="84" spans="1:19" ht="45" customHeight="1" x14ac:dyDescent="0.45">
      <c r="A84" s="22"/>
      <c r="B84" s="716"/>
      <c r="C84" s="822"/>
      <c r="D84" s="512" t="s">
        <v>146</v>
      </c>
      <c r="E84" s="444">
        <f t="shared" ref="E84:E85" si="34">$C$81/3</f>
        <v>1.1904761904761905</v>
      </c>
      <c r="F84" s="483" t="s">
        <v>283</v>
      </c>
      <c r="G84" s="444">
        <f>E84/1</f>
        <v>1.1904761904761905</v>
      </c>
      <c r="H84" s="1224">
        <v>24</v>
      </c>
      <c r="I84" s="1201">
        <v>24</v>
      </c>
      <c r="J84" s="1124">
        <f>I84-H84</f>
        <v>0</v>
      </c>
      <c r="K84" s="994">
        <f>(0.5*I84)*(6/10)</f>
        <v>7.1999999999999993</v>
      </c>
      <c r="L84" s="1125">
        <f>I84-K84</f>
        <v>16.8</v>
      </c>
      <c r="M84" s="865">
        <f>IF(H84&lt;=0,100%, IF(K84&lt;&gt;0,J84/K84,"0%"))</f>
        <v>0</v>
      </c>
      <c r="N84" s="1289"/>
      <c r="O84" s="898"/>
      <c r="P84" s="1195"/>
      <c r="Q84" s="1127" t="s">
        <v>185</v>
      </c>
      <c r="R84" s="117" t="s">
        <v>390</v>
      </c>
      <c r="S84" s="118"/>
    </row>
    <row r="85" spans="1:19" ht="38.450000000000003" customHeight="1" thickBot="1" x14ac:dyDescent="0.5">
      <c r="A85" s="22"/>
      <c r="B85" s="717"/>
      <c r="C85" s="823"/>
      <c r="D85" s="513" t="s">
        <v>147</v>
      </c>
      <c r="E85" s="451">
        <f t="shared" si="34"/>
        <v>1.1904761904761905</v>
      </c>
      <c r="F85" s="452" t="s">
        <v>144</v>
      </c>
      <c r="G85" s="451">
        <f>E85/1</f>
        <v>1.1904761904761905</v>
      </c>
      <c r="H85" s="1128">
        <v>62</v>
      </c>
      <c r="I85" s="926">
        <v>60</v>
      </c>
      <c r="J85" s="1129">
        <f>H85-I85</f>
        <v>2</v>
      </c>
      <c r="K85" s="1130">
        <f>(100-I85)*(6/10)</f>
        <v>24</v>
      </c>
      <c r="L85" s="1131">
        <f>I85+K85</f>
        <v>84</v>
      </c>
      <c r="M85" s="865">
        <f>IF(H85&gt;=100,167%, IF(K85&lt;&gt;0,J85/K85,"0%"))</f>
        <v>8.3333333333333329E-2</v>
      </c>
      <c r="N85" s="1290"/>
      <c r="O85" s="906"/>
      <c r="P85" s="1190"/>
      <c r="Q85" s="1133" t="s">
        <v>284</v>
      </c>
      <c r="R85" s="171" t="s">
        <v>386</v>
      </c>
      <c r="S85" s="172" t="s">
        <v>391</v>
      </c>
    </row>
    <row r="86" spans="1:19" ht="20.45" customHeight="1" thickBot="1" x14ac:dyDescent="0.5">
      <c r="B86" s="816" t="s">
        <v>75</v>
      </c>
      <c r="C86" s="817"/>
      <c r="D86" s="817"/>
      <c r="E86" s="817"/>
      <c r="F86" s="818"/>
      <c r="G86" s="494"/>
      <c r="H86" s="1134"/>
      <c r="I86" s="1135"/>
      <c r="J86" s="1291"/>
      <c r="K86" s="1136"/>
      <c r="L86" s="1136"/>
      <c r="M86" s="1040"/>
      <c r="N86" s="843">
        <f>N87</f>
        <v>-0.32087742504409178</v>
      </c>
      <c r="O86" s="844">
        <f>O87</f>
        <v>0</v>
      </c>
      <c r="P86" s="845">
        <f>O86/3.571428</f>
        <v>0</v>
      </c>
      <c r="Q86" s="1005"/>
      <c r="R86" s="199"/>
      <c r="S86" s="199"/>
    </row>
    <row r="87" spans="1:19" ht="27.6" customHeight="1" x14ac:dyDescent="0.45">
      <c r="A87" s="703">
        <v>24</v>
      </c>
      <c r="B87" s="750" t="s">
        <v>76</v>
      </c>
      <c r="C87" s="819">
        <f>M5</f>
        <v>3.5714285714285716</v>
      </c>
      <c r="D87" s="462" t="s">
        <v>159</v>
      </c>
      <c r="E87" s="463">
        <f>($C$87/3)</f>
        <v>1.1904761904761905</v>
      </c>
      <c r="F87" s="515" t="s">
        <v>285</v>
      </c>
      <c r="G87" s="516">
        <f>E87/1</f>
        <v>1.1904761904761905</v>
      </c>
      <c r="H87" s="1154">
        <v>47</v>
      </c>
      <c r="I87" s="1155">
        <v>38.4</v>
      </c>
      <c r="J87" s="1292">
        <f>I87-H87</f>
        <v>-8.6000000000000014</v>
      </c>
      <c r="K87" s="1139">
        <f>(0.25*I87)*(6/10)</f>
        <v>5.76</v>
      </c>
      <c r="L87" s="1140">
        <f>I87-K87</f>
        <v>32.64</v>
      </c>
      <c r="M87" s="855">
        <f>IF(K87&lt;&gt;0,J87/K87,"0%")</f>
        <v>-1.4930555555555558</v>
      </c>
      <c r="N87" s="1194">
        <f>(((G87/C87)*M87)+((G88/C87)*M88)+((G89/C87)*M89)+((G90/C87)*M90)+((G91/C87)*M91))</f>
        <v>-0.32087742504409178</v>
      </c>
      <c r="O87" s="889">
        <f>IF((((G87/C87)*M87)+((G88/C87)*M88)+((G89/C87)*M89)+((G90/C87)*M90)+((G91/C87)*M91))&gt;=1,3.571428,IF((((G87/C87)*M87)+((G88/C87)*M88)+((G89/C87)*M89)+((G90/C87)*M90)+((G91/C87)*M91))&lt;=0,0,((((G87/C87)*M87)+((G88/C87)*M88)+((G89/C87)*M89)+((G90/C87)*M90)+((G91/C87)*M91))*3.571428)))</f>
        <v>0</v>
      </c>
      <c r="P87" s="858">
        <f>O87/3.571428</f>
        <v>0</v>
      </c>
      <c r="Q87" s="1141" t="s">
        <v>186</v>
      </c>
      <c r="R87" s="119" t="s">
        <v>435</v>
      </c>
      <c r="S87" s="173" t="s">
        <v>436</v>
      </c>
    </row>
    <row r="88" spans="1:19" ht="25.8" customHeight="1" x14ac:dyDescent="0.45">
      <c r="A88" s="703"/>
      <c r="B88" s="750"/>
      <c r="C88" s="820"/>
      <c r="D88" s="824" t="s">
        <v>160</v>
      </c>
      <c r="E88" s="825">
        <f>C87/3</f>
        <v>1.1904761904761905</v>
      </c>
      <c r="F88" s="445" t="s">
        <v>77</v>
      </c>
      <c r="G88" s="517">
        <f>$E$88/3</f>
        <v>0.3968253968253968</v>
      </c>
      <c r="H88" s="891"/>
      <c r="I88" s="1293">
        <v>55.8</v>
      </c>
      <c r="J88" s="1294">
        <f>I88-H88</f>
        <v>55.8</v>
      </c>
      <c r="K88" s="1142">
        <f>I88*(6/10)</f>
        <v>33.479999999999997</v>
      </c>
      <c r="L88" s="1143">
        <f>I88-K88</f>
        <v>22.32</v>
      </c>
      <c r="M88" s="896" t="str">
        <f>IF(H88=0,"0%",J88/K88)</f>
        <v>0%</v>
      </c>
      <c r="N88" s="1206"/>
      <c r="O88" s="898"/>
      <c r="P88" s="1195"/>
      <c r="Q88" s="1144" t="s">
        <v>187</v>
      </c>
      <c r="R88" s="120" t="s">
        <v>437</v>
      </c>
      <c r="S88" s="347" t="s">
        <v>438</v>
      </c>
    </row>
    <row r="89" spans="1:19" ht="59.65" customHeight="1" x14ac:dyDescent="0.45">
      <c r="A89" s="703"/>
      <c r="B89" s="750"/>
      <c r="C89" s="820"/>
      <c r="D89" s="824"/>
      <c r="E89" s="825"/>
      <c r="F89" s="445" t="s">
        <v>78</v>
      </c>
      <c r="G89" s="517">
        <f>$E$88/3</f>
        <v>0.3968253968253968</v>
      </c>
      <c r="H89" s="1295">
        <v>67</v>
      </c>
      <c r="I89" s="1293">
        <v>60</v>
      </c>
      <c r="J89" s="1294">
        <f>I89-H89</f>
        <v>-7</v>
      </c>
      <c r="K89" s="1142">
        <f>I89*(6/10)</f>
        <v>36</v>
      </c>
      <c r="L89" s="1143">
        <f>I89-K89</f>
        <v>24</v>
      </c>
      <c r="M89" s="896">
        <f>IF(K89&lt;&gt;0,J89/K89,"0%")</f>
        <v>-0.19444444444444445</v>
      </c>
      <c r="N89" s="1206"/>
      <c r="O89" s="898"/>
      <c r="P89" s="1195"/>
      <c r="Q89" s="1144" t="s">
        <v>188</v>
      </c>
      <c r="R89" s="120" t="s">
        <v>439</v>
      </c>
      <c r="S89" s="118" t="s">
        <v>440</v>
      </c>
    </row>
    <row r="90" spans="1:19" ht="26.45" customHeight="1" x14ac:dyDescent="0.45">
      <c r="A90" s="703"/>
      <c r="B90" s="750"/>
      <c r="C90" s="820"/>
      <c r="D90" s="824"/>
      <c r="E90" s="825"/>
      <c r="F90" s="445" t="s">
        <v>79</v>
      </c>
      <c r="G90" s="517">
        <f>$E$88/3</f>
        <v>0.3968253968253968</v>
      </c>
      <c r="H90" s="891">
        <v>4</v>
      </c>
      <c r="I90" s="892">
        <v>7</v>
      </c>
      <c r="J90" s="1294">
        <f>I90-H90</f>
        <v>3</v>
      </c>
      <c r="K90" s="1147">
        <f>(I90)*(6/10)</f>
        <v>4.2</v>
      </c>
      <c r="L90" s="1148">
        <f>I90-K90</f>
        <v>2.8</v>
      </c>
      <c r="M90" s="896">
        <f>IF(K90&lt;&gt;0,J90/K90,"100%")</f>
        <v>0.7142857142857143</v>
      </c>
      <c r="N90" s="1206"/>
      <c r="O90" s="898"/>
      <c r="P90" s="1195"/>
      <c r="Q90" s="1149" t="s">
        <v>189</v>
      </c>
      <c r="R90" s="120"/>
      <c r="S90" s="118"/>
    </row>
    <row r="91" spans="1:19" ht="40.799999999999997" customHeight="1" thickBot="1" x14ac:dyDescent="0.5">
      <c r="A91" s="703"/>
      <c r="B91" s="751"/>
      <c r="C91" s="821"/>
      <c r="D91" s="437" t="s">
        <v>161</v>
      </c>
      <c r="E91" s="451">
        <f>$C$87/3</f>
        <v>1.1904761904761905</v>
      </c>
      <c r="F91" s="518" t="s">
        <v>80</v>
      </c>
      <c r="G91" s="519">
        <f>E91/1</f>
        <v>1.1904761904761905</v>
      </c>
      <c r="H91" s="1150">
        <v>25</v>
      </c>
      <c r="I91" s="902">
        <v>25</v>
      </c>
      <c r="J91" s="1296">
        <f>H91-I91</f>
        <v>0</v>
      </c>
      <c r="K91" s="1130">
        <f>(100-I91)*(6/10)</f>
        <v>45</v>
      </c>
      <c r="L91" s="1151">
        <f>I91+K91</f>
        <v>70</v>
      </c>
      <c r="M91" s="881">
        <f>IF(I91&gt;=60,(1+(H91-60)/60),(H91/L91))</f>
        <v>0.35714285714285715</v>
      </c>
      <c r="N91" s="1208"/>
      <c r="O91" s="906"/>
      <c r="P91" s="1190"/>
      <c r="Q91" s="1152" t="s">
        <v>95</v>
      </c>
      <c r="R91" s="121"/>
      <c r="S91" s="180" t="s">
        <v>441</v>
      </c>
    </row>
    <row r="92" spans="1:19" ht="14.65" thickBot="1" x14ac:dyDescent="0.5">
      <c r="B92" s="579" t="s">
        <v>81</v>
      </c>
      <c r="C92" s="580"/>
      <c r="D92" s="580"/>
      <c r="E92" s="580"/>
      <c r="F92" s="581"/>
      <c r="G92" s="11"/>
      <c r="H92" s="1103"/>
      <c r="I92" s="1104"/>
      <c r="J92" s="1283"/>
      <c r="K92" s="1105"/>
      <c r="L92" s="1105"/>
      <c r="M92" s="1153"/>
      <c r="N92" s="843">
        <f>(N93+N97)/2</f>
        <v>7.3976919138209474E-2</v>
      </c>
      <c r="O92" s="844">
        <f>(O93+O97)</f>
        <v>3.3333328</v>
      </c>
      <c r="P92" s="845">
        <f>O92/14.285712</f>
        <v>0.23333333333333334</v>
      </c>
      <c r="Q92" s="1019"/>
      <c r="R92" s="198"/>
      <c r="S92" s="205"/>
    </row>
    <row r="93" spans="1:19" ht="20.45" customHeight="1" thickBot="1" x14ac:dyDescent="0.5">
      <c r="B93" s="778" t="s">
        <v>82</v>
      </c>
      <c r="C93" s="779"/>
      <c r="D93" s="779"/>
      <c r="E93" s="779"/>
      <c r="F93" s="780"/>
      <c r="G93" s="449"/>
      <c r="H93" s="1003"/>
      <c r="I93" s="1004"/>
      <c r="J93" s="930"/>
      <c r="K93" s="930"/>
      <c r="L93" s="930"/>
      <c r="M93" s="1040"/>
      <c r="N93" s="843">
        <f>N94</f>
        <v>0.93333333333333335</v>
      </c>
      <c r="O93" s="844">
        <f>O94</f>
        <v>3.3333328</v>
      </c>
      <c r="P93" s="845">
        <f>O93/3.571428</f>
        <v>0.93333333333333335</v>
      </c>
      <c r="Q93" s="1006"/>
      <c r="R93" s="190"/>
      <c r="S93" s="199"/>
    </row>
    <row r="94" spans="1:19" ht="34.799999999999997" customHeight="1" x14ac:dyDescent="0.45">
      <c r="A94" s="769">
        <v>25</v>
      </c>
      <c r="B94" s="781" t="s">
        <v>83</v>
      </c>
      <c r="C94" s="826">
        <f>M5</f>
        <v>3.5714285714285716</v>
      </c>
      <c r="D94" s="800" t="s">
        <v>214</v>
      </c>
      <c r="E94" s="467">
        <f>$C$94/3</f>
        <v>1.1904761904761905</v>
      </c>
      <c r="F94" s="440" t="s">
        <v>269</v>
      </c>
      <c r="G94" s="520">
        <f>E94/1</f>
        <v>1.1904761904761905</v>
      </c>
      <c r="H94" s="1154">
        <v>100</v>
      </c>
      <c r="I94" s="1297">
        <v>0</v>
      </c>
      <c r="J94" s="1298">
        <f>H94-I94</f>
        <v>100</v>
      </c>
      <c r="K94" s="1157">
        <f>(100-I94)*(6/10)</f>
        <v>60</v>
      </c>
      <c r="L94" s="1158">
        <f>I94+K94</f>
        <v>60</v>
      </c>
      <c r="M94" s="855">
        <f>IF(K94&lt;&gt;0,J94/K94,"100%")</f>
        <v>1.6666666666666667</v>
      </c>
      <c r="N94" s="1268">
        <f>(((G94/C94)*M94)+((G95/C94)*M95)+((G96/C94)*M96))</f>
        <v>0.93333333333333335</v>
      </c>
      <c r="O94" s="889">
        <f>IF((((G94/C94)*M94)+((G95/C94)*M95)+((G96/C94)*M96))&gt;=1,3.571428,IF((((G94/C94)*M94)+((G95/C94)*M95)+((G96/C94)*M96))&lt;=0,0,(((G94/C94)*M94)+((G95/C94)*M95)+((G96/C94)*M96))*3.571428))</f>
        <v>3.3333328</v>
      </c>
      <c r="P94" s="858">
        <f>O94/3.571428</f>
        <v>0.93333333333333335</v>
      </c>
      <c r="Q94" s="1159" t="s">
        <v>190</v>
      </c>
      <c r="R94" s="174"/>
      <c r="S94" s="179" t="s">
        <v>442</v>
      </c>
    </row>
    <row r="95" spans="1:19" ht="39.6" customHeight="1" thickBot="1" x14ac:dyDescent="0.5">
      <c r="A95" s="769"/>
      <c r="B95" s="782"/>
      <c r="C95" s="827"/>
      <c r="D95" s="794"/>
      <c r="E95" s="521">
        <f t="shared" ref="E95:E96" si="35">$C$94/3</f>
        <v>1.1904761904761905</v>
      </c>
      <c r="F95" s="483" t="s">
        <v>270</v>
      </c>
      <c r="G95" s="517">
        <f>E95/1</f>
        <v>1.1904761904761905</v>
      </c>
      <c r="H95" s="1199">
        <v>0.08</v>
      </c>
      <c r="I95" s="1299">
        <v>0</v>
      </c>
      <c r="J95" s="1294">
        <f>IF(AND(I95&gt;1,(H95-I95=0)),(H95-1),(H95-I95))</f>
        <v>0.08</v>
      </c>
      <c r="K95" s="983">
        <f>IF(AND(I95&gt;=1,H95&gt;=1),"0",((1-I95)*(6/10)))</f>
        <v>0.6</v>
      </c>
      <c r="L95" s="1160">
        <f t="shared" ref="L95:L96" si="36">I95+K95</f>
        <v>0.6</v>
      </c>
      <c r="M95" s="896">
        <f>IF(I95&gt;=1,(1+(H95-1)/1),(J95/K95))</f>
        <v>0.13333333333333333</v>
      </c>
      <c r="N95" s="1269"/>
      <c r="O95" s="898"/>
      <c r="P95" s="1195"/>
      <c r="Q95" s="1161" t="s">
        <v>191</v>
      </c>
      <c r="R95" s="177"/>
      <c r="S95" s="275"/>
    </row>
    <row r="96" spans="1:19" ht="41.45" customHeight="1" thickBot="1" x14ac:dyDescent="0.5">
      <c r="A96" s="769"/>
      <c r="B96" s="806"/>
      <c r="C96" s="828"/>
      <c r="D96" s="801"/>
      <c r="E96" s="468">
        <f t="shared" si="35"/>
        <v>1.1904761904761905</v>
      </c>
      <c r="F96" s="450" t="s">
        <v>84</v>
      </c>
      <c r="G96" s="519">
        <f>E96/1</f>
        <v>1.1904761904761905</v>
      </c>
      <c r="H96" s="1128">
        <v>100</v>
      </c>
      <c r="I96" s="1300">
        <v>100</v>
      </c>
      <c r="J96" s="1296">
        <f>H96-I96</f>
        <v>0</v>
      </c>
      <c r="K96" s="1130">
        <f>(100-I96)*(6/10)</f>
        <v>0</v>
      </c>
      <c r="L96" s="1151">
        <f t="shared" si="36"/>
        <v>100</v>
      </c>
      <c r="M96" s="881" t="str">
        <f>IF(K96&lt;&gt;0,J96/K96,"100%")</f>
        <v>100%</v>
      </c>
      <c r="N96" s="1270"/>
      <c r="O96" s="906"/>
      <c r="P96" s="1190"/>
      <c r="Q96" s="1162" t="s">
        <v>95</v>
      </c>
      <c r="R96" s="176" t="s">
        <v>392</v>
      </c>
      <c r="S96" s="179" t="s">
        <v>443</v>
      </c>
    </row>
    <row r="97" spans="1:19" ht="18" customHeight="1" thickBot="1" x14ac:dyDescent="0.5">
      <c r="B97" s="829" t="s">
        <v>85</v>
      </c>
      <c r="C97" s="830"/>
      <c r="D97" s="830"/>
      <c r="E97" s="830"/>
      <c r="F97" s="831"/>
      <c r="G97" s="522"/>
      <c r="H97" s="1163"/>
      <c r="I97" s="1164"/>
      <c r="J97" s="1163"/>
      <c r="K97" s="1165"/>
      <c r="L97" s="1165"/>
      <c r="M97" s="1166"/>
      <c r="N97" s="1167">
        <f>(N98+N99+N100)/3</f>
        <v>-0.7853794950569144</v>
      </c>
      <c r="O97" s="1168">
        <f>(O98+O99+O100)</f>
        <v>0</v>
      </c>
      <c r="P97" s="845">
        <f>O97/10.714284</f>
        <v>0</v>
      </c>
      <c r="Q97" s="1164"/>
      <c r="R97" s="190"/>
      <c r="S97" s="190"/>
    </row>
    <row r="98" spans="1:19" ht="29.45" customHeight="1" thickBot="1" x14ac:dyDescent="0.5">
      <c r="A98" s="22">
        <v>26</v>
      </c>
      <c r="B98" s="453" t="s">
        <v>86</v>
      </c>
      <c r="C98" s="454">
        <f>$M$5</f>
        <v>3.5714285714285716</v>
      </c>
      <c r="D98" s="453" t="s">
        <v>215</v>
      </c>
      <c r="E98" s="454">
        <f>C98/1</f>
        <v>3.5714285714285716</v>
      </c>
      <c r="F98" s="495" t="s">
        <v>291</v>
      </c>
      <c r="G98" s="454">
        <f>E98/1</f>
        <v>3.5714285714285716</v>
      </c>
      <c r="H98" s="1301"/>
      <c r="I98" s="966"/>
      <c r="J98" s="1302">
        <f>IF(I98=H98,(H98-10),H98-I98)</f>
        <v>-10</v>
      </c>
      <c r="K98" s="968">
        <f>IF(I98&gt;=10,0,((10-I98)*(6/10)))</f>
        <v>6</v>
      </c>
      <c r="L98" s="1082">
        <f>I98+K98</f>
        <v>6</v>
      </c>
      <c r="M98" s="896" t="str">
        <f>IF(H98=0,"0%",J98/K98)</f>
        <v>0%</v>
      </c>
      <c r="N98" s="1083">
        <f>((G98/C98)*M98)</f>
        <v>0</v>
      </c>
      <c r="O98" s="954">
        <f>IF(((G98/C98)*M98)&gt;=1,3.571428,IF(((G98/C98)*M98)&lt;=0,0,((G98/C98)*M98)*3.571428))</f>
        <v>0</v>
      </c>
      <c r="P98" s="845">
        <f>O98/3.571428</f>
        <v>0</v>
      </c>
      <c r="Q98" s="1169" t="s">
        <v>95</v>
      </c>
      <c r="R98" s="207"/>
      <c r="S98" s="275" t="s">
        <v>415</v>
      </c>
    </row>
    <row r="99" spans="1:19" ht="35.25" thickBot="1" x14ac:dyDescent="0.5">
      <c r="A99" s="22">
        <v>27</v>
      </c>
      <c r="B99" s="453" t="s">
        <v>87</v>
      </c>
      <c r="C99" s="454">
        <f>$M$5</f>
        <v>3.5714285714285716</v>
      </c>
      <c r="D99" s="453" t="s">
        <v>216</v>
      </c>
      <c r="E99" s="454">
        <f>C99/1</f>
        <v>3.5714285714285716</v>
      </c>
      <c r="F99" s="495" t="s">
        <v>271</v>
      </c>
      <c r="G99" s="454">
        <f>E99/1</f>
        <v>3.5714285714285716</v>
      </c>
      <c r="H99" s="1303"/>
      <c r="I99" s="1304"/>
      <c r="J99" s="1302">
        <f>IF(I99=H99,(H99-75),H99-I99)</f>
        <v>-75</v>
      </c>
      <c r="K99" s="968">
        <f>IF(I99&gt;=75,0,((75-I99)*(6/10)))</f>
        <v>45</v>
      </c>
      <c r="L99" s="1100">
        <f>I99+K99</f>
        <v>45</v>
      </c>
      <c r="M99" s="896" t="str">
        <f>IF(H99=0,"0%",J99/K99)</f>
        <v>0%</v>
      </c>
      <c r="N99" s="1083">
        <f>((G99/C99)*M99)</f>
        <v>0</v>
      </c>
      <c r="O99" s="954">
        <f>IF(((G99/C99)*M99)&gt;=1,3.571428,IF(((G99/C99)*M99)&lt;=0,0,((G99/C99)*M99)*3.571428))</f>
        <v>0</v>
      </c>
      <c r="P99" s="845">
        <f>O99/3.571428</f>
        <v>0</v>
      </c>
      <c r="Q99" s="1169" t="s">
        <v>192</v>
      </c>
      <c r="R99" s="208"/>
      <c r="S99" s="275" t="s">
        <v>415</v>
      </c>
    </row>
    <row r="100" spans="1:19" ht="30.4" x14ac:dyDescent="0.45">
      <c r="A100" s="769">
        <v>28</v>
      </c>
      <c r="B100" s="832" t="s">
        <v>88</v>
      </c>
      <c r="C100" s="834">
        <f>M5</f>
        <v>3.5714285714285716</v>
      </c>
      <c r="D100" s="832" t="s">
        <v>217</v>
      </c>
      <c r="E100" s="834">
        <f>C100/1</f>
        <v>3.5714285714285716</v>
      </c>
      <c r="F100" s="480" t="s">
        <v>89</v>
      </c>
      <c r="G100" s="441">
        <f>$E$100/2</f>
        <v>1.7857142857142858</v>
      </c>
      <c r="H100" s="1042">
        <v>48.15</v>
      </c>
      <c r="I100" s="1043">
        <v>28.21</v>
      </c>
      <c r="J100" s="1305">
        <f>IF(I100=H100,(25-H100),I100-H100)</f>
        <v>-19.939999999999998</v>
      </c>
      <c r="K100" s="1021">
        <f>IF(I100&lt;=25,0,((0.25*I100)*(6/10)))</f>
        <v>4.2314999999999996</v>
      </c>
      <c r="L100" s="1170">
        <f>I100-K100</f>
        <v>23.9785</v>
      </c>
      <c r="M100" s="855">
        <f>IF(I100&lt;=25,(1+(25-H100)/25),(J100/K100))</f>
        <v>-4.7122769703414864</v>
      </c>
      <c r="N100" s="1306">
        <f>((G100/$C$100)*M100)+((G101/$C$100)*M101)</f>
        <v>-2.3561384851707432</v>
      </c>
      <c r="O100" s="857">
        <f>IF((((G100/C100)*M100)+((G101/C100)*M101))&gt;=1,3.57148,IF((((G100/C100)*M100)+((G101/C100)*M101))&lt;=0,0, (((G100/C100)*M100)+((G101/C100)*M101))*3.571428))</f>
        <v>0</v>
      </c>
      <c r="P100" s="858">
        <f>O100/3.571428</f>
        <v>0</v>
      </c>
      <c r="Q100" s="1172" t="s">
        <v>193</v>
      </c>
      <c r="R100" s="209"/>
      <c r="S100" s="275"/>
    </row>
    <row r="101" spans="1:19" ht="38.450000000000003" customHeight="1" thickBot="1" x14ac:dyDescent="0.5">
      <c r="A101" s="769"/>
      <c r="B101" s="833"/>
      <c r="C101" s="835"/>
      <c r="D101" s="833"/>
      <c r="E101" s="836"/>
      <c r="F101" s="450" t="s">
        <v>90</v>
      </c>
      <c r="G101" s="451">
        <f>$E$100/2</f>
        <v>1.7857142857142858</v>
      </c>
      <c r="H101" s="1238"/>
      <c r="I101" s="1011"/>
      <c r="J101" s="1307">
        <f>IF(I101=H101,(H101-25),H101-I101)</f>
        <v>-25</v>
      </c>
      <c r="K101" s="904">
        <f>IF(I101&gt;=25,0,((25-I101)*(6/10)))</f>
        <v>15</v>
      </c>
      <c r="L101" s="1173">
        <f t="shared" ref="L101" si="37">K101+I101</f>
        <v>15</v>
      </c>
      <c r="M101" s="896" t="str">
        <f>IF(H101=0,"0%",J101/K101)</f>
        <v>0%</v>
      </c>
      <c r="N101" s="1308"/>
      <c r="O101" s="867"/>
      <c r="P101" s="1190"/>
      <c r="Q101" s="1175" t="s">
        <v>95</v>
      </c>
      <c r="R101" s="210"/>
      <c r="S101" s="180" t="s">
        <v>415</v>
      </c>
    </row>
    <row r="102" spans="1:19" ht="34.25" customHeight="1" thickBot="1" x14ac:dyDescent="0.5">
      <c r="B102" s="523" t="s">
        <v>194</v>
      </c>
      <c r="C102" s="524">
        <f>C11+C13+C15+C19+C24+C33+C34+C35+C36+C38+C41+C44+C48+C51+C53+C61+C68+C71+C73+C75+C78+C81+C83+C87+C94+C98+C99+C100</f>
        <v>99.999999999999972</v>
      </c>
      <c r="D102" s="525"/>
      <c r="E102" s="524">
        <f>E11+E12+E13+E14+E15+E19+E20+E21+E22+E24+E25+E28+E31+E33+E34+E35+E36+E38+E39+E41+E42+E44+E45+E48+E49++E51+E53+E54+E55+E56+E57+E61+E62+E63+E64+E68+E71+E73+E75+E78+E81++E82+E83+E84+E85+E87+E88+E91+E94+E95+E96+E98+E99+E100</f>
        <v>100.00714285714285</v>
      </c>
      <c r="F102" s="526"/>
      <c r="G102" s="524">
        <f>G11+G12+G13+G14+G15+G16+G17+G19+G20+G21+G22+G24+G25+G26+G27+G28+G29+G30+G31+G33+G34+G35+G36+G38+G39+G41+G42+G44+G45+G48+G49+G51+G53+G54+G55+G56+G57+G58+G61+G62+G63+G64+G65+G66+G68+G71+G73+G75+G78+G81+G82+G83+G84+G85+G87+G88+G89+G90+G91+G94+G95+G96+G98+G99+G100+G101</f>
        <v>100.00714285714285</v>
      </c>
      <c r="H102" s="1176"/>
      <c r="I102" s="1177"/>
      <c r="J102" s="1176"/>
      <c r="K102" s="1178"/>
      <c r="L102" s="1179"/>
      <c r="M102" s="1180"/>
      <c r="N102" s="1181"/>
      <c r="O102" s="1182"/>
      <c r="P102" s="1182"/>
      <c r="Q102" s="1183"/>
      <c r="R102" s="26"/>
      <c r="S102" s="27"/>
    </row>
    <row r="104" spans="1:19" ht="15.75" x14ac:dyDescent="0.5">
      <c r="B104" s="28"/>
    </row>
    <row r="107" spans="1:19" ht="15.75" x14ac:dyDescent="0.5">
      <c r="B107" s="28"/>
    </row>
    <row r="108" spans="1:19" x14ac:dyDescent="0.45">
      <c r="B108" s="29"/>
    </row>
    <row r="109" spans="1:19" x14ac:dyDescent="0.45">
      <c r="B109" s="29"/>
    </row>
    <row r="111" spans="1:19" x14ac:dyDescent="0.45">
      <c r="E111"/>
      <c r="F111" s="527" t="s">
        <v>196</v>
      </c>
    </row>
    <row r="112" spans="1:19" x14ac:dyDescent="0.45">
      <c r="E112" s="528">
        <v>1</v>
      </c>
      <c r="F112" s="528" t="s">
        <v>197</v>
      </c>
    </row>
    <row r="113" spans="5:6" x14ac:dyDescent="0.45">
      <c r="E113" s="528">
        <v>2</v>
      </c>
      <c r="F113" s="528" t="s">
        <v>227</v>
      </c>
    </row>
    <row r="114" spans="5:6" x14ac:dyDescent="0.45">
      <c r="E114" s="528">
        <v>3</v>
      </c>
      <c r="F114" s="528" t="s">
        <v>228</v>
      </c>
    </row>
    <row r="115" spans="5:6" x14ac:dyDescent="0.45">
      <c r="E115" s="528">
        <v>4</v>
      </c>
      <c r="F115" s="528" t="s">
        <v>229</v>
      </c>
    </row>
    <row r="116" spans="5:6" x14ac:dyDescent="0.45">
      <c r="E116" s="528">
        <v>5</v>
      </c>
      <c r="F116" s="528" t="s">
        <v>198</v>
      </c>
    </row>
    <row r="117" spans="5:6" x14ac:dyDescent="0.45">
      <c r="E117" s="528">
        <v>6</v>
      </c>
      <c r="F117" s="528" t="s">
        <v>230</v>
      </c>
    </row>
    <row r="118" spans="5:6" x14ac:dyDescent="0.45">
      <c r="E118" s="528">
        <v>7</v>
      </c>
      <c r="F118" s="528" t="s">
        <v>231</v>
      </c>
    </row>
    <row r="119" spans="5:6" x14ac:dyDescent="0.45">
      <c r="E119" s="528">
        <v>8</v>
      </c>
      <c r="F119" s="528" t="s">
        <v>199</v>
      </c>
    </row>
    <row r="120" spans="5:6" x14ac:dyDescent="0.45">
      <c r="E120" s="528">
        <v>9</v>
      </c>
      <c r="F120" s="528" t="s">
        <v>200</v>
      </c>
    </row>
    <row r="121" spans="5:6" x14ac:dyDescent="0.45">
      <c r="E121" s="528">
        <v>10</v>
      </c>
      <c r="F121" s="528" t="s">
        <v>201</v>
      </c>
    </row>
    <row r="122" spans="5:6" x14ac:dyDescent="0.45">
      <c r="E122" s="528">
        <v>11</v>
      </c>
      <c r="F122" s="528" t="s">
        <v>232</v>
      </c>
    </row>
    <row r="123" spans="5:6" x14ac:dyDescent="0.45">
      <c r="E123" s="528">
        <v>12</v>
      </c>
      <c r="F123" s="528" t="s">
        <v>202</v>
      </c>
    </row>
    <row r="124" spans="5:6" x14ac:dyDescent="0.45">
      <c r="E124" s="528">
        <f t="shared" ref="E124:E145" si="38">E123+1</f>
        <v>13</v>
      </c>
      <c r="F124" s="528" t="s">
        <v>203</v>
      </c>
    </row>
    <row r="125" spans="5:6" x14ac:dyDescent="0.45">
      <c r="E125" s="528">
        <v>14</v>
      </c>
      <c r="F125" s="528" t="s">
        <v>233</v>
      </c>
    </row>
    <row r="126" spans="5:6" x14ac:dyDescent="0.45">
      <c r="E126" s="528">
        <v>15</v>
      </c>
      <c r="F126" s="528" t="s">
        <v>234</v>
      </c>
    </row>
    <row r="127" spans="5:6" x14ac:dyDescent="0.45">
      <c r="E127" s="528">
        <v>16</v>
      </c>
      <c r="F127" s="528" t="s">
        <v>213</v>
      </c>
    </row>
    <row r="128" spans="5:6" x14ac:dyDescent="0.45">
      <c r="E128" s="528">
        <v>17</v>
      </c>
      <c r="F128" s="528" t="s">
        <v>235</v>
      </c>
    </row>
    <row r="129" spans="5:6" x14ac:dyDescent="0.45">
      <c r="E129" s="528">
        <v>18</v>
      </c>
      <c r="F129" s="528" t="s">
        <v>263</v>
      </c>
    </row>
    <row r="130" spans="5:6" x14ac:dyDescent="0.45">
      <c r="E130" s="528">
        <v>19</v>
      </c>
      <c r="F130" s="528" t="s">
        <v>204</v>
      </c>
    </row>
    <row r="131" spans="5:6" x14ac:dyDescent="0.45">
      <c r="E131" s="528">
        <v>20</v>
      </c>
      <c r="F131" s="528" t="s">
        <v>236</v>
      </c>
    </row>
    <row r="132" spans="5:6" x14ac:dyDescent="0.45">
      <c r="E132" s="528">
        <v>21</v>
      </c>
      <c r="F132" s="528" t="s">
        <v>237</v>
      </c>
    </row>
    <row r="133" spans="5:6" x14ac:dyDescent="0.45">
      <c r="E133" s="528">
        <v>22</v>
      </c>
      <c r="F133" s="528" t="s">
        <v>238</v>
      </c>
    </row>
    <row r="134" spans="5:6" x14ac:dyDescent="0.45">
      <c r="E134" s="528">
        <v>23</v>
      </c>
      <c r="F134" s="528" t="s">
        <v>205</v>
      </c>
    </row>
    <row r="135" spans="5:6" x14ac:dyDescent="0.45">
      <c r="E135" s="528">
        <v>24</v>
      </c>
      <c r="F135" s="528" t="s">
        <v>239</v>
      </c>
    </row>
    <row r="136" spans="5:6" x14ac:dyDescent="0.45">
      <c r="E136" s="528">
        <v>25</v>
      </c>
      <c r="F136" s="528" t="s">
        <v>240</v>
      </c>
    </row>
    <row r="137" spans="5:6" x14ac:dyDescent="0.45">
      <c r="E137" s="528">
        <v>26</v>
      </c>
      <c r="F137" s="528" t="s">
        <v>241</v>
      </c>
    </row>
    <row r="138" spans="5:6" x14ac:dyDescent="0.45">
      <c r="E138" s="528">
        <v>27</v>
      </c>
      <c r="F138" s="528" t="s">
        <v>206</v>
      </c>
    </row>
    <row r="139" spans="5:6" x14ac:dyDescent="0.45">
      <c r="E139" s="528">
        <v>28</v>
      </c>
      <c r="F139" s="528" t="s">
        <v>242</v>
      </c>
    </row>
    <row r="140" spans="5:6" x14ac:dyDescent="0.45">
      <c r="E140" s="528">
        <v>29</v>
      </c>
      <c r="F140" s="528" t="s">
        <v>243</v>
      </c>
    </row>
    <row r="141" spans="5:6" x14ac:dyDescent="0.45">
      <c r="E141" s="528">
        <v>30</v>
      </c>
      <c r="F141" s="528" t="s">
        <v>244</v>
      </c>
    </row>
    <row r="142" spans="5:6" x14ac:dyDescent="0.45">
      <c r="E142" s="528">
        <v>31</v>
      </c>
      <c r="F142" s="528" t="s">
        <v>245</v>
      </c>
    </row>
    <row r="143" spans="5:6" x14ac:dyDescent="0.45">
      <c r="E143" s="528">
        <v>32</v>
      </c>
      <c r="F143" s="528" t="s">
        <v>246</v>
      </c>
    </row>
    <row r="144" spans="5:6" x14ac:dyDescent="0.45">
      <c r="E144" s="528">
        <v>33</v>
      </c>
      <c r="F144" s="528" t="s">
        <v>207</v>
      </c>
    </row>
    <row r="145" spans="5:6" x14ac:dyDescent="0.45">
      <c r="E145" s="528">
        <f t="shared" si="38"/>
        <v>34</v>
      </c>
      <c r="F145" s="528" t="s">
        <v>208</v>
      </c>
    </row>
    <row r="146" spans="5:6" x14ac:dyDescent="0.45">
      <c r="E146" s="528">
        <v>35</v>
      </c>
      <c r="F146" s="528" t="s">
        <v>247</v>
      </c>
    </row>
    <row r="147" spans="5:6" x14ac:dyDescent="0.45">
      <c r="E147" s="528">
        <v>36</v>
      </c>
      <c r="F147" s="528" t="s">
        <v>248</v>
      </c>
    </row>
    <row r="148" spans="5:6" x14ac:dyDescent="0.45">
      <c r="E148" s="528">
        <v>36</v>
      </c>
      <c r="F148" s="528" t="s">
        <v>249</v>
      </c>
    </row>
    <row r="149" spans="5:6" x14ac:dyDescent="0.45">
      <c r="E149" s="528">
        <v>38</v>
      </c>
      <c r="F149" s="528" t="s">
        <v>250</v>
      </c>
    </row>
    <row r="150" spans="5:6" x14ac:dyDescent="0.45">
      <c r="E150" s="528">
        <v>39</v>
      </c>
      <c r="F150" s="528" t="s">
        <v>251</v>
      </c>
    </row>
    <row r="151" spans="5:6" x14ac:dyDescent="0.45">
      <c r="E151" s="528">
        <v>40</v>
      </c>
      <c r="F151" s="528" t="s">
        <v>209</v>
      </c>
    </row>
    <row r="152" spans="5:6" x14ac:dyDescent="0.45">
      <c r="E152" s="528">
        <v>41</v>
      </c>
      <c r="F152" s="528" t="s">
        <v>264</v>
      </c>
    </row>
    <row r="153" spans="5:6" x14ac:dyDescent="0.45">
      <c r="E153" s="528">
        <v>42</v>
      </c>
      <c r="F153" s="528" t="s">
        <v>252</v>
      </c>
    </row>
    <row r="154" spans="5:6" x14ac:dyDescent="0.45">
      <c r="E154" s="528">
        <v>43</v>
      </c>
      <c r="F154" s="528" t="s">
        <v>253</v>
      </c>
    </row>
    <row r="155" spans="5:6" x14ac:dyDescent="0.45">
      <c r="E155" s="528">
        <v>44</v>
      </c>
      <c r="F155" s="528" t="s">
        <v>254</v>
      </c>
    </row>
    <row r="156" spans="5:6" x14ac:dyDescent="0.45">
      <c r="E156" s="528">
        <v>45</v>
      </c>
      <c r="F156" s="528" t="s">
        <v>210</v>
      </c>
    </row>
    <row r="157" spans="5:6" x14ac:dyDescent="0.45">
      <c r="E157" s="528">
        <v>46</v>
      </c>
      <c r="F157" s="528" t="s">
        <v>255</v>
      </c>
    </row>
    <row r="158" spans="5:6" x14ac:dyDescent="0.45">
      <c r="E158" s="528">
        <v>47</v>
      </c>
      <c r="F158" s="528" t="s">
        <v>211</v>
      </c>
    </row>
    <row r="159" spans="5:6" x14ac:dyDescent="0.45">
      <c r="E159" s="528">
        <v>48</v>
      </c>
      <c r="F159" s="528" t="s">
        <v>256</v>
      </c>
    </row>
    <row r="160" spans="5:6" x14ac:dyDescent="0.45">
      <c r="E160" s="528">
        <v>49</v>
      </c>
      <c r="F160" s="528" t="s">
        <v>257</v>
      </c>
    </row>
    <row r="161" spans="5:6" x14ac:dyDescent="0.45">
      <c r="E161" s="528">
        <v>50</v>
      </c>
      <c r="F161" s="528" t="s">
        <v>260</v>
      </c>
    </row>
    <row r="162" spans="5:6" x14ac:dyDescent="0.45">
      <c r="E162" s="528">
        <v>51</v>
      </c>
      <c r="F162" s="528" t="s">
        <v>258</v>
      </c>
    </row>
    <row r="163" spans="5:6" x14ac:dyDescent="0.45">
      <c r="E163" s="528">
        <v>52</v>
      </c>
      <c r="F163" s="528" t="s">
        <v>212</v>
      </c>
    </row>
    <row r="164" spans="5:6" x14ac:dyDescent="0.45">
      <c r="E164" s="528">
        <v>53</v>
      </c>
      <c r="F164" s="528" t="s">
        <v>259</v>
      </c>
    </row>
    <row r="165" spans="5:6" x14ac:dyDescent="0.45">
      <c r="E165" s="528">
        <v>54</v>
      </c>
      <c r="F165" s="528" t="s">
        <v>261</v>
      </c>
    </row>
    <row r="166" spans="5:6" x14ac:dyDescent="0.45">
      <c r="E166" s="528">
        <v>55</v>
      </c>
      <c r="F166" s="528" t="s">
        <v>262</v>
      </c>
    </row>
    <row r="167" spans="5:6" x14ac:dyDescent="0.45">
      <c r="E167"/>
      <c r="F167"/>
    </row>
    <row r="168" spans="5:6" x14ac:dyDescent="0.45">
      <c r="E168"/>
      <c r="F168"/>
    </row>
  </sheetData>
  <sheetProtection algorithmName="SHA-512" hashValue="BYgRleAWL7W5DbAZfHuac2iO3W/ZOoFrdwtWY7fuaGk/uFJlg2Ea9+sLtUPdLN8ur5bEt04zmIzL1c3EwIE47A==" saltValue="sAM01IAZO/kgfaxZwJ3PQA==" spinCount="100000" sheet="1" objects="1" scenarios="1"/>
  <mergeCells count="140">
    <mergeCell ref="B92:F92"/>
    <mergeCell ref="B93:F93"/>
    <mergeCell ref="A94:A96"/>
    <mergeCell ref="B94:B96"/>
    <mergeCell ref="C94:C96"/>
    <mergeCell ref="D94:D96"/>
    <mergeCell ref="N94:N96"/>
    <mergeCell ref="P100:P101"/>
    <mergeCell ref="O94:O96"/>
    <mergeCell ref="P94:P96"/>
    <mergeCell ref="B97:F97"/>
    <mergeCell ref="A100:A101"/>
    <mergeCell ref="B100:B101"/>
    <mergeCell ref="C100:C101"/>
    <mergeCell ref="D100:D101"/>
    <mergeCell ref="E100:E101"/>
    <mergeCell ref="N100:N101"/>
    <mergeCell ref="O100:O101"/>
    <mergeCell ref="B86:F86"/>
    <mergeCell ref="A87:A91"/>
    <mergeCell ref="B87:B91"/>
    <mergeCell ref="C87:C91"/>
    <mergeCell ref="N87:N91"/>
    <mergeCell ref="O87:O91"/>
    <mergeCell ref="O81:O82"/>
    <mergeCell ref="P81:P82"/>
    <mergeCell ref="B83:B85"/>
    <mergeCell ref="C83:C85"/>
    <mergeCell ref="N83:N85"/>
    <mergeCell ref="O83:O85"/>
    <mergeCell ref="P83:P85"/>
    <mergeCell ref="P87:P91"/>
    <mergeCell ref="D88:D90"/>
    <mergeCell ref="E88:E90"/>
    <mergeCell ref="B77:F77"/>
    <mergeCell ref="B79:F79"/>
    <mergeCell ref="B80:F80"/>
    <mergeCell ref="B81:B82"/>
    <mergeCell ref="C81:C82"/>
    <mergeCell ref="N81:N82"/>
    <mergeCell ref="B67:F67"/>
    <mergeCell ref="B69:F69"/>
    <mergeCell ref="B70:F70"/>
    <mergeCell ref="B72:F72"/>
    <mergeCell ref="B74:F74"/>
    <mergeCell ref="B76:F76"/>
    <mergeCell ref="A61:A66"/>
    <mergeCell ref="B61:B66"/>
    <mergeCell ref="C61:C66"/>
    <mergeCell ref="N61:N66"/>
    <mergeCell ref="O61:O66"/>
    <mergeCell ref="P61:P66"/>
    <mergeCell ref="D64:D66"/>
    <mergeCell ref="E64:E66"/>
    <mergeCell ref="O53:O58"/>
    <mergeCell ref="P53:P58"/>
    <mergeCell ref="D57:D58"/>
    <mergeCell ref="E57:E58"/>
    <mergeCell ref="B59:F59"/>
    <mergeCell ref="B60:F60"/>
    <mergeCell ref="B50:F50"/>
    <mergeCell ref="B52:F52"/>
    <mergeCell ref="A53:A58"/>
    <mergeCell ref="B53:B58"/>
    <mergeCell ref="C53:C58"/>
    <mergeCell ref="N53:N58"/>
    <mergeCell ref="P44:P45"/>
    <mergeCell ref="B46:F46"/>
    <mergeCell ref="B47:F47"/>
    <mergeCell ref="A48:A49"/>
    <mergeCell ref="B48:B49"/>
    <mergeCell ref="C48:C49"/>
    <mergeCell ref="N48:N49"/>
    <mergeCell ref="O48:O49"/>
    <mergeCell ref="P48:P49"/>
    <mergeCell ref="B43:F43"/>
    <mergeCell ref="A44:A45"/>
    <mergeCell ref="B44:B45"/>
    <mergeCell ref="C44:C45"/>
    <mergeCell ref="N44:N45"/>
    <mergeCell ref="O44:O45"/>
    <mergeCell ref="P38:P39"/>
    <mergeCell ref="B40:F40"/>
    <mergeCell ref="A41:A42"/>
    <mergeCell ref="B41:B42"/>
    <mergeCell ref="C41:C42"/>
    <mergeCell ref="N41:N42"/>
    <mergeCell ref="O41:O42"/>
    <mergeCell ref="P41:P42"/>
    <mergeCell ref="B37:F37"/>
    <mergeCell ref="A38:A39"/>
    <mergeCell ref="B38:B39"/>
    <mergeCell ref="C38:C39"/>
    <mergeCell ref="N38:N39"/>
    <mergeCell ref="O38:O39"/>
    <mergeCell ref="P24:P31"/>
    <mergeCell ref="D25:D27"/>
    <mergeCell ref="E25:E27"/>
    <mergeCell ref="D28:D30"/>
    <mergeCell ref="E28:E30"/>
    <mergeCell ref="B32:F32"/>
    <mergeCell ref="B23:F23"/>
    <mergeCell ref="A24:A27"/>
    <mergeCell ref="B24:B31"/>
    <mergeCell ref="C24:C31"/>
    <mergeCell ref="N24:N31"/>
    <mergeCell ref="O24:O31"/>
    <mergeCell ref="O15:O17"/>
    <mergeCell ref="P15:P17"/>
    <mergeCell ref="B18:F18"/>
    <mergeCell ref="A19:A22"/>
    <mergeCell ref="B19:B22"/>
    <mergeCell ref="C19:C22"/>
    <mergeCell ref="N19:N22"/>
    <mergeCell ref="O19:O22"/>
    <mergeCell ref="P19:P22"/>
    <mergeCell ref="A15:A17"/>
    <mergeCell ref="B15:B17"/>
    <mergeCell ref="C15:C17"/>
    <mergeCell ref="D15:D17"/>
    <mergeCell ref="E15:E17"/>
    <mergeCell ref="N15:N17"/>
    <mergeCell ref="N13:N14"/>
    <mergeCell ref="O13:O14"/>
    <mergeCell ref="P13:P14"/>
    <mergeCell ref="A11:A12"/>
    <mergeCell ref="B11:B12"/>
    <mergeCell ref="C11:C12"/>
    <mergeCell ref="N11:N12"/>
    <mergeCell ref="O11:O12"/>
    <mergeCell ref="P11:P12"/>
    <mergeCell ref="K4:M4"/>
    <mergeCell ref="B5:K5"/>
    <mergeCell ref="B6:F6"/>
    <mergeCell ref="B7:F7"/>
    <mergeCell ref="B9:F9"/>
    <mergeCell ref="B10:F10"/>
    <mergeCell ref="A13:A14"/>
    <mergeCell ref="B13:B14"/>
    <mergeCell ref="C13:C14"/>
  </mergeCells>
  <conditionalFormatting sqref="O4">
    <cfRule type="colorScale" priority="136">
      <colorScale>
        <cfvo type="num" val="0"/>
        <cfvo type="num" val="50"/>
        <cfvo type="num" val="100"/>
        <color rgb="FFFF0000"/>
        <color rgb="FFFFFF00"/>
        <color rgb="FF92FB4B"/>
      </colorScale>
    </cfRule>
  </conditionalFormatting>
  <conditionalFormatting sqref="N19:N22 N38:N39 N53 N11:N12">
    <cfRule type="colorScale" priority="1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15:N17">
    <cfRule type="colorScale" priority="1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24:N27">
    <cfRule type="colorScale" priority="1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33:N36">
    <cfRule type="colorScale" priority="1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1:N42">
    <cfRule type="colorScale" priority="1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4:N45">
    <cfRule type="colorScale" priority="1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8:N49">
    <cfRule type="colorScale" priority="1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61">
    <cfRule type="colorScale" priority="12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8">
    <cfRule type="colorScale" priority="1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68">
    <cfRule type="colorScale" priority="1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1">
    <cfRule type="colorScale" priority="1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3">
    <cfRule type="colorScale" priority="1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81">
    <cfRule type="colorScale" priority="1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87">
    <cfRule type="colorScale" priority="1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4">
    <cfRule type="colorScale" priority="1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8:N99">
    <cfRule type="colorScale" priority="1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100:N101">
    <cfRule type="colorScale" priority="1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51">
    <cfRule type="colorScale" priority="1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83">
    <cfRule type="colorScale" priority="1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5">
    <cfRule type="colorScale" priority="1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">
    <cfRule type="colorScale" priority="1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10">
    <cfRule type="colorScale" priority="1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18">
    <cfRule type="colorScale" priority="1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23">
    <cfRule type="colorScale" priority="1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32">
    <cfRule type="colorScale" priority="1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37">
    <cfRule type="colorScale" priority="1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0">
    <cfRule type="colorScale" priority="10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3">
    <cfRule type="colorScale" priority="10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6">
    <cfRule type="colorScale" priority="10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7">
    <cfRule type="colorScale" priority="10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50">
    <cfRule type="colorScale" priority="10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52">
    <cfRule type="colorScale" priority="10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59">
    <cfRule type="colorScale" priority="10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60">
    <cfRule type="colorScale" priority="10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67">
    <cfRule type="colorScale" priority="10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69">
    <cfRule type="colorScale" priority="10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0">
    <cfRule type="colorScale" priority="9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2">
    <cfRule type="colorScale" priority="9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4">
    <cfRule type="colorScale" priority="9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6">
    <cfRule type="colorScale" priority="9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7">
    <cfRule type="colorScale" priority="9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79">
    <cfRule type="colorScale" priority="9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80">
    <cfRule type="colorScale" priority="9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86">
    <cfRule type="colorScale" priority="9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2">
    <cfRule type="colorScale" priority="9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3">
    <cfRule type="colorScale" priority="9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97">
    <cfRule type="colorScale" priority="8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4">
    <cfRule type="colorScale" priority="8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">
    <cfRule type="colorScale" priority="8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">
    <cfRule type="colorScale" priority="8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0">
    <cfRule type="colorScale" priority="8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1">
    <cfRule type="colorScale" priority="8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3">
    <cfRule type="colorScale" priority="8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5">
    <cfRule type="colorScale" priority="8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23">
    <cfRule type="colorScale" priority="8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2">
    <cfRule type="colorScale" priority="8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3">
    <cfRule type="colorScale" priority="7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4">
    <cfRule type="colorScale" priority="7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5">
    <cfRule type="colorScale" priority="7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6">
    <cfRule type="colorScale" priority="7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7">
    <cfRule type="colorScale" priority="7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38">
    <cfRule type="colorScale" priority="7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0">
    <cfRule type="colorScale" priority="7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1">
    <cfRule type="colorScale" priority="7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3">
    <cfRule type="colorScale" priority="7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4">
    <cfRule type="colorScale" priority="7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6">
    <cfRule type="colorScale" priority="6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7">
    <cfRule type="colorScale" priority="6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48">
    <cfRule type="colorScale" priority="6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50">
    <cfRule type="colorScale" priority="6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51">
    <cfRule type="colorScale" priority="6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52">
    <cfRule type="colorScale" priority="6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8">
    <cfRule type="colorScale" priority="6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9">
    <cfRule type="colorScale" priority="6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24">
    <cfRule type="colorScale" priority="6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53">
    <cfRule type="colorScale" priority="6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59">
    <cfRule type="colorScale" priority="5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60">
    <cfRule type="colorScale" priority="5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61">
    <cfRule type="colorScale" priority="5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67">
    <cfRule type="colorScale" priority="5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68">
    <cfRule type="colorScale" priority="5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69">
    <cfRule type="colorScale" priority="5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0">
    <cfRule type="colorScale" priority="5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1">
    <cfRule type="colorScale" priority="5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2">
    <cfRule type="colorScale" priority="5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3">
    <cfRule type="colorScale" priority="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4">
    <cfRule type="colorScale" priority="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5">
    <cfRule type="colorScale" priority="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6">
    <cfRule type="colorScale" priority="4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7">
    <cfRule type="colorScale" priority="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8">
    <cfRule type="colorScale" priority="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79">
    <cfRule type="colorScale" priority="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80">
    <cfRule type="colorScale" priority="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81">
    <cfRule type="colorScale" priority="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83">
    <cfRule type="colorScale" priority="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86">
    <cfRule type="colorScale" priority="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87">
    <cfRule type="colorScale" priority="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2">
    <cfRule type="colorScale" priority="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3">
    <cfRule type="colorScale" priority="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4">
    <cfRule type="colorScale" priority="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7">
    <cfRule type="colorScale" priority="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8">
    <cfRule type="colorScale" priority="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99">
    <cfRule type="colorScale" priority="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P100">
    <cfRule type="colorScale" priority="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N13:N14">
    <cfRule type="colorScale" priority="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O18:O19 O23 O40 O47 O50 O52:O53 O60 O67 O70 O72 O74 O76:O77 O86:O87 O93 O33:O37">
    <cfRule type="colorScale" priority="30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24">
    <cfRule type="colorScale" priority="29">
      <colorScale>
        <cfvo type="num" val="0"/>
        <cfvo type="num" val="1.8"/>
        <cfvo type="num" val="3.6"/>
        <color rgb="FFFF0000"/>
        <color rgb="FFFFFF00"/>
        <color rgb="FF92FB4B"/>
      </colorScale>
    </cfRule>
  </conditionalFormatting>
  <conditionalFormatting sqref="O9">
    <cfRule type="colorScale" priority="28">
      <colorScale>
        <cfvo type="num" val="0"/>
        <cfvo type="num" val="21.4285"/>
        <cfvo type="num" val="42.857135999999997"/>
        <color rgb="FFFF0000"/>
        <color rgb="FFFFFF00"/>
        <color rgb="FF92FB4B"/>
      </colorScale>
    </cfRule>
  </conditionalFormatting>
  <conditionalFormatting sqref="O10 O69 O97">
    <cfRule type="colorScale" priority="27">
      <colorScale>
        <cfvo type="num" val="0"/>
        <cfvo type="num" val="5.3570000000000002"/>
        <cfvo type="num" val="10.714"/>
        <color rgb="FFFF0000"/>
        <color rgb="FFFFFF00"/>
        <color rgb="FF92FB4B"/>
      </colorScale>
    </cfRule>
  </conditionalFormatting>
  <conditionalFormatting sqref="O32">
    <cfRule type="colorScale" priority="26">
      <colorScale>
        <cfvo type="num" val="0"/>
        <cfvo type="num" val="7.1428000000000003"/>
        <cfvo type="num" val="14.2857"/>
        <color rgb="FFFF0000"/>
        <color rgb="FFFFFF00"/>
        <color rgb="FF92FB4B"/>
      </colorScale>
    </cfRule>
  </conditionalFormatting>
  <conditionalFormatting sqref="O46">
    <cfRule type="colorScale" priority="25">
      <colorScale>
        <cfvo type="num" val="0"/>
        <cfvo type="num" val="5.3570000000000002"/>
        <cfvo type="num" val="10.7143"/>
        <color rgb="FFFF0000"/>
        <color rgb="FFFFFF00"/>
        <color rgb="FF92FB4B"/>
      </colorScale>
    </cfRule>
  </conditionalFormatting>
  <conditionalFormatting sqref="O59 O80">
    <cfRule type="colorScale" priority="24">
      <colorScale>
        <cfvo type="num" val="0"/>
        <cfvo type="num" val="3.5714000000000001"/>
        <cfvo type="num" val="7.1428000000000003"/>
        <color rgb="FFFF0000"/>
        <color rgb="FFFFFF00"/>
        <color rgb="FF92FB4B"/>
      </colorScale>
    </cfRule>
  </conditionalFormatting>
  <conditionalFormatting sqref="O79">
    <cfRule type="colorScale" priority="23">
      <colorScale>
        <cfvo type="num" val="0"/>
        <cfvo type="num" val="5.3571419999999996"/>
        <cfvo type="num" val="10.71428"/>
        <color rgb="FFFF0000"/>
        <color rgb="FFFFFF00"/>
        <color rgb="FF92FB4B"/>
      </colorScale>
    </cfRule>
  </conditionalFormatting>
  <conditionalFormatting sqref="O92">
    <cfRule type="colorScale" priority="22">
      <colorScale>
        <cfvo type="num" val="0"/>
        <cfvo type="num" val="7.1428000000000003"/>
        <cfvo type="num" val="14.28"/>
        <color rgb="FFFF0000"/>
        <color rgb="FFFFFF00"/>
        <color rgb="FF92FB4B"/>
      </colorScale>
    </cfRule>
  </conditionalFormatting>
  <conditionalFormatting sqref="O11:O12">
    <cfRule type="colorScale" priority="21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43">
    <cfRule type="colorScale" priority="20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83">
    <cfRule type="colorScale" priority="19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13:O14">
    <cfRule type="colorScale" priority="18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38:O39">
    <cfRule type="colorScale" priority="17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41:O42">
    <cfRule type="colorScale" priority="16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44:O45">
    <cfRule type="colorScale" priority="15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48:O49">
    <cfRule type="colorScale" priority="14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51">
    <cfRule type="colorScale" priority="13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61">
    <cfRule type="colorScale" priority="12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68">
    <cfRule type="colorScale" priority="11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71">
    <cfRule type="colorScale" priority="10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73">
    <cfRule type="colorScale" priority="9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75">
    <cfRule type="colorScale" priority="8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78">
    <cfRule type="colorScale" priority="7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81:O82">
    <cfRule type="colorScale" priority="6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15">
    <cfRule type="colorScale" priority="5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94">
    <cfRule type="colorScale" priority="4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98">
    <cfRule type="colorScale" priority="3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99">
    <cfRule type="colorScale" priority="2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conditionalFormatting sqref="O100:O101">
    <cfRule type="colorScale" priority="1">
      <colorScale>
        <cfvo type="num" val="0"/>
        <cfvo type="num" val="1.8"/>
        <cfvo type="num" val="3.571428"/>
        <color rgb="FFFF0000"/>
        <color rgb="FFFFFF00"/>
        <color rgb="FF92FB4B"/>
      </colorScale>
    </cfRule>
  </conditionalFormatting>
  <dataValidations count="1">
    <dataValidation type="list" allowBlank="1" showInputMessage="1" showErrorMessage="1" sqref="F4" xr:uid="{66D831AB-9FB5-4BD9-B2D1-A84A78AA2A9C}">
      <formula1>$F$112:$F$166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Aspiration Chart</vt:lpstr>
      <vt:lpstr>Performance by Goal</vt:lpstr>
      <vt:lpstr>Initial Analysis Table</vt:lpstr>
      <vt:lpstr>Continental Level Dashboard</vt:lpstr>
      <vt:lpstr>Continental Dboard Targets</vt:lpstr>
      <vt:lpstr>Chad</vt:lpstr>
      <vt:lpstr>Car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Kisira</dc:creator>
  <cp:lastModifiedBy>Andson Nsune</cp:lastModifiedBy>
  <dcterms:created xsi:type="dcterms:W3CDTF">2019-08-26T09:31:19Z</dcterms:created>
  <dcterms:modified xsi:type="dcterms:W3CDTF">2020-01-28T21:55:52Z</dcterms:modified>
</cp:coreProperties>
</file>